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drawings/drawing5.xml" ContentType="application/vnd.openxmlformats-officedocument.drawing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6.xml" ContentType="application/vnd.openxmlformats-officedocument.drawing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7.xml" ContentType="application/vnd.openxmlformats-officedocument.drawing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"/>
    </mc:Choice>
  </mc:AlternateContent>
  <xr:revisionPtr revIDLastSave="0" documentId="13_ncr:1_{4E8CAB52-A173-4865-970F-B7639E56FE10}" xr6:coauthVersionLast="47" xr6:coauthVersionMax="47" xr10:uidLastSave="{00000000-0000-0000-0000-000000000000}"/>
  <bookViews>
    <workbookView minimized="1" xWindow="2175" yWindow="4305" windowWidth="21600" windowHeight="11445" firstSheet="3" activeTab="4" xr2:uid="{00000000-000D-0000-FFFF-FFFF00000000}"/>
  </bookViews>
  <sheets>
    <sheet name="COMM" sheetId="1" r:id="rId1"/>
    <sheet name="PROCESS" sheetId="2" r:id="rId2"/>
    <sheet name="Bases de Cálculo" sheetId="3" r:id="rId3"/>
    <sheet name="1. EXP_IMP" sheetId="4" r:id="rId4"/>
    <sheet name="2. DEM" sheetId="5" r:id="rId5"/>
    <sheet name="3. Scope3" sheetId="6" r:id="rId6"/>
    <sheet name="4. Refinerys Data" sheetId="7" r:id="rId7"/>
    <sheet name="4.1 Ref_Cart" sheetId="8" r:id="rId8"/>
    <sheet name="4.2 Ref_Barranca" sheetId="9" r:id="rId9"/>
    <sheet name="5. ANH" sheetId="10" r:id="rId10"/>
    <sheet name="5. GlobalData" sheetId="11" r:id="rId11"/>
    <sheet name="5. Data" sheetId="12" r:id="rId12"/>
    <sheet name="5. Oilfields" sheetId="13" r:id="rId13"/>
    <sheet name="General_SEC_SGC" sheetId="14" r:id="rId14"/>
    <sheet name="6. a Reservas" sheetId="15" r:id="rId15"/>
  </sheets>
  <definedNames>
    <definedName name="_xlnm._FilterDatabase" localSheetId="3" hidden="1">'1. EXP_IMP'!$I$222:$Q$222</definedName>
    <definedName name="_xlnm._FilterDatabase" localSheetId="9" hidden="1">'5. ANH'!$C$12:$W$12</definedName>
    <definedName name="_xlnm._FilterDatabase" localSheetId="11" hidden="1">'5. Data'!$J$98:$AA$98</definedName>
    <definedName name="_xlnm._FilterDatabase" localSheetId="10" hidden="1">'5. GlobalData'!$C$38:$K$38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3" i="9" l="1"/>
  <c r="E57" i="4"/>
  <c r="E56" i="4"/>
  <c r="E55" i="4"/>
  <c r="Q135" i="8"/>
  <c r="O135" i="8"/>
  <c r="V23" i="9"/>
  <c r="N144" i="12"/>
  <c r="N143" i="12"/>
  <c r="N142" i="12"/>
  <c r="N141" i="12"/>
  <c r="AB184" i="12"/>
  <c r="AA184" i="12"/>
  <c r="CG9" i="13"/>
  <c r="CC9" i="13" s="1"/>
  <c r="CC10" i="13" s="1"/>
  <c r="C9" i="13" a="1"/>
  <c r="C12" i="13" s="1"/>
  <c r="CW10" i="13"/>
  <c r="CS27" i="13" s="1"/>
  <c r="CW11" i="13"/>
  <c r="CS28" i="13" s="1"/>
  <c r="CW12" i="13"/>
  <c r="CS29" i="13" s="1"/>
  <c r="CW13" i="13"/>
  <c r="CS30" i="13" s="1"/>
  <c r="CW14" i="13"/>
  <c r="CS31" i="13" s="1"/>
  <c r="CW15" i="13"/>
  <c r="CS32" i="13" s="1"/>
  <c r="CW9" i="13"/>
  <c r="CS26" i="13" s="1"/>
  <c r="I101" i="5"/>
  <c r="I102" i="5"/>
  <c r="I103" i="5"/>
  <c r="I104" i="5"/>
  <c r="I100" i="5"/>
  <c r="BM9" i="13" a="1"/>
  <c r="BM9" i="13" s="1"/>
  <c r="BQ9" i="13" s="1" a="1"/>
  <c r="BQ9" i="13" s="1"/>
  <c r="AP16" i="13" a="1"/>
  <c r="AP16" i="13" s="1"/>
  <c r="C11" i="13" l="1"/>
  <c r="C14" i="13"/>
  <c r="C10" i="13"/>
  <c r="C13" i="13"/>
  <c r="C9" i="13"/>
  <c r="C15" i="13"/>
  <c r="CS9" i="13"/>
  <c r="O79" i="15"/>
  <c r="N79" i="15"/>
  <c r="M79" i="15"/>
  <c r="Q79" i="15" s="1"/>
  <c r="J79" i="15"/>
  <c r="Q78" i="15"/>
  <c r="O78" i="15"/>
  <c r="N78" i="15"/>
  <c r="M78" i="15"/>
  <c r="J78" i="15"/>
  <c r="J77" i="15"/>
  <c r="L70" i="15"/>
  <c r="K70" i="15"/>
  <c r="O69" i="15"/>
  <c r="N69" i="15"/>
  <c r="M69" i="15"/>
  <c r="L69" i="15"/>
  <c r="K69" i="15"/>
  <c r="J69" i="15"/>
  <c r="O68" i="15"/>
  <c r="N68" i="15"/>
  <c r="M68" i="15"/>
  <c r="O67" i="15"/>
  <c r="N67" i="15"/>
  <c r="M67" i="15"/>
  <c r="O66" i="15"/>
  <c r="N66" i="15"/>
  <c r="M66" i="15"/>
  <c r="O64" i="15"/>
  <c r="N64" i="15"/>
  <c r="M64" i="15"/>
  <c r="O63" i="15"/>
  <c r="N63" i="15"/>
  <c r="M63" i="15"/>
  <c r="O62" i="15"/>
  <c r="N62" i="15"/>
  <c r="M62" i="15"/>
  <c r="O61" i="15"/>
  <c r="N61" i="15"/>
  <c r="M61" i="15"/>
  <c r="O60" i="15"/>
  <c r="N60" i="15"/>
  <c r="M60" i="15"/>
  <c r="O59" i="15"/>
  <c r="N59" i="15"/>
  <c r="M59" i="15"/>
  <c r="J53" i="15"/>
  <c r="O51" i="15"/>
  <c r="O50" i="15"/>
  <c r="O49" i="15"/>
  <c r="O48" i="15"/>
  <c r="O47" i="15"/>
  <c r="O46" i="15"/>
  <c r="M38" i="15"/>
  <c r="Q28" i="15"/>
  <c r="P28" i="15"/>
  <c r="O28" i="15"/>
  <c r="N28" i="15"/>
  <c r="M28" i="15"/>
  <c r="L28" i="15"/>
  <c r="K28" i="15"/>
  <c r="J28" i="15"/>
  <c r="Q25" i="15"/>
  <c r="P25" i="15"/>
  <c r="O25" i="15"/>
  <c r="N25" i="15"/>
  <c r="M25" i="15"/>
  <c r="L25" i="15"/>
  <c r="K25" i="15"/>
  <c r="J25" i="15"/>
  <c r="Q24" i="15"/>
  <c r="P24" i="15"/>
  <c r="O24" i="15"/>
  <c r="N24" i="15"/>
  <c r="M24" i="15"/>
  <c r="L24" i="15"/>
  <c r="K24" i="15"/>
  <c r="J24" i="15"/>
  <c r="Q23" i="15"/>
  <c r="P23" i="15"/>
  <c r="O23" i="15"/>
  <c r="N23" i="15"/>
  <c r="M23" i="15"/>
  <c r="L23" i="15"/>
  <c r="K23" i="15"/>
  <c r="J23" i="15"/>
  <c r="Q22" i="15"/>
  <c r="P22" i="15"/>
  <c r="O22" i="15"/>
  <c r="N22" i="15"/>
  <c r="M22" i="15"/>
  <c r="L22" i="15"/>
  <c r="K22" i="15"/>
  <c r="J22" i="15"/>
  <c r="D22" i="15"/>
  <c r="Q21" i="15"/>
  <c r="P21" i="15"/>
  <c r="O21" i="15"/>
  <c r="N21" i="15"/>
  <c r="M21" i="15"/>
  <c r="L21" i="15"/>
  <c r="K21" i="15"/>
  <c r="J21" i="15"/>
  <c r="Q18" i="15"/>
  <c r="P18" i="15"/>
  <c r="O18" i="15"/>
  <c r="N18" i="15"/>
  <c r="M18" i="15"/>
  <c r="L18" i="15"/>
  <c r="K18" i="15"/>
  <c r="K17" i="15" s="1"/>
  <c r="J18" i="15"/>
  <c r="B18" i="15"/>
  <c r="Q17" i="15"/>
  <c r="P17" i="15"/>
  <c r="N17" i="15"/>
  <c r="M17" i="15"/>
  <c r="L17" i="15"/>
  <c r="J17" i="15"/>
  <c r="E17" i="15"/>
  <c r="D17" i="15"/>
  <c r="C17" i="15"/>
  <c r="B17" i="15"/>
  <c r="E16" i="15"/>
  <c r="D16" i="15"/>
  <c r="C16" i="15"/>
  <c r="B16" i="15"/>
  <c r="E15" i="15"/>
  <c r="D15" i="15"/>
  <c r="C15" i="15"/>
  <c r="B15" i="15"/>
  <c r="E14" i="15"/>
  <c r="D14" i="15"/>
  <c r="C14" i="15"/>
  <c r="B14" i="15"/>
  <c r="Q13" i="15"/>
  <c r="P13" i="15"/>
  <c r="O13" i="15"/>
  <c r="N13" i="15"/>
  <c r="M13" i="15"/>
  <c r="L13" i="15"/>
  <c r="K13" i="15"/>
  <c r="J13" i="15"/>
  <c r="E13" i="15"/>
  <c r="D13" i="15"/>
  <c r="C13" i="15"/>
  <c r="B13" i="15"/>
  <c r="E12" i="15"/>
  <c r="D12" i="15"/>
  <c r="C12" i="15"/>
  <c r="B12" i="15"/>
  <c r="E11" i="15"/>
  <c r="D11" i="15"/>
  <c r="C11" i="15"/>
  <c r="B11" i="15"/>
  <c r="E10" i="15"/>
  <c r="D10" i="15"/>
  <c r="C10" i="15"/>
  <c r="B10" i="15"/>
  <c r="E9" i="15"/>
  <c r="D9" i="15"/>
  <c r="C9" i="15"/>
  <c r="B9" i="15"/>
  <c r="E8" i="15"/>
  <c r="D8" i="15"/>
  <c r="C8" i="15"/>
  <c r="B8" i="15"/>
  <c r="E7" i="15"/>
  <c r="D7" i="15"/>
  <c r="C7" i="15"/>
  <c r="B7" i="15"/>
  <c r="E6" i="15"/>
  <c r="D6" i="15"/>
  <c r="C6" i="15"/>
  <c r="E5" i="15"/>
  <c r="E4" i="15"/>
  <c r="D4" i="15"/>
  <c r="F55" i="14"/>
  <c r="F54" i="14"/>
  <c r="F53" i="14"/>
  <c r="F52" i="14"/>
  <c r="F51" i="14"/>
  <c r="S27" i="14"/>
  <c r="R27" i="14"/>
  <c r="K27" i="14"/>
  <c r="J27" i="14"/>
  <c r="E27" i="14"/>
  <c r="S26" i="14"/>
  <c r="R26" i="14"/>
  <c r="K26" i="14"/>
  <c r="J26" i="14"/>
  <c r="S25" i="14"/>
  <c r="R25" i="14"/>
  <c r="K25" i="14"/>
  <c r="S20" i="14"/>
  <c r="R20" i="14"/>
  <c r="K20" i="14"/>
  <c r="J20" i="14"/>
  <c r="S19" i="14"/>
  <c r="R19" i="14"/>
  <c r="K19" i="14"/>
  <c r="J19" i="14"/>
  <c r="F19" i="14"/>
  <c r="D19" i="14"/>
  <c r="S18" i="14"/>
  <c r="R18" i="14"/>
  <c r="K18" i="14"/>
  <c r="J18" i="14"/>
  <c r="S17" i="14"/>
  <c r="R17" i="14"/>
  <c r="U12" i="14"/>
  <c r="R12" i="14"/>
  <c r="J12" i="14"/>
  <c r="E12" i="14"/>
  <c r="U11" i="14"/>
  <c r="T11" i="14"/>
  <c r="S11" i="14"/>
  <c r="R11" i="14"/>
  <c r="L11" i="14"/>
  <c r="K11" i="14"/>
  <c r="J11" i="14"/>
  <c r="U10" i="14"/>
  <c r="T10" i="14"/>
  <c r="S10" i="14"/>
  <c r="R10" i="14"/>
  <c r="L10" i="14"/>
  <c r="K10" i="14"/>
  <c r="J10" i="14"/>
  <c r="U9" i="14"/>
  <c r="S9" i="14"/>
  <c r="R9" i="14"/>
  <c r="L9" i="14"/>
  <c r="T9" i="14" s="1"/>
  <c r="K9" i="14"/>
  <c r="J9" i="14"/>
  <c r="U8" i="14"/>
  <c r="S8" i="14"/>
  <c r="R8" i="14"/>
  <c r="M8" i="14"/>
  <c r="L8" i="14"/>
  <c r="T8" i="14" s="1"/>
  <c r="K8" i="14"/>
  <c r="J8" i="14"/>
  <c r="D8" i="14"/>
  <c r="AP69" i="13"/>
  <c r="AP64" i="13"/>
  <c r="AP60" i="13"/>
  <c r="AP56" i="13"/>
  <c r="AP52" i="13"/>
  <c r="AP48" i="13"/>
  <c r="AV35" i="13"/>
  <c r="AT35" i="13"/>
  <c r="AS35" i="13"/>
  <c r="AT34" i="13"/>
  <c r="BE33" i="13"/>
  <c r="BD33" i="13"/>
  <c r="BB33" i="13"/>
  <c r="AV33" i="13"/>
  <c r="AT33" i="13"/>
  <c r="AS33" i="13"/>
  <c r="DC32" i="13"/>
  <c r="DC31" i="13"/>
  <c r="BE31" i="13"/>
  <c r="BD31" i="13"/>
  <c r="BB31" i="13"/>
  <c r="AV31" i="13"/>
  <c r="AU31" i="13"/>
  <c r="AU33" i="13" s="1"/>
  <c r="AU35" i="13" s="1"/>
  <c r="AS31" i="13"/>
  <c r="DC30" i="13"/>
  <c r="AP30" i="13"/>
  <c r="AN30" i="13"/>
  <c r="DC29" i="13"/>
  <c r="BE29" i="13"/>
  <c r="BD29" i="13"/>
  <c r="BB29" i="13"/>
  <c r="AV29" i="13"/>
  <c r="AU29" i="13"/>
  <c r="AS29" i="13"/>
  <c r="DF28" i="13"/>
  <c r="DC28" i="13"/>
  <c r="DG27" i="13"/>
  <c r="DC27" i="13"/>
  <c r="DB27" i="13"/>
  <c r="DB28" i="13" s="1"/>
  <c r="AX27" i="13"/>
  <c r="DC26" i="13"/>
  <c r="BG26" i="13"/>
  <c r="AX26" i="13"/>
  <c r="BG25" i="13"/>
  <c r="AX25" i="13"/>
  <c r="BG24" i="13"/>
  <c r="AX24" i="13"/>
  <c r="DL23" i="13"/>
  <c r="DQ23" i="13" s="1"/>
  <c r="DV23" i="13" s="1"/>
  <c r="AT23" i="13"/>
  <c r="AP23" i="13" a="1"/>
  <c r="AP27" i="13" s="1"/>
  <c r="R22" i="13"/>
  <c r="CS21" i="13"/>
  <c r="BE21" i="13" a="1"/>
  <c r="BE22" i="13" s="1"/>
  <c r="BD21" i="13"/>
  <c r="BD22" i="13" s="1"/>
  <c r="AV21" i="13" a="1"/>
  <c r="AU21" i="13"/>
  <c r="AU22" i="13" s="1"/>
  <c r="AU23" i="13" s="1"/>
  <c r="AT20" i="13"/>
  <c r="R20" i="13"/>
  <c r="CS19" i="13"/>
  <c r="BD19" i="13"/>
  <c r="BE18" i="13" a="1"/>
  <c r="BD18" i="13"/>
  <c r="AV19" i="13"/>
  <c r="AV18" i="13" a="1"/>
  <c r="AV18" i="13" s="1"/>
  <c r="AU18" i="13"/>
  <c r="AU19" i="13" s="1"/>
  <c r="AU20" i="13" s="1"/>
  <c r="R18" i="13"/>
  <c r="CS17" i="13"/>
  <c r="CI17" i="13"/>
  <c r="CM13" i="13" s="1"/>
  <c r="CA17" i="13"/>
  <c r="AT17" i="13"/>
  <c r="AU16" i="13"/>
  <c r="AU17" i="13" s="1"/>
  <c r="R16" i="13"/>
  <c r="DG15" i="13"/>
  <c r="CS15" i="13"/>
  <c r="CI15" i="13"/>
  <c r="CM12" i="13" s="1"/>
  <c r="CA15" i="13"/>
  <c r="BE15" i="13" a="1"/>
  <c r="BD15" i="13"/>
  <c r="BD16" i="13" s="1"/>
  <c r="AV15" i="13" a="1"/>
  <c r="AV15" i="13" s="1"/>
  <c r="AU15" i="13"/>
  <c r="G15" i="13"/>
  <c r="DV14" i="13"/>
  <c r="DQ14" i="13"/>
  <c r="DM14" i="13"/>
  <c r="DL14" i="13"/>
  <c r="DG14" i="13"/>
  <c r="AT14" i="13"/>
  <c r="G14" i="13"/>
  <c r="DV13" i="13"/>
  <c r="DQ13" i="13"/>
  <c r="DM13" i="13"/>
  <c r="DL13" i="13"/>
  <c r="DG13" i="13"/>
  <c r="CS13" i="13"/>
  <c r="CO13" i="13"/>
  <c r="CK17" i="13" s="1"/>
  <c r="CK18" i="13" s="1"/>
  <c r="CI13" i="13"/>
  <c r="CG13" i="13"/>
  <c r="CC17" i="13" s="1"/>
  <c r="CC18" i="13" s="1"/>
  <c r="CF13" i="13"/>
  <c r="CE13" i="13"/>
  <c r="CA13" i="13"/>
  <c r="CE11" i="13" s="1"/>
  <c r="BD13" i="13"/>
  <c r="BD14" i="13" s="1"/>
  <c r="G13" i="13"/>
  <c r="DV12" i="13"/>
  <c r="DQ12" i="13"/>
  <c r="DM12" i="13"/>
  <c r="DL12" i="13"/>
  <c r="DG12" i="13"/>
  <c r="CO12" i="13"/>
  <c r="CK15" i="13" s="1"/>
  <c r="CK16" i="13" s="1"/>
  <c r="CG12" i="13"/>
  <c r="CC15" i="13" s="1"/>
  <c r="CC16" i="13" s="1"/>
  <c r="CF12" i="13"/>
  <c r="CE12" i="13"/>
  <c r="BH12" i="13" a="1"/>
  <c r="BE12" i="13" a="1"/>
  <c r="BD12" i="13"/>
  <c r="BB22" i="13"/>
  <c r="BB14" i="13"/>
  <c r="BB12" i="13" a="1"/>
  <c r="BB20" i="13" s="1"/>
  <c r="AV13" i="13"/>
  <c r="AV12" i="13" a="1"/>
  <c r="AV12" i="13" s="1"/>
  <c r="AU12" i="13"/>
  <c r="AU13" i="13" s="1"/>
  <c r="AU14" i="13" s="1"/>
  <c r="AS17" i="13"/>
  <c r="AS12" i="13" a="1"/>
  <c r="AS23" i="13" s="1"/>
  <c r="G12" i="13"/>
  <c r="DV11" i="13"/>
  <c r="DQ11" i="13"/>
  <c r="DL11" i="13"/>
  <c r="DG11" i="13"/>
  <c r="CS11" i="13"/>
  <c r="CO11" i="13"/>
  <c r="CK13" i="13" s="1"/>
  <c r="CK14" i="13" s="1"/>
  <c r="CM11" i="13"/>
  <c r="CI11" i="13"/>
  <c r="CG11" i="13"/>
  <c r="CC13" i="13" s="1"/>
  <c r="CC14" i="13" s="1"/>
  <c r="CF11" i="13"/>
  <c r="CC11" i="13"/>
  <c r="CC12" i="13" s="1"/>
  <c r="CA11" i="13"/>
  <c r="G11" i="13"/>
  <c r="DV10" i="13"/>
  <c r="DQ10" i="13"/>
  <c r="DM10" i="13"/>
  <c r="R12" i="13" s="1"/>
  <c r="R14" i="13" s="1"/>
  <c r="DL10" i="13"/>
  <c r="DG10" i="13"/>
  <c r="CO10" i="13"/>
  <c r="CK11" i="13" s="1"/>
  <c r="CK12" i="13" s="1"/>
  <c r="CM10" i="13"/>
  <c r="CJ10" i="13"/>
  <c r="CJ12" i="13" s="1"/>
  <c r="CG10" i="13"/>
  <c r="CF10" i="13"/>
  <c r="CE10" i="13"/>
  <c r="BH10" i="13"/>
  <c r="R10" i="13"/>
  <c r="G10" i="13"/>
  <c r="DW14" i="13"/>
  <c r="CT32" i="13" s="1"/>
  <c r="DW10" i="13"/>
  <c r="CT27" i="13" s="1"/>
  <c r="CT28" i="13" s="1"/>
  <c r="DW9" i="13" a="1"/>
  <c r="DW13" i="13" s="1"/>
  <c r="CT31" i="13" s="1"/>
  <c r="DV9" i="13"/>
  <c r="DU11" i="13"/>
  <c r="DU9" i="13" a="1"/>
  <c r="DU13" i="13" s="1"/>
  <c r="DR9" i="13" a="1"/>
  <c r="DR14" i="13" s="1"/>
  <c r="CB18" i="13" s="1"/>
  <c r="DQ9" i="13"/>
  <c r="DP9" i="13" a="1"/>
  <c r="DL9" i="13"/>
  <c r="DK14" i="13"/>
  <c r="DK27" i="13" s="1"/>
  <c r="DK11" i="13"/>
  <c r="DK24" i="13" s="1"/>
  <c r="DK10" i="13"/>
  <c r="DK23" i="13" s="1"/>
  <c r="DK9" i="13" a="1"/>
  <c r="DK13" i="13" s="1"/>
  <c r="DK26" i="13" s="1"/>
  <c r="DG9" i="13"/>
  <c r="CO9" i="13"/>
  <c r="CK9" i="13" s="1"/>
  <c r="CK10" i="13" s="1"/>
  <c r="CI9" i="13"/>
  <c r="CM9" i="13" s="1"/>
  <c r="CF9" i="13"/>
  <c r="CA9" i="13"/>
  <c r="CE9" i="13" s="1"/>
  <c r="CM29" i="13" s="1" a="1"/>
  <c r="BE10" i="13"/>
  <c r="BE9" i="13" a="1"/>
  <c r="BE11" i="13" s="1"/>
  <c r="BE9" i="13"/>
  <c r="BD9" i="13"/>
  <c r="DB26" i="13" s="1"/>
  <c r="BB9" i="13" a="1"/>
  <c r="BB9" i="13" s="1"/>
  <c r="AV9" i="13" a="1"/>
  <c r="AV9" i="13"/>
  <c r="AU9" i="13"/>
  <c r="DM9" i="13" s="1"/>
  <c r="AS9" i="13" a="1"/>
  <c r="AP13" i="13"/>
  <c r="AO60" i="13" s="1"/>
  <c r="AP10" i="13"/>
  <c r="AP9" i="13" a="1"/>
  <c r="AP15" i="13" s="1"/>
  <c r="N20" i="13"/>
  <c r="N9" i="13" a="1"/>
  <c r="G9" i="13"/>
  <c r="O229" i="12"/>
  <c r="AB226" i="12"/>
  <c r="AA226" i="12"/>
  <c r="Z226" i="12"/>
  <c r="BH21" i="13" s="1" a="1"/>
  <c r="AB225" i="12"/>
  <c r="BH18" i="13" s="1" a="1"/>
  <c r="AA225" i="12"/>
  <c r="Z225" i="12"/>
  <c r="AB224" i="12"/>
  <c r="AA224" i="12"/>
  <c r="Z224" i="12"/>
  <c r="BH15" i="13" s="1" a="1"/>
  <c r="AB223" i="12"/>
  <c r="AA223" i="12"/>
  <c r="Z223" i="12"/>
  <c r="AB221" i="12"/>
  <c r="AA221" i="12"/>
  <c r="Z221" i="12"/>
  <c r="BH24" i="13" s="1" a="1"/>
  <c r="AB220" i="12"/>
  <c r="AA220" i="12"/>
  <c r="AC214" i="12"/>
  <c r="AB214" i="12"/>
  <c r="AA214" i="12"/>
  <c r="Z214" i="12"/>
  <c r="AC213" i="12"/>
  <c r="AB213" i="12"/>
  <c r="AA213" i="12"/>
  <c r="Z213" i="12"/>
  <c r="AC212" i="12"/>
  <c r="AB212" i="12"/>
  <c r="AA212" i="12"/>
  <c r="Z212" i="12"/>
  <c r="AC211" i="12"/>
  <c r="AB211" i="12"/>
  <c r="AA211" i="12"/>
  <c r="Z211" i="12"/>
  <c r="AC209" i="12"/>
  <c r="AB209" i="12"/>
  <c r="AA209" i="12"/>
  <c r="Z209" i="12"/>
  <c r="AY27" i="13" s="1"/>
  <c r="AC208" i="12"/>
  <c r="AB208" i="12"/>
  <c r="AY10" i="13" s="1"/>
  <c r="Z208" i="12"/>
  <c r="N197" i="12"/>
  <c r="CN27" i="13" s="1"/>
  <c r="T194" i="12"/>
  <c r="N194" i="12"/>
  <c r="CN24" i="13" s="1"/>
  <c r="T193" i="12"/>
  <c r="N196" i="12" s="1"/>
  <c r="CN26" i="13" s="1"/>
  <c r="U189" i="12"/>
  <c r="X188" i="12"/>
  <c r="X187" i="12"/>
  <c r="X186" i="12"/>
  <c r="X185" i="12"/>
  <c r="G185" i="12"/>
  <c r="G186" i="12" s="1"/>
  <c r="X184" i="12"/>
  <c r="G184" i="12"/>
  <c r="U183" i="12"/>
  <c r="P183" i="12"/>
  <c r="K179" i="12"/>
  <c r="K178" i="12"/>
  <c r="M176" i="12"/>
  <c r="AB164" i="12"/>
  <c r="N161" i="12" s="1"/>
  <c r="P161" i="12" s="1"/>
  <c r="BE163" i="12"/>
  <c r="BD163" i="12"/>
  <c r="BC163" i="12"/>
  <c r="BB163" i="12"/>
  <c r="BA163" i="12"/>
  <c r="AZ163" i="12"/>
  <c r="AY163" i="12"/>
  <c r="AT163" i="12"/>
  <c r="AS163" i="12"/>
  <c r="AR163" i="12"/>
  <c r="AP163" i="12"/>
  <c r="AO163" i="12"/>
  <c r="BE162" i="12"/>
  <c r="BD162" i="12"/>
  <c r="BC162" i="12"/>
  <c r="BB162" i="12"/>
  <c r="BA162" i="12"/>
  <c r="AZ162" i="12"/>
  <c r="AY162" i="12"/>
  <c r="AT162" i="12"/>
  <c r="AS162" i="12"/>
  <c r="AR162" i="12"/>
  <c r="AP162" i="12"/>
  <c r="AO162" i="12"/>
  <c r="P162" i="12"/>
  <c r="J162" i="12"/>
  <c r="J189" i="12" s="1"/>
  <c r="J199" i="12" s="1"/>
  <c r="J214" i="12" s="1"/>
  <c r="J226" i="12" s="1"/>
  <c r="BE161" i="12"/>
  <c r="BD161" i="12"/>
  <c r="BC161" i="12"/>
  <c r="BB161" i="12"/>
  <c r="BA161" i="12"/>
  <c r="AZ161" i="12"/>
  <c r="AY161" i="12"/>
  <c r="AT161" i="12"/>
  <c r="AS161" i="12"/>
  <c r="AR161" i="12"/>
  <c r="AQ161" i="12"/>
  <c r="AP161" i="12"/>
  <c r="AO161" i="12"/>
  <c r="BE160" i="12"/>
  <c r="BD160" i="12"/>
  <c r="BC160" i="12"/>
  <c r="BB160" i="12"/>
  <c r="BA160" i="12"/>
  <c r="AZ160" i="12"/>
  <c r="AY160" i="12"/>
  <c r="AT160" i="12"/>
  <c r="AS160" i="12"/>
  <c r="AR160" i="12"/>
  <c r="AQ160" i="12"/>
  <c r="AP160" i="12"/>
  <c r="AO160" i="12"/>
  <c r="P160" i="12"/>
  <c r="BE159" i="12"/>
  <c r="BD159" i="12"/>
  <c r="BC159" i="12"/>
  <c r="BB159" i="12"/>
  <c r="BA159" i="12"/>
  <c r="AZ159" i="12"/>
  <c r="AY159" i="12"/>
  <c r="AT159" i="12"/>
  <c r="AS159" i="12"/>
  <c r="AR159" i="12"/>
  <c r="AQ159" i="12"/>
  <c r="AP159" i="12"/>
  <c r="AO159" i="12"/>
  <c r="L159" i="12"/>
  <c r="L186" i="12" s="1"/>
  <c r="L196" i="12" s="1"/>
  <c r="L211" i="12" s="1"/>
  <c r="L223" i="12" s="1"/>
  <c r="BE158" i="12"/>
  <c r="BD158" i="12"/>
  <c r="BC158" i="12"/>
  <c r="BB158" i="12"/>
  <c r="BA158" i="12"/>
  <c r="AZ158" i="12"/>
  <c r="AY158" i="12"/>
  <c r="AU158" i="12"/>
  <c r="AT158" i="12"/>
  <c r="AS158" i="12"/>
  <c r="AR158" i="12"/>
  <c r="AQ158" i="12"/>
  <c r="AP158" i="12"/>
  <c r="AO158" i="12"/>
  <c r="N158" i="12"/>
  <c r="P158" i="12" s="1"/>
  <c r="J158" i="12"/>
  <c r="J185" i="12" s="1"/>
  <c r="J195" i="12" s="1"/>
  <c r="J210" i="12" s="1"/>
  <c r="J222" i="12" s="1"/>
  <c r="BE157" i="12"/>
  <c r="BD157" i="12"/>
  <c r="BC157" i="12"/>
  <c r="BB157" i="12"/>
  <c r="BA157" i="12"/>
  <c r="AZ157" i="12"/>
  <c r="AY157" i="12"/>
  <c r="AU157" i="12"/>
  <c r="AT157" i="12"/>
  <c r="AS157" i="12"/>
  <c r="AR157" i="12"/>
  <c r="AQ157" i="12"/>
  <c r="AP157" i="12"/>
  <c r="AO157" i="12"/>
  <c r="N157" i="12"/>
  <c r="P157" i="12" s="1"/>
  <c r="L157" i="12"/>
  <c r="L184" i="12" s="1"/>
  <c r="L194" i="12" s="1"/>
  <c r="L209" i="12" s="1"/>
  <c r="L221" i="12" s="1"/>
  <c r="BE156" i="12"/>
  <c r="BD156" i="12"/>
  <c r="BC156" i="12"/>
  <c r="BB156" i="12"/>
  <c r="BA156" i="12"/>
  <c r="AZ156" i="12"/>
  <c r="AY156" i="12"/>
  <c r="AT156" i="12"/>
  <c r="AS156" i="12"/>
  <c r="AR156" i="12"/>
  <c r="AQ156" i="12"/>
  <c r="AP156" i="12"/>
  <c r="AO156" i="12"/>
  <c r="P156" i="12"/>
  <c r="K156" i="12"/>
  <c r="K183" i="12" s="1"/>
  <c r="K193" i="12" s="1"/>
  <c r="K208" i="12" s="1"/>
  <c r="K220" i="12" s="1"/>
  <c r="K155" i="12"/>
  <c r="K182" i="12" s="1"/>
  <c r="K192" i="12" s="1"/>
  <c r="K207" i="12" s="1"/>
  <c r="K219" i="12" s="1"/>
  <c r="N147" i="12"/>
  <c r="AG32" i="13" s="1"/>
  <c r="L147" i="12"/>
  <c r="J147" i="12"/>
  <c r="N146" i="12"/>
  <c r="AG31" i="13" s="1"/>
  <c r="M146" i="12"/>
  <c r="N145" i="12"/>
  <c r="AG30" i="13" s="1"/>
  <c r="J145" i="12"/>
  <c r="AG29" i="13"/>
  <c r="K144" i="12"/>
  <c r="AG28" i="13"/>
  <c r="AG27" i="13"/>
  <c r="M142" i="12"/>
  <c r="AG26" i="13"/>
  <c r="J141" i="12"/>
  <c r="J140" i="12"/>
  <c r="T136" i="12"/>
  <c r="S136" i="12"/>
  <c r="T135" i="12"/>
  <c r="S135" i="12"/>
  <c r="T134" i="12"/>
  <c r="S134" i="12"/>
  <c r="M134" i="12"/>
  <c r="L134" i="12"/>
  <c r="K134" i="12"/>
  <c r="J134" i="12"/>
  <c r="T133" i="12"/>
  <c r="S133" i="12"/>
  <c r="M133" i="12"/>
  <c r="L133" i="12"/>
  <c r="K133" i="12"/>
  <c r="J133" i="12"/>
  <c r="T132" i="12"/>
  <c r="S132" i="12"/>
  <c r="M132" i="12"/>
  <c r="L132" i="12"/>
  <c r="K132" i="12"/>
  <c r="J132" i="12"/>
  <c r="T131" i="12"/>
  <c r="M131" i="12"/>
  <c r="L131" i="12"/>
  <c r="K131" i="12"/>
  <c r="J131" i="12"/>
  <c r="M130" i="12"/>
  <c r="L130" i="12"/>
  <c r="K130" i="12"/>
  <c r="J130" i="12"/>
  <c r="M129" i="12"/>
  <c r="L129" i="12"/>
  <c r="K129" i="12"/>
  <c r="J129" i="12"/>
  <c r="M128" i="12"/>
  <c r="L128" i="12"/>
  <c r="K128" i="12"/>
  <c r="J128" i="12"/>
  <c r="N127" i="12"/>
  <c r="S22" i="13" s="1"/>
  <c r="M127" i="12"/>
  <c r="M162" i="12" s="1"/>
  <c r="M189" i="12" s="1"/>
  <c r="M199" i="12" s="1"/>
  <c r="M214" i="12" s="1"/>
  <c r="M226" i="12" s="1"/>
  <c r="L127" i="12"/>
  <c r="L162" i="12" s="1"/>
  <c r="L189" i="12" s="1"/>
  <c r="L199" i="12" s="1"/>
  <c r="L214" i="12" s="1"/>
  <c r="L226" i="12" s="1"/>
  <c r="K127" i="12"/>
  <c r="K162" i="12" s="1"/>
  <c r="K189" i="12" s="1"/>
  <c r="K199" i="12" s="1"/>
  <c r="K214" i="12" s="1"/>
  <c r="K226" i="12" s="1"/>
  <c r="N126" i="12"/>
  <c r="S20" i="13" s="1"/>
  <c r="S19" i="13" s="1"/>
  <c r="M126" i="12"/>
  <c r="M161" i="12" s="1"/>
  <c r="M188" i="12" s="1"/>
  <c r="M198" i="12" s="1"/>
  <c r="M213" i="12" s="1"/>
  <c r="M225" i="12" s="1"/>
  <c r="L126" i="12"/>
  <c r="L161" i="12" s="1"/>
  <c r="L188" i="12" s="1"/>
  <c r="L198" i="12" s="1"/>
  <c r="L213" i="12" s="1"/>
  <c r="L225" i="12" s="1"/>
  <c r="K126" i="12"/>
  <c r="K161" i="12" s="1"/>
  <c r="K188" i="12" s="1"/>
  <c r="K198" i="12" s="1"/>
  <c r="K213" i="12" s="1"/>
  <c r="K225" i="12" s="1"/>
  <c r="J126" i="12"/>
  <c r="J161" i="12" s="1"/>
  <c r="J188" i="12" s="1"/>
  <c r="J198" i="12" s="1"/>
  <c r="J213" i="12" s="1"/>
  <c r="J225" i="12" s="1"/>
  <c r="N125" i="12"/>
  <c r="S18" i="13" s="1"/>
  <c r="M125" i="12"/>
  <c r="M160" i="12" s="1"/>
  <c r="M187" i="12" s="1"/>
  <c r="M197" i="12" s="1"/>
  <c r="M212" i="12" s="1"/>
  <c r="M224" i="12" s="1"/>
  <c r="L125" i="12"/>
  <c r="L160" i="12" s="1"/>
  <c r="L187" i="12" s="1"/>
  <c r="L197" i="12" s="1"/>
  <c r="L212" i="12" s="1"/>
  <c r="L224" i="12" s="1"/>
  <c r="K125" i="12"/>
  <c r="K160" i="12" s="1"/>
  <c r="K187" i="12" s="1"/>
  <c r="K197" i="12" s="1"/>
  <c r="K212" i="12" s="1"/>
  <c r="K224" i="12" s="1"/>
  <c r="J125" i="12"/>
  <c r="J160" i="12" s="1"/>
  <c r="J187" i="12" s="1"/>
  <c r="J197" i="12" s="1"/>
  <c r="J212" i="12" s="1"/>
  <c r="J224" i="12" s="1"/>
  <c r="N124" i="12"/>
  <c r="S16" i="13" s="1"/>
  <c r="S15" i="13" s="1"/>
  <c r="M124" i="12"/>
  <c r="M144" i="12" s="1"/>
  <c r="L124" i="12"/>
  <c r="L144" i="12" s="1"/>
  <c r="K124" i="12"/>
  <c r="K159" i="12" s="1"/>
  <c r="K186" i="12" s="1"/>
  <c r="K196" i="12" s="1"/>
  <c r="K211" i="12" s="1"/>
  <c r="K223" i="12" s="1"/>
  <c r="J124" i="12"/>
  <c r="J144" i="12" s="1"/>
  <c r="N123" i="12"/>
  <c r="S14" i="13" s="1"/>
  <c r="M123" i="12"/>
  <c r="M158" i="12" s="1"/>
  <c r="M185" i="12" s="1"/>
  <c r="M195" i="12" s="1"/>
  <c r="M210" i="12" s="1"/>
  <c r="M222" i="12" s="1"/>
  <c r="L123" i="12"/>
  <c r="L158" i="12" s="1"/>
  <c r="L185" i="12" s="1"/>
  <c r="L195" i="12" s="1"/>
  <c r="L210" i="12" s="1"/>
  <c r="L222" i="12" s="1"/>
  <c r="K123" i="12"/>
  <c r="K143" i="12" s="1"/>
  <c r="J123" i="12"/>
  <c r="J143" i="12" s="1"/>
  <c r="N122" i="12"/>
  <c r="S12" i="13" s="1"/>
  <c r="M122" i="12"/>
  <c r="M157" i="12" s="1"/>
  <c r="M184" i="12" s="1"/>
  <c r="M194" i="12" s="1"/>
  <c r="M209" i="12" s="1"/>
  <c r="M221" i="12" s="1"/>
  <c r="L122" i="12"/>
  <c r="L142" i="12" s="1"/>
  <c r="K122" i="12"/>
  <c r="K157" i="12" s="1"/>
  <c r="K184" i="12" s="1"/>
  <c r="K194" i="12" s="1"/>
  <c r="K209" i="12" s="1"/>
  <c r="K221" i="12" s="1"/>
  <c r="J122" i="12"/>
  <c r="J157" i="12" s="1"/>
  <c r="J184" i="12" s="1"/>
  <c r="J194" i="12" s="1"/>
  <c r="J209" i="12" s="1"/>
  <c r="J221" i="12" s="1"/>
  <c r="N121" i="12"/>
  <c r="S10" i="13" s="1"/>
  <c r="M121" i="12"/>
  <c r="M141" i="12" s="1"/>
  <c r="L121" i="12"/>
  <c r="L141" i="12" s="1"/>
  <c r="K121" i="12"/>
  <c r="K141" i="12" s="1"/>
  <c r="J121" i="12"/>
  <c r="J156" i="12" s="1"/>
  <c r="J183" i="12" s="1"/>
  <c r="J193" i="12" s="1"/>
  <c r="J208" i="12" s="1"/>
  <c r="J220" i="12" s="1"/>
  <c r="L120" i="12"/>
  <c r="L140" i="12" s="1"/>
  <c r="K120" i="12"/>
  <c r="K140" i="12" s="1"/>
  <c r="J120" i="12"/>
  <c r="J155" i="12" s="1"/>
  <c r="J182" i="12" s="1"/>
  <c r="J192" i="12" s="1"/>
  <c r="J207" i="12" s="1"/>
  <c r="J219" i="12" s="1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DC89" i="12"/>
  <c r="DB89" i="12"/>
  <c r="CY89" i="12"/>
  <c r="CX89" i="12"/>
  <c r="CU89" i="12"/>
  <c r="CT89" i="12"/>
  <c r="CQ89" i="12"/>
  <c r="CP89" i="12"/>
  <c r="CO89" i="12"/>
  <c r="CN89" i="12"/>
  <c r="CM89" i="12"/>
  <c r="DA89" i="12" s="1"/>
  <c r="CL89" i="12"/>
  <c r="CZ89" i="12" s="1"/>
  <c r="CK89" i="12"/>
  <c r="CJ89" i="12"/>
  <c r="CI89" i="12"/>
  <c r="CW89" i="12" s="1"/>
  <c r="CH89" i="12"/>
  <c r="CV89" i="12" s="1"/>
  <c r="CG89" i="12"/>
  <c r="CF89" i="12"/>
  <c r="CE89" i="12"/>
  <c r="CS89" i="12" s="1"/>
  <c r="CD89" i="12"/>
  <c r="CR89" i="12" s="1"/>
  <c r="CC89" i="12"/>
  <c r="CB89" i="12"/>
  <c r="DB88" i="12"/>
  <c r="DA88" i="12"/>
  <c r="CX88" i="12"/>
  <c r="CW88" i="12"/>
  <c r="CT88" i="12"/>
  <c r="CS88" i="12"/>
  <c r="CP88" i="12"/>
  <c r="CO88" i="12"/>
  <c r="DC88" i="12" s="1"/>
  <c r="CN88" i="12"/>
  <c r="CM88" i="12"/>
  <c r="CL88" i="12"/>
  <c r="CZ88" i="12" s="1"/>
  <c r="CK88" i="12"/>
  <c r="CY88" i="12" s="1"/>
  <c r="CJ88" i="12"/>
  <c r="CI88" i="12"/>
  <c r="CH88" i="12"/>
  <c r="CV88" i="12" s="1"/>
  <c r="CG88" i="12"/>
  <c r="CU88" i="12" s="1"/>
  <c r="CF88" i="12"/>
  <c r="CE88" i="12"/>
  <c r="CD88" i="12"/>
  <c r="CR88" i="12" s="1"/>
  <c r="CC88" i="12"/>
  <c r="CQ88" i="12" s="1"/>
  <c r="CB88" i="12"/>
  <c r="DP87" i="12"/>
  <c r="DN87" i="12"/>
  <c r="DL87" i="12"/>
  <c r="DJ87" i="12"/>
  <c r="DH87" i="12"/>
  <c r="DB87" i="12"/>
  <c r="DA87" i="12"/>
  <c r="CX87" i="12"/>
  <c r="CW87" i="12"/>
  <c r="CT87" i="12"/>
  <c r="CS87" i="12"/>
  <c r="CP87" i="12"/>
  <c r="CO87" i="12"/>
  <c r="DC87" i="12" s="1"/>
  <c r="CN87" i="12"/>
  <c r="CM87" i="12"/>
  <c r="CL87" i="12"/>
  <c r="CZ87" i="12" s="1"/>
  <c r="CK87" i="12"/>
  <c r="CY87" i="12" s="1"/>
  <c r="CJ87" i="12"/>
  <c r="CI87" i="12"/>
  <c r="CH87" i="12"/>
  <c r="CV87" i="12" s="1"/>
  <c r="CG87" i="12"/>
  <c r="CU87" i="12" s="1"/>
  <c r="CF87" i="12"/>
  <c r="CE87" i="12"/>
  <c r="CD87" i="12"/>
  <c r="CR87" i="12" s="1"/>
  <c r="CC87" i="12"/>
  <c r="CQ87" i="12" s="1"/>
  <c r="CB87" i="12"/>
  <c r="AE87" i="12"/>
  <c r="DP86" i="12"/>
  <c r="DN86" i="12"/>
  <c r="DL86" i="12"/>
  <c r="DJ86" i="12"/>
  <c r="DH86" i="12"/>
  <c r="DF86" i="12"/>
  <c r="DC86" i="12"/>
  <c r="DB86" i="12"/>
  <c r="CY86" i="12"/>
  <c r="CX86" i="12"/>
  <c r="CU86" i="12"/>
  <c r="CT86" i="12"/>
  <c r="CQ86" i="12"/>
  <c r="CP86" i="12"/>
  <c r="CO86" i="12"/>
  <c r="CN86" i="12"/>
  <c r="CM86" i="12"/>
  <c r="DA86" i="12" s="1"/>
  <c r="CL86" i="12"/>
  <c r="CZ86" i="12" s="1"/>
  <c r="CK86" i="12"/>
  <c r="CJ86" i="12"/>
  <c r="CI86" i="12"/>
  <c r="CW86" i="12" s="1"/>
  <c r="CH86" i="12"/>
  <c r="CV86" i="12" s="1"/>
  <c r="CG86" i="12"/>
  <c r="CF86" i="12"/>
  <c r="CE86" i="12"/>
  <c r="CS86" i="12" s="1"/>
  <c r="CD86" i="12"/>
  <c r="CR86" i="12" s="1"/>
  <c r="CC86" i="12"/>
  <c r="CB86" i="12"/>
  <c r="T86" i="12"/>
  <c r="DP85" i="12"/>
  <c r="DN85" i="12"/>
  <c r="DL85" i="12"/>
  <c r="DJ85" i="12"/>
  <c r="DH85" i="12"/>
  <c r="DC85" i="12"/>
  <c r="CZ85" i="12"/>
  <c r="CY85" i="12"/>
  <c r="CV85" i="12"/>
  <c r="CU85" i="12"/>
  <c r="CR85" i="12"/>
  <c r="CQ85" i="12"/>
  <c r="CO85" i="12"/>
  <c r="CN85" i="12"/>
  <c r="DB85" i="12" s="1"/>
  <c r="CM85" i="12"/>
  <c r="DA85" i="12" s="1"/>
  <c r="CL85" i="12"/>
  <c r="CK85" i="12"/>
  <c r="CJ85" i="12"/>
  <c r="CX85" i="12" s="1"/>
  <c r="CI85" i="12"/>
  <c r="CW85" i="12" s="1"/>
  <c r="CH85" i="12"/>
  <c r="CG85" i="12"/>
  <c r="CF85" i="12"/>
  <c r="CT85" i="12" s="1"/>
  <c r="CE85" i="12"/>
  <c r="CS85" i="12" s="1"/>
  <c r="CD85" i="12"/>
  <c r="CC85" i="12"/>
  <c r="CB85" i="12"/>
  <c r="CP85" i="12" s="1"/>
  <c r="DP84" i="12"/>
  <c r="DN84" i="12"/>
  <c r="DB84" i="12"/>
  <c r="DA84" i="12"/>
  <c r="CX84" i="12"/>
  <c r="CW84" i="12"/>
  <c r="CT84" i="12"/>
  <c r="CS84" i="12"/>
  <c r="CP84" i="12"/>
  <c r="CO84" i="12"/>
  <c r="DC84" i="12" s="1"/>
  <c r="CN84" i="12"/>
  <c r="CM84" i="12"/>
  <c r="CL84" i="12"/>
  <c r="CZ84" i="12" s="1"/>
  <c r="CK84" i="12"/>
  <c r="CY84" i="12" s="1"/>
  <c r="CJ84" i="12"/>
  <c r="CI84" i="12"/>
  <c r="CH84" i="12"/>
  <c r="CV84" i="12" s="1"/>
  <c r="CG84" i="12"/>
  <c r="CU84" i="12" s="1"/>
  <c r="CF84" i="12"/>
  <c r="CE84" i="12"/>
  <c r="CD84" i="12"/>
  <c r="CR84" i="12" s="1"/>
  <c r="CC84" i="12"/>
  <c r="CQ84" i="12" s="1"/>
  <c r="CB84" i="12"/>
  <c r="DL83" i="12"/>
  <c r="DJ83" i="12"/>
  <c r="DH83" i="12"/>
  <c r="DF83" i="12"/>
  <c r="DB83" i="12"/>
  <c r="DA83" i="12"/>
  <c r="CX83" i="12"/>
  <c r="CW83" i="12"/>
  <c r="CT83" i="12"/>
  <c r="CS83" i="12"/>
  <c r="CP83" i="12"/>
  <c r="CO83" i="12"/>
  <c r="DC83" i="12" s="1"/>
  <c r="CN83" i="12"/>
  <c r="CM83" i="12"/>
  <c r="CL83" i="12"/>
  <c r="CZ83" i="12" s="1"/>
  <c r="CK83" i="12"/>
  <c r="CY83" i="12" s="1"/>
  <c r="CJ83" i="12"/>
  <c r="CI83" i="12"/>
  <c r="CH83" i="12"/>
  <c r="CV83" i="12" s="1"/>
  <c r="CG83" i="12"/>
  <c r="CU83" i="12" s="1"/>
  <c r="CF83" i="12"/>
  <c r="CE83" i="12"/>
  <c r="CD83" i="12"/>
  <c r="CR83" i="12" s="1"/>
  <c r="CC83" i="12"/>
  <c r="CQ83" i="12" s="1"/>
  <c r="CB83" i="12"/>
  <c r="K83" i="12"/>
  <c r="DP82" i="12"/>
  <c r="DN82" i="12"/>
  <c r="DL82" i="12"/>
  <c r="DJ82" i="12"/>
  <c r="DH82" i="12"/>
  <c r="DF82" i="12"/>
  <c r="DA82" i="12"/>
  <c r="CZ82" i="12"/>
  <c r="CW82" i="12"/>
  <c r="CV82" i="12"/>
  <c r="CS82" i="12"/>
  <c r="CR82" i="12"/>
  <c r="CO82" i="12"/>
  <c r="DC82" i="12" s="1"/>
  <c r="CN82" i="12"/>
  <c r="DB82" i="12" s="1"/>
  <c r="CM82" i="12"/>
  <c r="CL82" i="12"/>
  <c r="CK82" i="12"/>
  <c r="CY82" i="12" s="1"/>
  <c r="CJ82" i="12"/>
  <c r="CX82" i="12" s="1"/>
  <c r="CI82" i="12"/>
  <c r="CH82" i="12"/>
  <c r="CG82" i="12"/>
  <c r="CU82" i="12" s="1"/>
  <c r="CF82" i="12"/>
  <c r="CT82" i="12" s="1"/>
  <c r="CE82" i="12"/>
  <c r="CD82" i="12"/>
  <c r="CC82" i="12"/>
  <c r="CQ82" i="12" s="1"/>
  <c r="CB82" i="12"/>
  <c r="CP82" i="12" s="1"/>
  <c r="DN81" i="12"/>
  <c r="DL81" i="12"/>
  <c r="DI81" i="12"/>
  <c r="DH81" i="12"/>
  <c r="DA81" i="12"/>
  <c r="CZ81" i="12"/>
  <c r="CW81" i="12"/>
  <c r="CV81" i="12"/>
  <c r="CS81" i="12"/>
  <c r="CR81" i="12"/>
  <c r="CO81" i="12"/>
  <c r="DC81" i="12" s="1"/>
  <c r="CN81" i="12"/>
  <c r="DB81" i="12" s="1"/>
  <c r="CM81" i="12"/>
  <c r="CL81" i="12"/>
  <c r="CK81" i="12"/>
  <c r="CY81" i="12" s="1"/>
  <c r="CJ81" i="12"/>
  <c r="CX81" i="12" s="1"/>
  <c r="CI81" i="12"/>
  <c r="CH81" i="12"/>
  <c r="CG81" i="12"/>
  <c r="CU81" i="12" s="1"/>
  <c r="CF81" i="12"/>
  <c r="CT81" i="12" s="1"/>
  <c r="CE81" i="12"/>
  <c r="CD81" i="12"/>
  <c r="CC81" i="12"/>
  <c r="CQ81" i="12" s="1"/>
  <c r="CB81" i="12"/>
  <c r="CP81" i="12" s="1"/>
  <c r="DN80" i="12"/>
  <c r="DL80" i="12"/>
  <c r="DJ80" i="12"/>
  <c r="DH80" i="12"/>
  <c r="DA80" i="12"/>
  <c r="CZ80" i="12"/>
  <c r="CW80" i="12"/>
  <c r="CV80" i="12"/>
  <c r="CS80" i="12"/>
  <c r="CR80" i="12"/>
  <c r="CO80" i="12"/>
  <c r="DC80" i="12" s="1"/>
  <c r="CN80" i="12"/>
  <c r="DB80" i="12" s="1"/>
  <c r="CM80" i="12"/>
  <c r="CL80" i="12"/>
  <c r="CK80" i="12"/>
  <c r="CY80" i="12" s="1"/>
  <c r="CJ80" i="12"/>
  <c r="CX80" i="12" s="1"/>
  <c r="CI80" i="12"/>
  <c r="CH80" i="12"/>
  <c r="CG80" i="12"/>
  <c r="CU80" i="12" s="1"/>
  <c r="CF80" i="12"/>
  <c r="CT80" i="12" s="1"/>
  <c r="CE80" i="12"/>
  <c r="CD80" i="12"/>
  <c r="CC80" i="12"/>
  <c r="CQ80" i="12" s="1"/>
  <c r="CB80" i="12"/>
  <c r="CP80" i="12" s="1"/>
  <c r="N80" i="12"/>
  <c r="DL79" i="12"/>
  <c r="DJ79" i="12"/>
  <c r="DH79" i="12"/>
  <c r="DF79" i="12"/>
  <c r="DA79" i="12"/>
  <c r="CZ79" i="12"/>
  <c r="CW79" i="12"/>
  <c r="CV79" i="12"/>
  <c r="CS79" i="12"/>
  <c r="CR79" i="12"/>
  <c r="CO79" i="12"/>
  <c r="DC79" i="12" s="1"/>
  <c r="CN79" i="12"/>
  <c r="DB79" i="12" s="1"/>
  <c r="CM79" i="12"/>
  <c r="CL79" i="12"/>
  <c r="CK79" i="12"/>
  <c r="CY79" i="12" s="1"/>
  <c r="CJ79" i="12"/>
  <c r="CX79" i="12" s="1"/>
  <c r="CI79" i="12"/>
  <c r="CH79" i="12"/>
  <c r="CG79" i="12"/>
  <c r="CU79" i="12" s="1"/>
  <c r="CF79" i="12"/>
  <c r="CT79" i="12" s="1"/>
  <c r="CE79" i="12"/>
  <c r="CD79" i="12"/>
  <c r="CC79" i="12"/>
  <c r="CQ79" i="12" s="1"/>
  <c r="CB79" i="12"/>
  <c r="CP79" i="12" s="1"/>
  <c r="DL78" i="12"/>
  <c r="DJ78" i="12"/>
  <c r="DH78" i="12"/>
  <c r="DC78" i="12"/>
  <c r="CZ78" i="12"/>
  <c r="CY78" i="12"/>
  <c r="CV78" i="12"/>
  <c r="CU78" i="12"/>
  <c r="CR78" i="12"/>
  <c r="CQ78" i="12"/>
  <c r="CO78" i="12"/>
  <c r="CN78" i="12"/>
  <c r="DB78" i="12" s="1"/>
  <c r="CM78" i="12"/>
  <c r="DA78" i="12" s="1"/>
  <c r="CL78" i="12"/>
  <c r="CK78" i="12"/>
  <c r="CJ78" i="12"/>
  <c r="CX78" i="12" s="1"/>
  <c r="CI78" i="12"/>
  <c r="CW78" i="12" s="1"/>
  <c r="CH78" i="12"/>
  <c r="CG78" i="12"/>
  <c r="CF78" i="12"/>
  <c r="CT78" i="12" s="1"/>
  <c r="CE78" i="12"/>
  <c r="CS78" i="12" s="1"/>
  <c r="CD78" i="12"/>
  <c r="CC78" i="12"/>
  <c r="CB78" i="12"/>
  <c r="CP78" i="12" s="1"/>
  <c r="U78" i="12"/>
  <c r="DN77" i="12"/>
  <c r="DL77" i="12"/>
  <c r="DJ77" i="12"/>
  <c r="DH77" i="12"/>
  <c r="DC77" i="12"/>
  <c r="CZ77" i="12"/>
  <c r="CY77" i="12"/>
  <c r="CV77" i="12"/>
  <c r="CU77" i="12"/>
  <c r="CR77" i="12"/>
  <c r="CQ77" i="12"/>
  <c r="CO77" i="12"/>
  <c r="CN77" i="12"/>
  <c r="DB77" i="12" s="1"/>
  <c r="CM77" i="12"/>
  <c r="DA77" i="12" s="1"/>
  <c r="CL77" i="12"/>
  <c r="CK77" i="12"/>
  <c r="CJ77" i="12"/>
  <c r="CX77" i="12" s="1"/>
  <c r="CI77" i="12"/>
  <c r="CW77" i="12" s="1"/>
  <c r="CH77" i="12"/>
  <c r="CG77" i="12"/>
  <c r="CF77" i="12"/>
  <c r="CT77" i="12" s="1"/>
  <c r="CE77" i="12"/>
  <c r="CS77" i="12" s="1"/>
  <c r="CD77" i="12"/>
  <c r="CC77" i="12"/>
  <c r="CB77" i="12"/>
  <c r="CP77" i="12" s="1"/>
  <c r="U77" i="12"/>
  <c r="DH76" i="12"/>
  <c r="DA76" i="12"/>
  <c r="CZ76" i="12"/>
  <c r="CW76" i="12"/>
  <c r="CV76" i="12"/>
  <c r="CS76" i="12"/>
  <c r="CR76" i="12"/>
  <c r="CO76" i="12"/>
  <c r="DC76" i="12" s="1"/>
  <c r="CN76" i="12"/>
  <c r="DB76" i="12" s="1"/>
  <c r="CM76" i="12"/>
  <c r="CL76" i="12"/>
  <c r="CK76" i="12"/>
  <c r="CY76" i="12" s="1"/>
  <c r="CJ76" i="12"/>
  <c r="CX76" i="12" s="1"/>
  <c r="CI76" i="12"/>
  <c r="CH76" i="12"/>
  <c r="CG76" i="12"/>
  <c r="CU76" i="12" s="1"/>
  <c r="CF76" i="12"/>
  <c r="CT76" i="12" s="1"/>
  <c r="CE76" i="12"/>
  <c r="CD76" i="12"/>
  <c r="CC76" i="12"/>
  <c r="CQ76" i="12" s="1"/>
  <c r="CB76" i="12"/>
  <c r="CP76" i="12" s="1"/>
  <c r="K76" i="12"/>
  <c r="DP75" i="12"/>
  <c r="DO75" i="12"/>
  <c r="DN75" i="12"/>
  <c r="DL75" i="12"/>
  <c r="DJ75" i="12"/>
  <c r="DH75" i="12"/>
  <c r="DC75" i="12"/>
  <c r="CZ75" i="12"/>
  <c r="CY75" i="12"/>
  <c r="CV75" i="12"/>
  <c r="CU75" i="12"/>
  <c r="CR75" i="12"/>
  <c r="CQ75" i="12"/>
  <c r="CO75" i="12"/>
  <c r="CN75" i="12"/>
  <c r="DB75" i="12" s="1"/>
  <c r="CM75" i="12"/>
  <c r="DA75" i="12" s="1"/>
  <c r="CL75" i="12"/>
  <c r="CK75" i="12"/>
  <c r="CJ75" i="12"/>
  <c r="CX75" i="12" s="1"/>
  <c r="CI75" i="12"/>
  <c r="CW75" i="12" s="1"/>
  <c r="CH75" i="12"/>
  <c r="CG75" i="12"/>
  <c r="CF75" i="12"/>
  <c r="CT75" i="12" s="1"/>
  <c r="CE75" i="12"/>
  <c r="CS75" i="12" s="1"/>
  <c r="CD75" i="12"/>
  <c r="CC75" i="12"/>
  <c r="CB75" i="12"/>
  <c r="CP75" i="12" s="1"/>
  <c r="DJ74" i="12"/>
  <c r="DH74" i="12"/>
  <c r="DF74" i="12"/>
  <c r="DC74" i="12"/>
  <c r="DB74" i="12"/>
  <c r="CY74" i="12"/>
  <c r="CX74" i="12"/>
  <c r="CU74" i="12"/>
  <c r="CT74" i="12"/>
  <c r="CQ74" i="12"/>
  <c r="CP74" i="12"/>
  <c r="CO74" i="12"/>
  <c r="CN74" i="12"/>
  <c r="CM74" i="12"/>
  <c r="DA74" i="12" s="1"/>
  <c r="CL74" i="12"/>
  <c r="CZ74" i="12" s="1"/>
  <c r="CK74" i="12"/>
  <c r="CJ74" i="12"/>
  <c r="CI74" i="12"/>
  <c r="CW74" i="12" s="1"/>
  <c r="CH74" i="12"/>
  <c r="CV74" i="12" s="1"/>
  <c r="CG74" i="12"/>
  <c r="CF74" i="12"/>
  <c r="CE74" i="12"/>
  <c r="CS74" i="12" s="1"/>
  <c r="CD74" i="12"/>
  <c r="CR74" i="12" s="1"/>
  <c r="CC74" i="12"/>
  <c r="CB74" i="12"/>
  <c r="K74" i="12"/>
  <c r="DP73" i="12"/>
  <c r="DN73" i="12"/>
  <c r="DL73" i="12"/>
  <c r="DJ73" i="12"/>
  <c r="DC73" i="12"/>
  <c r="CZ73" i="12"/>
  <c r="CY73" i="12"/>
  <c r="CV73" i="12"/>
  <c r="CU73" i="12"/>
  <c r="CR73" i="12"/>
  <c r="CQ73" i="12"/>
  <c r="CO73" i="12"/>
  <c r="CN73" i="12"/>
  <c r="DB73" i="12" s="1"/>
  <c r="CM73" i="12"/>
  <c r="DA73" i="12" s="1"/>
  <c r="CL73" i="12"/>
  <c r="CK73" i="12"/>
  <c r="CJ73" i="12"/>
  <c r="CX73" i="12" s="1"/>
  <c r="CI73" i="12"/>
  <c r="CW73" i="12" s="1"/>
  <c r="CH73" i="12"/>
  <c r="CG73" i="12"/>
  <c r="CF73" i="12"/>
  <c r="CT73" i="12" s="1"/>
  <c r="CE73" i="12"/>
  <c r="CS73" i="12" s="1"/>
  <c r="CD73" i="12"/>
  <c r="CC73" i="12"/>
  <c r="CB73" i="12"/>
  <c r="CP73" i="12" s="1"/>
  <c r="U73" i="12"/>
  <c r="K73" i="12"/>
  <c r="DA72" i="12"/>
  <c r="CZ72" i="12"/>
  <c r="CW72" i="12"/>
  <c r="CV72" i="12"/>
  <c r="CS72" i="12"/>
  <c r="CR72" i="12"/>
  <c r="CO72" i="12"/>
  <c r="DC72" i="12" s="1"/>
  <c r="CN72" i="12"/>
  <c r="DB72" i="12" s="1"/>
  <c r="CM72" i="12"/>
  <c r="CL72" i="12"/>
  <c r="CK72" i="12"/>
  <c r="CY72" i="12" s="1"/>
  <c r="CJ72" i="12"/>
  <c r="CX72" i="12" s="1"/>
  <c r="CI72" i="12"/>
  <c r="CH72" i="12"/>
  <c r="CG72" i="12"/>
  <c r="CU72" i="12" s="1"/>
  <c r="CF72" i="12"/>
  <c r="CT72" i="12" s="1"/>
  <c r="CE72" i="12"/>
  <c r="CD72" i="12"/>
  <c r="CC72" i="12"/>
  <c r="CQ72" i="12" s="1"/>
  <c r="CB72" i="12"/>
  <c r="CP72" i="12" s="1"/>
  <c r="R72" i="12"/>
  <c r="DF71" i="12"/>
  <c r="DB71" i="12"/>
  <c r="DA71" i="12"/>
  <c r="CX71" i="12"/>
  <c r="CW71" i="12"/>
  <c r="CT71" i="12"/>
  <c r="CS71" i="12"/>
  <c r="CP71" i="12"/>
  <c r="CO71" i="12"/>
  <c r="DC71" i="12" s="1"/>
  <c r="CN71" i="12"/>
  <c r="CM71" i="12"/>
  <c r="CL71" i="12"/>
  <c r="CZ71" i="12" s="1"/>
  <c r="CK71" i="12"/>
  <c r="CY71" i="12" s="1"/>
  <c r="CJ71" i="12"/>
  <c r="CI71" i="12"/>
  <c r="CH71" i="12"/>
  <c r="CV71" i="12" s="1"/>
  <c r="CG71" i="12"/>
  <c r="CU71" i="12" s="1"/>
  <c r="CF71" i="12"/>
  <c r="CE71" i="12"/>
  <c r="CD71" i="12"/>
  <c r="CR71" i="12" s="1"/>
  <c r="CC71" i="12"/>
  <c r="CQ71" i="12" s="1"/>
  <c r="CB71" i="12"/>
  <c r="DP70" i="12"/>
  <c r="DN70" i="12"/>
  <c r="DL70" i="12"/>
  <c r="DJ70" i="12"/>
  <c r="DH70" i="12"/>
  <c r="DC70" i="12"/>
  <c r="CY70" i="12"/>
  <c r="CX70" i="12"/>
  <c r="CU70" i="12"/>
  <c r="CR70" i="12"/>
  <c r="CQ70" i="12"/>
  <c r="CO70" i="12"/>
  <c r="CN70" i="12"/>
  <c r="DB70" i="12" s="1"/>
  <c r="CM70" i="12"/>
  <c r="DA70" i="12" s="1"/>
  <c r="CL70" i="12"/>
  <c r="CZ70" i="12" s="1"/>
  <c r="CK70" i="12"/>
  <c r="CJ70" i="12"/>
  <c r="CI70" i="12"/>
  <c r="CW70" i="12" s="1"/>
  <c r="CH70" i="12"/>
  <c r="CV70" i="12" s="1"/>
  <c r="CG70" i="12"/>
  <c r="CF70" i="12"/>
  <c r="CT70" i="12" s="1"/>
  <c r="CE70" i="12"/>
  <c r="CS70" i="12" s="1"/>
  <c r="CD70" i="12"/>
  <c r="CC70" i="12"/>
  <c r="CB70" i="12"/>
  <c r="CP70" i="12" s="1"/>
  <c r="T70" i="12"/>
  <c r="DC69" i="12"/>
  <c r="CZ69" i="12"/>
  <c r="CY69" i="12"/>
  <c r="CV69" i="12"/>
  <c r="CU69" i="12"/>
  <c r="CR69" i="12"/>
  <c r="CQ69" i="12"/>
  <c r="CO69" i="12"/>
  <c r="CN69" i="12"/>
  <c r="DB69" i="12" s="1"/>
  <c r="CM69" i="12"/>
  <c r="DA69" i="12" s="1"/>
  <c r="CL69" i="12"/>
  <c r="CK69" i="12"/>
  <c r="CJ69" i="12"/>
  <c r="CX69" i="12" s="1"/>
  <c r="CI69" i="12"/>
  <c r="CW69" i="12" s="1"/>
  <c r="CH69" i="12"/>
  <c r="CG69" i="12"/>
  <c r="CF69" i="12"/>
  <c r="CT69" i="12" s="1"/>
  <c r="CE69" i="12"/>
  <c r="CS69" i="12" s="1"/>
  <c r="CD69" i="12"/>
  <c r="CC69" i="12"/>
  <c r="CB69" i="12"/>
  <c r="CP69" i="12" s="1"/>
  <c r="T69" i="12"/>
  <c r="DC68" i="12"/>
  <c r="CZ68" i="12"/>
  <c r="CY68" i="12"/>
  <c r="CV68" i="12"/>
  <c r="CU68" i="12"/>
  <c r="CR68" i="12"/>
  <c r="CQ68" i="12"/>
  <c r="CO68" i="12"/>
  <c r="CN68" i="12"/>
  <c r="DB68" i="12" s="1"/>
  <c r="CM68" i="12"/>
  <c r="DA68" i="12" s="1"/>
  <c r="CL68" i="12"/>
  <c r="CK68" i="12"/>
  <c r="CJ68" i="12"/>
  <c r="CX68" i="12" s="1"/>
  <c r="CI68" i="12"/>
  <c r="CW68" i="12" s="1"/>
  <c r="CH68" i="12"/>
  <c r="CG68" i="12"/>
  <c r="CF68" i="12"/>
  <c r="CT68" i="12" s="1"/>
  <c r="CE68" i="12"/>
  <c r="CS68" i="12" s="1"/>
  <c r="CD68" i="12"/>
  <c r="CC68" i="12"/>
  <c r="CB68" i="12"/>
  <c r="CP68" i="12" s="1"/>
  <c r="T68" i="12"/>
  <c r="DF67" i="12"/>
  <c r="DA67" i="12"/>
  <c r="CZ67" i="12"/>
  <c r="CW67" i="12"/>
  <c r="CV67" i="12"/>
  <c r="CS67" i="12"/>
  <c r="CR67" i="12"/>
  <c r="CO67" i="12"/>
  <c r="DC67" i="12" s="1"/>
  <c r="CN67" i="12"/>
  <c r="DB67" i="12" s="1"/>
  <c r="CM67" i="12"/>
  <c r="CL67" i="12"/>
  <c r="CK67" i="12"/>
  <c r="CY67" i="12" s="1"/>
  <c r="CJ67" i="12"/>
  <c r="CX67" i="12" s="1"/>
  <c r="CI67" i="12"/>
  <c r="CH67" i="12"/>
  <c r="CG67" i="12"/>
  <c r="CU67" i="12" s="1"/>
  <c r="CF67" i="12"/>
  <c r="CT67" i="12" s="1"/>
  <c r="CE67" i="12"/>
  <c r="CD67" i="12"/>
  <c r="CC67" i="12"/>
  <c r="CQ67" i="12" s="1"/>
  <c r="CB67" i="12"/>
  <c r="CP67" i="12" s="1"/>
  <c r="V65" i="12"/>
  <c r="U65" i="12"/>
  <c r="T65" i="12"/>
  <c r="S65" i="12"/>
  <c r="R65" i="12"/>
  <c r="O65" i="12"/>
  <c r="N65" i="12"/>
  <c r="Y57" i="12"/>
  <c r="N89" i="12" s="1"/>
  <c r="X57" i="12"/>
  <c r="V89" i="12" s="1"/>
  <c r="W57" i="12"/>
  <c r="U89" i="12" s="1"/>
  <c r="V57" i="12"/>
  <c r="T89" i="12" s="1"/>
  <c r="AA89" i="12" s="1"/>
  <c r="U57" i="12"/>
  <c r="S89" i="12" s="1"/>
  <c r="T57" i="12"/>
  <c r="R89" i="12" s="1"/>
  <c r="S57" i="12"/>
  <c r="R57" i="12"/>
  <c r="Q57" i="12"/>
  <c r="P57" i="12"/>
  <c r="O57" i="12"/>
  <c r="N57" i="12"/>
  <c r="Z57" i="12" s="1"/>
  <c r="O89" i="12" s="1"/>
  <c r="Y56" i="12"/>
  <c r="N88" i="12" s="1"/>
  <c r="X56" i="12"/>
  <c r="V88" i="12" s="1"/>
  <c r="W56" i="12"/>
  <c r="U88" i="12" s="1"/>
  <c r="V56" i="12"/>
  <c r="T88" i="12" s="1"/>
  <c r="AA88" i="12" s="1"/>
  <c r="U56" i="12"/>
  <c r="S88" i="12" s="1"/>
  <c r="T56" i="12"/>
  <c r="R88" i="12" s="1"/>
  <c r="S56" i="12"/>
  <c r="R56" i="12"/>
  <c r="Q56" i="12"/>
  <c r="P56" i="12"/>
  <c r="O56" i="12"/>
  <c r="N56" i="12"/>
  <c r="Z56" i="12" s="1"/>
  <c r="O88" i="12" s="1"/>
  <c r="Y55" i="12"/>
  <c r="N87" i="12" s="1"/>
  <c r="X55" i="12"/>
  <c r="V87" i="12" s="1"/>
  <c r="W55" i="12"/>
  <c r="U87" i="12" s="1"/>
  <c r="U105" i="12" s="1"/>
  <c r="V55" i="12"/>
  <c r="T87" i="12" s="1"/>
  <c r="U55" i="12"/>
  <c r="S87" i="12" s="1"/>
  <c r="T55" i="12"/>
  <c r="R87" i="12" s="1"/>
  <c r="S55" i="12"/>
  <c r="R55" i="12"/>
  <c r="Q55" i="12"/>
  <c r="P55" i="12"/>
  <c r="O55" i="12"/>
  <c r="N55" i="12"/>
  <c r="Z55" i="12" s="1"/>
  <c r="O87" i="12" s="1"/>
  <c r="Y54" i="12"/>
  <c r="N86" i="12" s="1"/>
  <c r="X54" i="12"/>
  <c r="V86" i="12" s="1"/>
  <c r="W54" i="12"/>
  <c r="U86" i="12" s="1"/>
  <c r="V54" i="12"/>
  <c r="U54" i="12"/>
  <c r="S86" i="12" s="1"/>
  <c r="T54" i="12"/>
  <c r="R86" i="12" s="1"/>
  <c r="S54" i="12"/>
  <c r="R54" i="12"/>
  <c r="Q54" i="12"/>
  <c r="O54" i="12"/>
  <c r="Y53" i="12"/>
  <c r="N85" i="12" s="1"/>
  <c r="X53" i="12"/>
  <c r="V85" i="12" s="1"/>
  <c r="Q85" i="12" s="1"/>
  <c r="W53" i="12"/>
  <c r="U85" i="12" s="1"/>
  <c r="V53" i="12"/>
  <c r="T85" i="12" s="1"/>
  <c r="AA85" i="12" s="1"/>
  <c r="U53" i="12"/>
  <c r="S85" i="12" s="1"/>
  <c r="T53" i="12"/>
  <c r="R85" i="12" s="1"/>
  <c r="S53" i="12"/>
  <c r="R53" i="12"/>
  <c r="Q53" i="12"/>
  <c r="Y52" i="12"/>
  <c r="N84" i="12" s="1"/>
  <c r="X52" i="12"/>
  <c r="V84" i="12" s="1"/>
  <c r="W52" i="12"/>
  <c r="U84" i="12" s="1"/>
  <c r="V52" i="12"/>
  <c r="T84" i="12" s="1"/>
  <c r="AA84" i="12" s="1"/>
  <c r="U52" i="12"/>
  <c r="S84" i="12" s="1"/>
  <c r="T52" i="12"/>
  <c r="R84" i="12" s="1"/>
  <c r="S52" i="12"/>
  <c r="R52" i="12"/>
  <c r="Q52" i="12"/>
  <c r="O52" i="12"/>
  <c r="Y51" i="12"/>
  <c r="N83" i="12" s="1"/>
  <c r="X51" i="12"/>
  <c r="V83" i="12" s="1"/>
  <c r="W51" i="12"/>
  <c r="U83" i="12" s="1"/>
  <c r="V51" i="12"/>
  <c r="T83" i="12" s="1"/>
  <c r="AA83" i="12" s="1"/>
  <c r="U51" i="12"/>
  <c r="S83" i="12" s="1"/>
  <c r="T51" i="12"/>
  <c r="R83" i="12" s="1"/>
  <c r="S51" i="12"/>
  <c r="R51" i="12"/>
  <c r="Q51" i="12"/>
  <c r="K51" i="12"/>
  <c r="Y50" i="12"/>
  <c r="N82" i="12" s="1"/>
  <c r="X50" i="12"/>
  <c r="V82" i="12" s="1"/>
  <c r="Q82" i="12" s="1"/>
  <c r="W50" i="12"/>
  <c r="U82" i="12" s="1"/>
  <c r="V50" i="12"/>
  <c r="T82" i="12" s="1"/>
  <c r="AA82" i="12" s="1"/>
  <c r="U50" i="12"/>
  <c r="S82" i="12" s="1"/>
  <c r="T50" i="12"/>
  <c r="R82" i="12" s="1"/>
  <c r="S50" i="12"/>
  <c r="R50" i="12"/>
  <c r="Q50" i="12"/>
  <c r="P50" i="12"/>
  <c r="Y49" i="12"/>
  <c r="N81" i="12" s="1"/>
  <c r="X49" i="12"/>
  <c r="V81" i="12" s="1"/>
  <c r="W49" i="12"/>
  <c r="U81" i="12" s="1"/>
  <c r="V49" i="12"/>
  <c r="T81" i="12" s="1"/>
  <c r="AA81" i="12" s="1"/>
  <c r="U49" i="12"/>
  <c r="S81" i="12" s="1"/>
  <c r="T49" i="12"/>
  <c r="R81" i="12" s="1"/>
  <c r="S49" i="12"/>
  <c r="R49" i="12"/>
  <c r="Q49" i="12"/>
  <c r="P49" i="12"/>
  <c r="N49" i="12"/>
  <c r="Z49" i="12" s="1"/>
  <c r="O81" i="12" s="1"/>
  <c r="Y48" i="12"/>
  <c r="X48" i="12"/>
  <c r="V80" i="12" s="1"/>
  <c r="W48" i="12"/>
  <c r="U80" i="12" s="1"/>
  <c r="V48" i="12"/>
  <c r="T80" i="12" s="1"/>
  <c r="AA80" i="12" s="1"/>
  <c r="U48" i="12"/>
  <c r="S80" i="12" s="1"/>
  <c r="T48" i="12"/>
  <c r="R80" i="12" s="1"/>
  <c r="S48" i="12"/>
  <c r="R48" i="12"/>
  <c r="Q48" i="12"/>
  <c r="N48" i="12"/>
  <c r="Z48" i="12" s="1"/>
  <c r="O80" i="12" s="1"/>
  <c r="Y47" i="12"/>
  <c r="N79" i="12" s="1"/>
  <c r="X47" i="12"/>
  <c r="V79" i="12" s="1"/>
  <c r="W47" i="12"/>
  <c r="U79" i="12" s="1"/>
  <c r="V47" i="12"/>
  <c r="T79" i="12" s="1"/>
  <c r="AA79" i="12" s="1"/>
  <c r="U47" i="12"/>
  <c r="S79" i="12" s="1"/>
  <c r="T47" i="12"/>
  <c r="R79" i="12" s="1"/>
  <c r="S47" i="12"/>
  <c r="R47" i="12"/>
  <c r="Q47" i="12"/>
  <c r="P47" i="12"/>
  <c r="N47" i="12"/>
  <c r="Z47" i="12" s="1"/>
  <c r="O79" i="12" s="1"/>
  <c r="Y46" i="12"/>
  <c r="N78" i="12" s="1"/>
  <c r="X46" i="12"/>
  <c r="V78" i="12" s="1"/>
  <c r="W46" i="12"/>
  <c r="V46" i="12"/>
  <c r="T78" i="12" s="1"/>
  <c r="AA78" i="12" s="1"/>
  <c r="U46" i="12"/>
  <c r="S78" i="12" s="1"/>
  <c r="T46" i="12"/>
  <c r="R78" i="12" s="1"/>
  <c r="S46" i="12"/>
  <c r="R46" i="12"/>
  <c r="Q46" i="12"/>
  <c r="N46" i="12"/>
  <c r="Z46" i="12" s="1"/>
  <c r="O78" i="12" s="1"/>
  <c r="Y45" i="12"/>
  <c r="N77" i="12" s="1"/>
  <c r="X45" i="12"/>
  <c r="V77" i="12" s="1"/>
  <c r="W45" i="12"/>
  <c r="V45" i="12"/>
  <c r="T77" i="12" s="1"/>
  <c r="AA77" i="12" s="1"/>
  <c r="U45" i="12"/>
  <c r="S77" i="12" s="1"/>
  <c r="T45" i="12"/>
  <c r="R77" i="12" s="1"/>
  <c r="S45" i="12"/>
  <c r="R45" i="12"/>
  <c r="Q45" i="12"/>
  <c r="P45" i="12"/>
  <c r="N45" i="12"/>
  <c r="Z45" i="12" s="1"/>
  <c r="O77" i="12" s="1"/>
  <c r="Y44" i="12"/>
  <c r="N76" i="12" s="1"/>
  <c r="X44" i="12"/>
  <c r="V76" i="12" s="1"/>
  <c r="W44" i="12"/>
  <c r="U76" i="12" s="1"/>
  <c r="V44" i="12"/>
  <c r="T76" i="12" s="1"/>
  <c r="AA76" i="12" s="1"/>
  <c r="U44" i="12"/>
  <c r="S76" i="12" s="1"/>
  <c r="T44" i="12"/>
  <c r="R76" i="12" s="1"/>
  <c r="S44" i="12"/>
  <c r="R44" i="12"/>
  <c r="Q44" i="12"/>
  <c r="N44" i="12"/>
  <c r="Z44" i="12" s="1"/>
  <c r="O76" i="12" s="1"/>
  <c r="K44" i="12"/>
  <c r="Y43" i="12"/>
  <c r="N75" i="12" s="1"/>
  <c r="X43" i="12"/>
  <c r="V75" i="12" s="1"/>
  <c r="W43" i="12"/>
  <c r="U75" i="12" s="1"/>
  <c r="V43" i="12"/>
  <c r="T75" i="12" s="1"/>
  <c r="AA75" i="12" s="1"/>
  <c r="U43" i="12"/>
  <c r="S75" i="12" s="1"/>
  <c r="T43" i="12"/>
  <c r="R75" i="12" s="1"/>
  <c r="S43" i="12"/>
  <c r="R43" i="12"/>
  <c r="Q43" i="12"/>
  <c r="O43" i="12"/>
  <c r="Y42" i="12"/>
  <c r="N74" i="12" s="1"/>
  <c r="X42" i="12"/>
  <c r="V74" i="12" s="1"/>
  <c r="W42" i="12"/>
  <c r="U74" i="12" s="1"/>
  <c r="V42" i="12"/>
  <c r="T74" i="12" s="1"/>
  <c r="AA74" i="12" s="1"/>
  <c r="U42" i="12"/>
  <c r="S74" i="12" s="1"/>
  <c r="T42" i="12"/>
  <c r="R74" i="12" s="1"/>
  <c r="S42" i="12"/>
  <c r="R42" i="12"/>
  <c r="Q42" i="12"/>
  <c r="K42" i="12"/>
  <c r="Y41" i="12"/>
  <c r="N73" i="12" s="1"/>
  <c r="X41" i="12"/>
  <c r="V73" i="12" s="1"/>
  <c r="W41" i="12"/>
  <c r="V41" i="12"/>
  <c r="T73" i="12" s="1"/>
  <c r="AA73" i="12" s="1"/>
  <c r="U41" i="12"/>
  <c r="S73" i="12" s="1"/>
  <c r="T41" i="12"/>
  <c r="R73" i="12" s="1"/>
  <c r="S41" i="12"/>
  <c r="R41" i="12"/>
  <c r="Q41" i="12"/>
  <c r="P41" i="12"/>
  <c r="N41" i="12"/>
  <c r="Z41" i="12" s="1"/>
  <c r="O73" i="12" s="1"/>
  <c r="K41" i="12"/>
  <c r="Y40" i="12"/>
  <c r="N72" i="12" s="1"/>
  <c r="X40" i="12"/>
  <c r="V72" i="12" s="1"/>
  <c r="W40" i="12"/>
  <c r="U72" i="12" s="1"/>
  <c r="V40" i="12"/>
  <c r="T72" i="12" s="1"/>
  <c r="U40" i="12"/>
  <c r="S72" i="12" s="1"/>
  <c r="T40" i="12"/>
  <c r="S40" i="12"/>
  <c r="R40" i="12"/>
  <c r="Q40" i="12"/>
  <c r="Y39" i="12"/>
  <c r="N71" i="12" s="1"/>
  <c r="X39" i="12"/>
  <c r="V71" i="12" s="1"/>
  <c r="W39" i="12"/>
  <c r="U71" i="12" s="1"/>
  <c r="AA71" i="12" s="1"/>
  <c r="V39" i="12"/>
  <c r="T71" i="12" s="1"/>
  <c r="U39" i="12"/>
  <c r="S71" i="12" s="1"/>
  <c r="T39" i="12"/>
  <c r="R71" i="12" s="1"/>
  <c r="S39" i="12"/>
  <c r="R39" i="12"/>
  <c r="Q39" i="12"/>
  <c r="O39" i="12"/>
  <c r="Y38" i="12"/>
  <c r="N70" i="12" s="1"/>
  <c r="X38" i="12"/>
  <c r="V70" i="12" s="1"/>
  <c r="Q70" i="12" s="1"/>
  <c r="W38" i="12"/>
  <c r="U70" i="12" s="1"/>
  <c r="V38" i="12"/>
  <c r="U38" i="12"/>
  <c r="S70" i="12" s="1"/>
  <c r="T38" i="12"/>
  <c r="R70" i="12" s="1"/>
  <c r="S38" i="12"/>
  <c r="R38" i="12"/>
  <c r="Q38" i="12"/>
  <c r="Y37" i="12"/>
  <c r="N69" i="12" s="1"/>
  <c r="X37" i="12"/>
  <c r="V69" i="12" s="1"/>
  <c r="Q69" i="12" s="1"/>
  <c r="W37" i="12"/>
  <c r="U69" i="12" s="1"/>
  <c r="V37" i="12"/>
  <c r="U37" i="12"/>
  <c r="S69" i="12" s="1"/>
  <c r="T37" i="12"/>
  <c r="R69" i="12" s="1"/>
  <c r="S37" i="12"/>
  <c r="R37" i="12"/>
  <c r="Q37" i="12"/>
  <c r="O37" i="12"/>
  <c r="Y36" i="12"/>
  <c r="N68" i="12" s="1"/>
  <c r="X36" i="12"/>
  <c r="V68" i="12" s="1"/>
  <c r="W36" i="12"/>
  <c r="U68" i="12" s="1"/>
  <c r="V36" i="12"/>
  <c r="U36" i="12"/>
  <c r="S68" i="12" s="1"/>
  <c r="T36" i="12"/>
  <c r="R68" i="12" s="1"/>
  <c r="S36" i="12"/>
  <c r="R36" i="12"/>
  <c r="Q36" i="12"/>
  <c r="Y35" i="12"/>
  <c r="N67" i="12" s="1"/>
  <c r="X35" i="12"/>
  <c r="V67" i="12" s="1"/>
  <c r="W35" i="12"/>
  <c r="U67" i="12" s="1"/>
  <c r="V35" i="12"/>
  <c r="T67" i="12" s="1"/>
  <c r="U35" i="12"/>
  <c r="S67" i="12" s="1"/>
  <c r="T35" i="12"/>
  <c r="S35" i="12"/>
  <c r="R35" i="12"/>
  <c r="Q35" i="12"/>
  <c r="O35" i="12"/>
  <c r="M34" i="12"/>
  <c r="M66" i="12" s="1"/>
  <c r="M98" i="12" s="1"/>
  <c r="M120" i="12" s="1"/>
  <c r="AE27" i="12"/>
  <c r="AB27" i="12"/>
  <c r="Z27" i="12"/>
  <c r="AC27" i="12" s="1"/>
  <c r="AF27" i="12" s="1"/>
  <c r="AB26" i="12"/>
  <c r="AE26" i="12" s="1"/>
  <c r="Z26" i="12"/>
  <c r="AC26" i="12" s="1"/>
  <c r="AF26" i="12" s="1"/>
  <c r="AB25" i="12"/>
  <c r="AE25" i="12" s="1"/>
  <c r="Z25" i="12"/>
  <c r="AC25" i="12" s="1"/>
  <c r="AF25" i="12" s="1"/>
  <c r="P24" i="12"/>
  <c r="P54" i="12" s="1"/>
  <c r="O24" i="12"/>
  <c r="N24" i="12"/>
  <c r="Z23" i="12"/>
  <c r="AC23" i="12" s="1"/>
  <c r="AF23" i="12" s="1"/>
  <c r="P23" i="12"/>
  <c r="P53" i="12" s="1"/>
  <c r="O23" i="12"/>
  <c r="O53" i="12" s="1"/>
  <c r="N23" i="12"/>
  <c r="N53" i="12" s="1"/>
  <c r="Z53" i="12" s="1"/>
  <c r="O85" i="12" s="1"/>
  <c r="P22" i="12"/>
  <c r="P52" i="12" s="1"/>
  <c r="O22" i="12"/>
  <c r="N22" i="12"/>
  <c r="AB21" i="12"/>
  <c r="AE21" i="12" s="1"/>
  <c r="Z21" i="12"/>
  <c r="AC21" i="12" s="1"/>
  <c r="AF21" i="12" s="1"/>
  <c r="P21" i="12"/>
  <c r="P51" i="12" s="1"/>
  <c r="O21" i="12"/>
  <c r="O51" i="12" s="1"/>
  <c r="N21" i="12"/>
  <c r="N51" i="12" s="1"/>
  <c r="Z51" i="12" s="1"/>
  <c r="O83" i="12" s="1"/>
  <c r="K21" i="12"/>
  <c r="D21" i="12"/>
  <c r="AE20" i="12"/>
  <c r="AB20" i="12"/>
  <c r="P20" i="12"/>
  <c r="O20" i="12"/>
  <c r="O50" i="12" s="1"/>
  <c r="N20" i="12"/>
  <c r="Z20" i="12" s="1"/>
  <c r="AC20" i="12" s="1"/>
  <c r="AF20" i="12" s="1"/>
  <c r="AB19" i="12"/>
  <c r="AE19" i="12" s="1"/>
  <c r="Z19" i="12"/>
  <c r="AC19" i="12" s="1"/>
  <c r="AF19" i="12" s="1"/>
  <c r="P19" i="12"/>
  <c r="O19" i="12"/>
  <c r="O49" i="12" s="1"/>
  <c r="N19" i="12"/>
  <c r="P18" i="12"/>
  <c r="AB18" i="12" s="1"/>
  <c r="AE18" i="12" s="1"/>
  <c r="O18" i="12"/>
  <c r="O48" i="12" s="1"/>
  <c r="N18" i="12"/>
  <c r="Z18" i="12" s="1"/>
  <c r="AC18" i="12" s="1"/>
  <c r="AF18" i="12" s="1"/>
  <c r="Z17" i="12"/>
  <c r="AC17" i="12" s="1"/>
  <c r="AF17" i="12" s="1"/>
  <c r="P17" i="12"/>
  <c r="AB17" i="12" s="1"/>
  <c r="AE17" i="12" s="1"/>
  <c r="O17" i="12"/>
  <c r="O47" i="12" s="1"/>
  <c r="N17" i="12"/>
  <c r="P16" i="12"/>
  <c r="AB16" i="12" s="1"/>
  <c r="AE16" i="12" s="1"/>
  <c r="O16" i="12"/>
  <c r="O46" i="12" s="1"/>
  <c r="N16" i="12"/>
  <c r="Z16" i="12" s="1"/>
  <c r="AC16" i="12" s="1"/>
  <c r="AF16" i="12" s="1"/>
  <c r="AB15" i="12"/>
  <c r="AE15" i="12" s="1"/>
  <c r="Z15" i="12"/>
  <c r="AC15" i="12" s="1"/>
  <c r="AF15" i="12" s="1"/>
  <c r="P15" i="12"/>
  <c r="O15" i="12"/>
  <c r="O45" i="12" s="1"/>
  <c r="N15" i="12"/>
  <c r="P14" i="12"/>
  <c r="P44" i="12" s="1"/>
  <c r="O14" i="12"/>
  <c r="O44" i="12" s="1"/>
  <c r="N14" i="12"/>
  <c r="Z14" i="12" s="1"/>
  <c r="AC14" i="12" s="1"/>
  <c r="AF14" i="12" s="1"/>
  <c r="K14" i="12"/>
  <c r="AE13" i="12"/>
  <c r="AB13" i="12"/>
  <c r="P13" i="12"/>
  <c r="P43" i="12" s="1"/>
  <c r="O13" i="12"/>
  <c r="N13" i="12"/>
  <c r="AB12" i="12"/>
  <c r="AE12" i="12" s="1"/>
  <c r="Z12" i="12"/>
  <c r="AC12" i="12" s="1"/>
  <c r="AF12" i="12" s="1"/>
  <c r="P12" i="12"/>
  <c r="P42" i="12" s="1"/>
  <c r="O12" i="12"/>
  <c r="O42" i="12" s="1"/>
  <c r="N12" i="12"/>
  <c r="N42" i="12" s="1"/>
  <c r="Z42" i="12" s="1"/>
  <c r="O74" i="12" s="1"/>
  <c r="K12" i="12"/>
  <c r="Z11" i="12"/>
  <c r="AC11" i="12" s="1"/>
  <c r="AF11" i="12" s="1"/>
  <c r="P11" i="12"/>
  <c r="AB11" i="12" s="1"/>
  <c r="AE11" i="12" s="1"/>
  <c r="O11" i="12"/>
  <c r="O41" i="12" s="1"/>
  <c r="N11" i="12"/>
  <c r="K11" i="12"/>
  <c r="AB10" i="12"/>
  <c r="AE10" i="12" s="1"/>
  <c r="Z10" i="12"/>
  <c r="AC10" i="12" s="1"/>
  <c r="AF10" i="12" s="1"/>
  <c r="P10" i="12"/>
  <c r="P40" i="12" s="1"/>
  <c r="O10" i="12"/>
  <c r="O40" i="12" s="1"/>
  <c r="N10" i="12"/>
  <c r="N40" i="12" s="1"/>
  <c r="Z40" i="12" s="1"/>
  <c r="O72" i="12" s="1"/>
  <c r="P9" i="12"/>
  <c r="P39" i="12" s="1"/>
  <c r="O9" i="12"/>
  <c r="N9" i="12"/>
  <c r="AC8" i="12"/>
  <c r="AF8" i="12" s="1"/>
  <c r="Z8" i="12"/>
  <c r="P8" i="12"/>
  <c r="AB8" i="12" s="1"/>
  <c r="AE8" i="12" s="1"/>
  <c r="O8" i="12"/>
  <c r="O38" i="12" s="1"/>
  <c r="N8" i="12"/>
  <c r="N38" i="12" s="1"/>
  <c r="Z38" i="12" s="1"/>
  <c r="O70" i="12" s="1"/>
  <c r="P7" i="12"/>
  <c r="P37" i="12" s="1"/>
  <c r="O7" i="12"/>
  <c r="N7" i="12"/>
  <c r="AC6" i="12"/>
  <c r="AF6" i="12" s="1"/>
  <c r="AB6" i="12"/>
  <c r="AE6" i="12" s="1"/>
  <c r="Z6" i="12"/>
  <c r="P6" i="12"/>
  <c r="P36" i="12" s="1"/>
  <c r="O6" i="12"/>
  <c r="O36" i="12" s="1"/>
  <c r="N6" i="12"/>
  <c r="N36" i="12" s="1"/>
  <c r="AB5" i="12"/>
  <c r="AE5" i="12" s="1"/>
  <c r="P5" i="12"/>
  <c r="P35" i="12" s="1"/>
  <c r="O5" i="12"/>
  <c r="N5" i="12"/>
  <c r="M4" i="12"/>
  <c r="W164" i="11"/>
  <c r="U163" i="11"/>
  <c r="Z154" i="11"/>
  <c r="Z146" i="11"/>
  <c r="R146" i="11"/>
  <c r="W139" i="11"/>
  <c r="W166" i="11" s="1"/>
  <c r="Y138" i="11"/>
  <c r="U138" i="11"/>
  <c r="Q138" i="11"/>
  <c r="M138" i="11"/>
  <c r="W137" i="11"/>
  <c r="S137" i="11"/>
  <c r="S164" i="11" s="1"/>
  <c r="Y136" i="11"/>
  <c r="Y163" i="11" s="1"/>
  <c r="U136" i="11"/>
  <c r="Q136" i="11"/>
  <c r="Q163" i="11" s="1"/>
  <c r="M136" i="11"/>
  <c r="W135" i="11"/>
  <c r="W162" i="11" s="1"/>
  <c r="Y134" i="11"/>
  <c r="Y161" i="11" s="1"/>
  <c r="N134" i="11"/>
  <c r="N161" i="11" s="1"/>
  <c r="W133" i="11"/>
  <c r="W160" i="11" s="1"/>
  <c r="Z132" i="11"/>
  <c r="Z159" i="11" s="1"/>
  <c r="U132" i="11"/>
  <c r="U159" i="11" s="1"/>
  <c r="V130" i="11"/>
  <c r="V157" i="11" s="1"/>
  <c r="Q130" i="11"/>
  <c r="Q157" i="11" s="1"/>
  <c r="T129" i="11"/>
  <c r="T156" i="11" s="1"/>
  <c r="O129" i="11"/>
  <c r="O156" i="11" s="1"/>
  <c r="M129" i="11"/>
  <c r="W128" i="11"/>
  <c r="W155" i="11" s="1"/>
  <c r="M128" i="11"/>
  <c r="U127" i="11"/>
  <c r="U154" i="11" s="1"/>
  <c r="Y126" i="11"/>
  <c r="Y153" i="11" s="1"/>
  <c r="S126" i="11"/>
  <c r="S153" i="11" s="1"/>
  <c r="W125" i="11"/>
  <c r="W152" i="11" s="1"/>
  <c r="Q125" i="11"/>
  <c r="Q152" i="11" s="1"/>
  <c r="U124" i="11"/>
  <c r="U151" i="11" s="1"/>
  <c r="O124" i="11"/>
  <c r="O151" i="11" s="1"/>
  <c r="S123" i="11"/>
  <c r="S150" i="11" s="1"/>
  <c r="M123" i="11"/>
  <c r="Q122" i="11"/>
  <c r="Q149" i="11" s="1"/>
  <c r="T121" i="11"/>
  <c r="T148" i="11" s="1"/>
  <c r="O121" i="11"/>
  <c r="O148" i="11" s="1"/>
  <c r="R120" i="11"/>
  <c r="R147" i="11" s="1"/>
  <c r="M120" i="11"/>
  <c r="Y118" i="11"/>
  <c r="Y145" i="11" s="1"/>
  <c r="N118" i="11"/>
  <c r="N145" i="11" s="1"/>
  <c r="W117" i="11"/>
  <c r="W144" i="11" s="1"/>
  <c r="S117" i="11"/>
  <c r="S144" i="11" s="1"/>
  <c r="O117" i="11"/>
  <c r="O144" i="11" s="1"/>
  <c r="M117" i="11"/>
  <c r="Z110" i="11"/>
  <c r="Z139" i="11" s="1"/>
  <c r="Z166" i="11" s="1"/>
  <c r="Y110" i="11"/>
  <c r="Y139" i="11" s="1"/>
  <c r="Y166" i="11" s="1"/>
  <c r="X110" i="11"/>
  <c r="X139" i="11" s="1"/>
  <c r="X166" i="11" s="1"/>
  <c r="W110" i="11"/>
  <c r="V110" i="11"/>
  <c r="U110" i="11"/>
  <c r="U139" i="11" s="1"/>
  <c r="T110" i="11"/>
  <c r="S110" i="11"/>
  <c r="R110" i="11"/>
  <c r="Q110" i="11"/>
  <c r="Q139" i="11" s="1"/>
  <c r="P110" i="11"/>
  <c r="O110" i="11"/>
  <c r="N110" i="11"/>
  <c r="M110" i="11"/>
  <c r="O139" i="11" s="1"/>
  <c r="Z109" i="11"/>
  <c r="Z138" i="11" s="1"/>
  <c r="Z165" i="11" s="1"/>
  <c r="Y109" i="11"/>
  <c r="X109" i="11"/>
  <c r="X138" i="11" s="1"/>
  <c r="W109" i="11"/>
  <c r="W138" i="11" s="1"/>
  <c r="V109" i="11"/>
  <c r="V138" i="11" s="1"/>
  <c r="U109" i="11"/>
  <c r="T109" i="11"/>
  <c r="T138" i="11" s="1"/>
  <c r="S109" i="11"/>
  <c r="S138" i="11" s="1"/>
  <c r="R109" i="11"/>
  <c r="R138" i="11" s="1"/>
  <c r="Q109" i="11"/>
  <c r="P109" i="11"/>
  <c r="P138" i="11" s="1"/>
  <c r="O109" i="11"/>
  <c r="O138" i="11" s="1"/>
  <c r="N109" i="11"/>
  <c r="N138" i="11" s="1"/>
  <c r="M109" i="11"/>
  <c r="M165" i="11" s="1"/>
  <c r="Z108" i="11"/>
  <c r="Y108" i="11"/>
  <c r="Y137" i="11" s="1"/>
  <c r="Y164" i="11" s="1"/>
  <c r="X108" i="11"/>
  <c r="W108" i="11"/>
  <c r="V108" i="11"/>
  <c r="U108" i="11"/>
  <c r="U137" i="11" s="1"/>
  <c r="U164" i="11" s="1"/>
  <c r="T108" i="11"/>
  <c r="S108" i="11"/>
  <c r="R108" i="11"/>
  <c r="Q108" i="11"/>
  <c r="Q137" i="11" s="1"/>
  <c r="Q164" i="11" s="1"/>
  <c r="P108" i="11"/>
  <c r="O108" i="11"/>
  <c r="N108" i="11"/>
  <c r="M108" i="11"/>
  <c r="Z107" i="11"/>
  <c r="Z136" i="11" s="1"/>
  <c r="Z163" i="11" s="1"/>
  <c r="Y107" i="11"/>
  <c r="X107" i="11"/>
  <c r="X136" i="11" s="1"/>
  <c r="X163" i="11" s="1"/>
  <c r="W107" i="11"/>
  <c r="W136" i="11" s="1"/>
  <c r="W163" i="11" s="1"/>
  <c r="V107" i="11"/>
  <c r="V136" i="11" s="1"/>
  <c r="V163" i="11" s="1"/>
  <c r="U107" i="11"/>
  <c r="T107" i="11"/>
  <c r="T136" i="11" s="1"/>
  <c r="T163" i="11" s="1"/>
  <c r="S107" i="11"/>
  <c r="S136" i="11" s="1"/>
  <c r="S163" i="11" s="1"/>
  <c r="R107" i="11"/>
  <c r="R136" i="11" s="1"/>
  <c r="R163" i="11" s="1"/>
  <c r="Q107" i="11"/>
  <c r="P107" i="11"/>
  <c r="P136" i="11" s="1"/>
  <c r="P163" i="11" s="1"/>
  <c r="O107" i="11"/>
  <c r="O136" i="11" s="1"/>
  <c r="O163" i="11" s="1"/>
  <c r="N107" i="11"/>
  <c r="N136" i="11" s="1"/>
  <c r="N163" i="11" s="1"/>
  <c r="M107" i="11"/>
  <c r="Z106" i="11"/>
  <c r="Y106" i="11"/>
  <c r="Y135" i="11" s="1"/>
  <c r="Y162" i="11" s="1"/>
  <c r="X106" i="11"/>
  <c r="W106" i="11"/>
  <c r="V106" i="11"/>
  <c r="U106" i="11"/>
  <c r="U135" i="11" s="1"/>
  <c r="U162" i="11" s="1"/>
  <c r="T106" i="11"/>
  <c r="S106" i="11"/>
  <c r="S135" i="11" s="1"/>
  <c r="S162" i="11" s="1"/>
  <c r="R106" i="11"/>
  <c r="Q106" i="11"/>
  <c r="Q135" i="11" s="1"/>
  <c r="Q162" i="11" s="1"/>
  <c r="P106" i="11"/>
  <c r="O106" i="11"/>
  <c r="N106" i="11"/>
  <c r="M106" i="11"/>
  <c r="O135" i="11" s="1"/>
  <c r="O162" i="11" s="1"/>
  <c r="Z105" i="11"/>
  <c r="Z134" i="11" s="1"/>
  <c r="Z161" i="11" s="1"/>
  <c r="Y105" i="11"/>
  <c r="X105" i="11"/>
  <c r="X134" i="11" s="1"/>
  <c r="X161" i="11" s="1"/>
  <c r="W105" i="11"/>
  <c r="W134" i="11" s="1"/>
  <c r="W161" i="11" s="1"/>
  <c r="V105" i="11"/>
  <c r="V134" i="11" s="1"/>
  <c r="V161" i="11" s="1"/>
  <c r="U105" i="11"/>
  <c r="U134" i="11" s="1"/>
  <c r="U161" i="11" s="1"/>
  <c r="T105" i="11"/>
  <c r="T134" i="11" s="1"/>
  <c r="T161" i="11" s="1"/>
  <c r="S105" i="11"/>
  <c r="S134" i="11" s="1"/>
  <c r="S161" i="11" s="1"/>
  <c r="R105" i="11"/>
  <c r="R134" i="11" s="1"/>
  <c r="R161" i="11" s="1"/>
  <c r="Q105" i="11"/>
  <c r="Q134" i="11" s="1"/>
  <c r="Q161" i="11" s="1"/>
  <c r="P105" i="11"/>
  <c r="P134" i="11" s="1"/>
  <c r="P161" i="11" s="1"/>
  <c r="O105" i="11"/>
  <c r="O134" i="11" s="1"/>
  <c r="O161" i="11" s="1"/>
  <c r="N105" i="11"/>
  <c r="M105" i="11"/>
  <c r="M134" i="11" s="1"/>
  <c r="Z104" i="11"/>
  <c r="Z133" i="11" s="1"/>
  <c r="Z160" i="11" s="1"/>
  <c r="Y104" i="11"/>
  <c r="Y133" i="11" s="1"/>
  <c r="Y160" i="11" s="1"/>
  <c r="X104" i="11"/>
  <c r="X133" i="11" s="1"/>
  <c r="X160" i="11" s="1"/>
  <c r="W104" i="11"/>
  <c r="V104" i="11"/>
  <c r="U104" i="11"/>
  <c r="U133" i="11" s="1"/>
  <c r="U160" i="11" s="1"/>
  <c r="T104" i="11"/>
  <c r="T133" i="11" s="1"/>
  <c r="T160" i="11" s="1"/>
  <c r="S104" i="11"/>
  <c r="S133" i="11" s="1"/>
  <c r="S160" i="11" s="1"/>
  <c r="R104" i="11"/>
  <c r="Q104" i="11"/>
  <c r="Q133" i="11" s="1"/>
  <c r="Q160" i="11" s="1"/>
  <c r="P104" i="11"/>
  <c r="P133" i="11" s="1"/>
  <c r="P160" i="11" s="1"/>
  <c r="O104" i="11"/>
  <c r="O133" i="11" s="1"/>
  <c r="O160" i="11" s="1"/>
  <c r="N104" i="11"/>
  <c r="M104" i="11"/>
  <c r="M133" i="11" s="1"/>
  <c r="Z103" i="11"/>
  <c r="Y103" i="11"/>
  <c r="Y132" i="11" s="1"/>
  <c r="Y159" i="11" s="1"/>
  <c r="X103" i="11"/>
  <c r="X132" i="11" s="1"/>
  <c r="X159" i="11" s="1"/>
  <c r="W103" i="11"/>
  <c r="W132" i="11" s="1"/>
  <c r="W159" i="11" s="1"/>
  <c r="V103" i="11"/>
  <c r="V132" i="11" s="1"/>
  <c r="V159" i="11" s="1"/>
  <c r="U103" i="11"/>
  <c r="T103" i="11"/>
  <c r="T132" i="11" s="1"/>
  <c r="T159" i="11" s="1"/>
  <c r="S103" i="11"/>
  <c r="S132" i="11" s="1"/>
  <c r="S159" i="11" s="1"/>
  <c r="R103" i="11"/>
  <c r="R132" i="11" s="1"/>
  <c r="R159" i="11" s="1"/>
  <c r="Q103" i="11"/>
  <c r="Q132" i="11" s="1"/>
  <c r="Q159" i="11" s="1"/>
  <c r="P103" i="11"/>
  <c r="P132" i="11" s="1"/>
  <c r="P159" i="11" s="1"/>
  <c r="O103" i="11"/>
  <c r="O132" i="11" s="1"/>
  <c r="O159" i="11" s="1"/>
  <c r="N103" i="11"/>
  <c r="N132" i="11" s="1"/>
  <c r="N159" i="11" s="1"/>
  <c r="M103" i="11"/>
  <c r="M132" i="11" s="1"/>
  <c r="Z102" i="11"/>
  <c r="Z131" i="11" s="1"/>
  <c r="Z158" i="11" s="1"/>
  <c r="Y102" i="11"/>
  <c r="Y131" i="11" s="1"/>
  <c r="Y158" i="11" s="1"/>
  <c r="X102" i="11"/>
  <c r="W102" i="11"/>
  <c r="W131" i="11" s="1"/>
  <c r="W158" i="11" s="1"/>
  <c r="V102" i="11"/>
  <c r="U102" i="11"/>
  <c r="U131" i="11" s="1"/>
  <c r="U158" i="11" s="1"/>
  <c r="T102" i="11"/>
  <c r="T131" i="11" s="1"/>
  <c r="T158" i="11" s="1"/>
  <c r="S102" i="11"/>
  <c r="R102" i="11"/>
  <c r="R131" i="11" s="1"/>
  <c r="R158" i="11" s="1"/>
  <c r="Q102" i="11"/>
  <c r="Q131" i="11" s="1"/>
  <c r="Q158" i="11" s="1"/>
  <c r="P102" i="11"/>
  <c r="P131" i="11" s="1"/>
  <c r="P158" i="11" s="1"/>
  <c r="O102" i="11"/>
  <c r="O131" i="11" s="1"/>
  <c r="O158" i="11" s="1"/>
  <c r="N102" i="11"/>
  <c r="M102" i="11"/>
  <c r="X131" i="11" s="1"/>
  <c r="X158" i="11" s="1"/>
  <c r="Z101" i="11"/>
  <c r="Z130" i="11" s="1"/>
  <c r="Z157" i="11" s="1"/>
  <c r="Y101" i="11"/>
  <c r="Y130" i="11" s="1"/>
  <c r="Y157" i="11" s="1"/>
  <c r="X101" i="11"/>
  <c r="X130" i="11" s="1"/>
  <c r="X157" i="11" s="1"/>
  <c r="W101" i="11"/>
  <c r="W130" i="11" s="1"/>
  <c r="W157" i="11" s="1"/>
  <c r="V101" i="11"/>
  <c r="U101" i="11"/>
  <c r="U130" i="11" s="1"/>
  <c r="U157" i="11" s="1"/>
  <c r="T101" i="11"/>
  <c r="T130" i="11" s="1"/>
  <c r="T157" i="11" s="1"/>
  <c r="S101" i="11"/>
  <c r="S130" i="11" s="1"/>
  <c r="S157" i="11" s="1"/>
  <c r="R101" i="11"/>
  <c r="R130" i="11" s="1"/>
  <c r="R157" i="11" s="1"/>
  <c r="Q101" i="11"/>
  <c r="P101" i="11"/>
  <c r="P130" i="11" s="1"/>
  <c r="P157" i="11" s="1"/>
  <c r="O101" i="11"/>
  <c r="O130" i="11" s="1"/>
  <c r="O157" i="11" s="1"/>
  <c r="N101" i="11"/>
  <c r="N130" i="11" s="1"/>
  <c r="N157" i="11" s="1"/>
  <c r="M101" i="11"/>
  <c r="M130" i="11" s="1"/>
  <c r="Z100" i="11"/>
  <c r="Z129" i="11" s="1"/>
  <c r="Z156" i="11" s="1"/>
  <c r="Y100" i="11"/>
  <c r="Y129" i="11" s="1"/>
  <c r="Y156" i="11" s="1"/>
  <c r="X100" i="11"/>
  <c r="X129" i="11" s="1"/>
  <c r="X156" i="11" s="1"/>
  <c r="W100" i="11"/>
  <c r="W129" i="11" s="1"/>
  <c r="W156" i="11" s="1"/>
  <c r="V100" i="11"/>
  <c r="V129" i="11" s="1"/>
  <c r="V156" i="11" s="1"/>
  <c r="U100" i="11"/>
  <c r="U129" i="11" s="1"/>
  <c r="U156" i="11" s="1"/>
  <c r="T100" i="11"/>
  <c r="S100" i="11"/>
  <c r="S129" i="11" s="1"/>
  <c r="S156" i="11" s="1"/>
  <c r="R100" i="11"/>
  <c r="R129" i="11" s="1"/>
  <c r="R156" i="11" s="1"/>
  <c r="Q100" i="11"/>
  <c r="Q129" i="11" s="1"/>
  <c r="Q156" i="11" s="1"/>
  <c r="P100" i="11"/>
  <c r="P129" i="11" s="1"/>
  <c r="P156" i="11" s="1"/>
  <c r="O100" i="11"/>
  <c r="N100" i="11"/>
  <c r="N129" i="11" s="1"/>
  <c r="N156" i="11" s="1"/>
  <c r="Z99" i="11"/>
  <c r="Z128" i="11" s="1"/>
  <c r="Z155" i="11" s="1"/>
  <c r="Y99" i="11"/>
  <c r="Y128" i="11" s="1"/>
  <c r="Y155" i="11" s="1"/>
  <c r="X99" i="11"/>
  <c r="X128" i="11" s="1"/>
  <c r="X155" i="11" s="1"/>
  <c r="W99" i="11"/>
  <c r="V99" i="11"/>
  <c r="V128" i="11" s="1"/>
  <c r="V155" i="11" s="1"/>
  <c r="U99" i="11"/>
  <c r="U128" i="11" s="1"/>
  <c r="U155" i="11" s="1"/>
  <c r="T99" i="11"/>
  <c r="S99" i="11"/>
  <c r="S128" i="11" s="1"/>
  <c r="S155" i="11" s="1"/>
  <c r="R99" i="11"/>
  <c r="R128" i="11" s="1"/>
  <c r="R155" i="11" s="1"/>
  <c r="Q99" i="11"/>
  <c r="Q128" i="11" s="1"/>
  <c r="Q155" i="11" s="1"/>
  <c r="P99" i="11"/>
  <c r="O99" i="11"/>
  <c r="O128" i="11" s="1"/>
  <c r="O155" i="11" s="1"/>
  <c r="N99" i="11"/>
  <c r="N128" i="11" s="1"/>
  <c r="N155" i="11" s="1"/>
  <c r="M99" i="11"/>
  <c r="Z98" i="11"/>
  <c r="Z127" i="11" s="1"/>
  <c r="Y98" i="11"/>
  <c r="Y127" i="11" s="1"/>
  <c r="Y154" i="11" s="1"/>
  <c r="X98" i="11"/>
  <c r="X127" i="11" s="1"/>
  <c r="X154" i="11" s="1"/>
  <c r="W98" i="11"/>
  <c r="W127" i="11" s="1"/>
  <c r="W154" i="11" s="1"/>
  <c r="V98" i="11"/>
  <c r="U98" i="11"/>
  <c r="T98" i="11"/>
  <c r="T127" i="11" s="1"/>
  <c r="T154" i="11" s="1"/>
  <c r="S98" i="11"/>
  <c r="S127" i="11" s="1"/>
  <c r="S154" i="11" s="1"/>
  <c r="R98" i="11"/>
  <c r="Q98" i="11"/>
  <c r="Q127" i="11" s="1"/>
  <c r="Q154" i="11" s="1"/>
  <c r="P98" i="11"/>
  <c r="P127" i="11" s="1"/>
  <c r="P154" i="11" s="1"/>
  <c r="O98" i="11"/>
  <c r="O127" i="11" s="1"/>
  <c r="O154" i="11" s="1"/>
  <c r="N98" i="11"/>
  <c r="M98" i="11"/>
  <c r="M127" i="11" s="1"/>
  <c r="Z97" i="11"/>
  <c r="Z126" i="11" s="1"/>
  <c r="Z153" i="11" s="1"/>
  <c r="Y97" i="11"/>
  <c r="X97" i="11"/>
  <c r="X126" i="11" s="1"/>
  <c r="X153" i="11" s="1"/>
  <c r="W97" i="11"/>
  <c r="W126" i="11" s="1"/>
  <c r="W153" i="11" s="1"/>
  <c r="V97" i="11"/>
  <c r="V126" i="11" s="1"/>
  <c r="V153" i="11" s="1"/>
  <c r="U97" i="11"/>
  <c r="U126" i="11" s="1"/>
  <c r="U153" i="11" s="1"/>
  <c r="T97" i="11"/>
  <c r="S97" i="11"/>
  <c r="R97" i="11"/>
  <c r="R126" i="11" s="1"/>
  <c r="R153" i="11" s="1"/>
  <c r="Q97" i="11"/>
  <c r="Q126" i="11" s="1"/>
  <c r="Q153" i="11" s="1"/>
  <c r="P97" i="11"/>
  <c r="O97" i="11"/>
  <c r="O126" i="11" s="1"/>
  <c r="O153" i="11" s="1"/>
  <c r="N97" i="11"/>
  <c r="N126" i="11" s="1"/>
  <c r="N153" i="11" s="1"/>
  <c r="M97" i="11"/>
  <c r="M126" i="11" s="1"/>
  <c r="Z96" i="11"/>
  <c r="Y96" i="11"/>
  <c r="Y125" i="11" s="1"/>
  <c r="Y152" i="11" s="1"/>
  <c r="X96" i="11"/>
  <c r="X125" i="11" s="1"/>
  <c r="X152" i="11" s="1"/>
  <c r="W96" i="11"/>
  <c r="V96" i="11"/>
  <c r="U96" i="11"/>
  <c r="U125" i="11" s="1"/>
  <c r="U152" i="11" s="1"/>
  <c r="T96" i="11"/>
  <c r="T125" i="11" s="1"/>
  <c r="T152" i="11" s="1"/>
  <c r="S96" i="11"/>
  <c r="S125" i="11" s="1"/>
  <c r="S152" i="11" s="1"/>
  <c r="R96" i="11"/>
  <c r="Q96" i="11"/>
  <c r="P96" i="11"/>
  <c r="P125" i="11" s="1"/>
  <c r="P152" i="11" s="1"/>
  <c r="O96" i="11"/>
  <c r="O125" i="11" s="1"/>
  <c r="O152" i="11" s="1"/>
  <c r="N96" i="11"/>
  <c r="M96" i="11"/>
  <c r="M125" i="11" s="1"/>
  <c r="Z95" i="11"/>
  <c r="Z124" i="11" s="1"/>
  <c r="Z151" i="11" s="1"/>
  <c r="Y95" i="11"/>
  <c r="Y124" i="11" s="1"/>
  <c r="Y151" i="11" s="1"/>
  <c r="X95" i="11"/>
  <c r="X124" i="11" s="1"/>
  <c r="X151" i="11" s="1"/>
  <c r="W95" i="11"/>
  <c r="W124" i="11" s="1"/>
  <c r="W151" i="11" s="1"/>
  <c r="V95" i="11"/>
  <c r="V124" i="11" s="1"/>
  <c r="V151" i="11" s="1"/>
  <c r="U95" i="11"/>
  <c r="T95" i="11"/>
  <c r="S95" i="11"/>
  <c r="S124" i="11" s="1"/>
  <c r="S151" i="11" s="1"/>
  <c r="R95" i="11"/>
  <c r="R124" i="11" s="1"/>
  <c r="R151" i="11" s="1"/>
  <c r="Q95" i="11"/>
  <c r="Q124" i="11" s="1"/>
  <c r="Q151" i="11" s="1"/>
  <c r="P95" i="11"/>
  <c r="O95" i="11"/>
  <c r="N95" i="11"/>
  <c r="N124" i="11" s="1"/>
  <c r="N151" i="11" s="1"/>
  <c r="M95" i="11"/>
  <c r="M124" i="11" s="1"/>
  <c r="Z94" i="11"/>
  <c r="Y94" i="11"/>
  <c r="Y123" i="11" s="1"/>
  <c r="Y150" i="11" s="1"/>
  <c r="X94" i="11"/>
  <c r="X123" i="11" s="1"/>
  <c r="X150" i="11" s="1"/>
  <c r="W94" i="11"/>
  <c r="W123" i="11" s="1"/>
  <c r="W150" i="11" s="1"/>
  <c r="V94" i="11"/>
  <c r="U94" i="11"/>
  <c r="U123" i="11" s="1"/>
  <c r="U150" i="11" s="1"/>
  <c r="T94" i="11"/>
  <c r="T123" i="11" s="1"/>
  <c r="T150" i="11" s="1"/>
  <c r="S94" i="11"/>
  <c r="R94" i="11"/>
  <c r="Q94" i="11"/>
  <c r="Q123" i="11" s="1"/>
  <c r="Q150" i="11" s="1"/>
  <c r="P94" i="11"/>
  <c r="P123" i="11" s="1"/>
  <c r="P150" i="11" s="1"/>
  <c r="O94" i="11"/>
  <c r="O123" i="11" s="1"/>
  <c r="O150" i="11" s="1"/>
  <c r="N94" i="11"/>
  <c r="M94" i="11"/>
  <c r="Z93" i="11"/>
  <c r="Z122" i="11" s="1"/>
  <c r="Z149" i="11" s="1"/>
  <c r="Y93" i="11"/>
  <c r="Y122" i="11" s="1"/>
  <c r="Y149" i="11" s="1"/>
  <c r="X93" i="11"/>
  <c r="X122" i="11" s="1"/>
  <c r="X149" i="11" s="1"/>
  <c r="W93" i="11"/>
  <c r="W122" i="11" s="1"/>
  <c r="W149" i="11" s="1"/>
  <c r="V93" i="11"/>
  <c r="V122" i="11" s="1"/>
  <c r="V149" i="11" s="1"/>
  <c r="U93" i="11"/>
  <c r="U122" i="11" s="1"/>
  <c r="U149" i="11" s="1"/>
  <c r="T93" i="11"/>
  <c r="S93" i="11"/>
  <c r="S122" i="11" s="1"/>
  <c r="S149" i="11" s="1"/>
  <c r="R93" i="11"/>
  <c r="R122" i="11" s="1"/>
  <c r="R149" i="11" s="1"/>
  <c r="Q93" i="11"/>
  <c r="P93" i="11"/>
  <c r="O93" i="11"/>
  <c r="O122" i="11" s="1"/>
  <c r="O149" i="11" s="1"/>
  <c r="N93" i="11"/>
  <c r="N122" i="11" s="1"/>
  <c r="N149" i="11" s="1"/>
  <c r="M93" i="11"/>
  <c r="M122" i="11" s="1"/>
  <c r="C93" i="11"/>
  <c r="Z92" i="11"/>
  <c r="Z121" i="11" s="1"/>
  <c r="Z148" i="11" s="1"/>
  <c r="Y92" i="11"/>
  <c r="Y121" i="11" s="1"/>
  <c r="Y148" i="11" s="1"/>
  <c r="X92" i="11"/>
  <c r="X121" i="11" s="1"/>
  <c r="X148" i="11" s="1"/>
  <c r="W92" i="11"/>
  <c r="W121" i="11" s="1"/>
  <c r="W148" i="11" s="1"/>
  <c r="V92" i="11"/>
  <c r="V121" i="11" s="1"/>
  <c r="V148" i="11" s="1"/>
  <c r="U92" i="11"/>
  <c r="U121" i="11" s="1"/>
  <c r="U148" i="11" s="1"/>
  <c r="T92" i="11"/>
  <c r="S92" i="11"/>
  <c r="S121" i="11" s="1"/>
  <c r="S148" i="11" s="1"/>
  <c r="R92" i="11"/>
  <c r="R121" i="11" s="1"/>
  <c r="R148" i="11" s="1"/>
  <c r="Q92" i="11"/>
  <c r="Q121" i="11" s="1"/>
  <c r="Q148" i="11" s="1"/>
  <c r="P92" i="11"/>
  <c r="P121" i="11" s="1"/>
  <c r="P148" i="11" s="1"/>
  <c r="O92" i="11"/>
  <c r="N92" i="11"/>
  <c r="M92" i="11"/>
  <c r="M121" i="11" s="1"/>
  <c r="Z91" i="11"/>
  <c r="Z120" i="11" s="1"/>
  <c r="Z147" i="11" s="1"/>
  <c r="Y91" i="11"/>
  <c r="Y120" i="11" s="1"/>
  <c r="Y147" i="11" s="1"/>
  <c r="X91" i="11"/>
  <c r="X120" i="11" s="1"/>
  <c r="X147" i="11" s="1"/>
  <c r="W91" i="11"/>
  <c r="W120" i="11" s="1"/>
  <c r="W147" i="11" s="1"/>
  <c r="V91" i="11"/>
  <c r="V120" i="11" s="1"/>
  <c r="V147" i="11" s="1"/>
  <c r="U91" i="11"/>
  <c r="U120" i="11" s="1"/>
  <c r="U147" i="11" s="1"/>
  <c r="T91" i="11"/>
  <c r="T120" i="11" s="1"/>
  <c r="T147" i="11" s="1"/>
  <c r="S91" i="11"/>
  <c r="S120" i="11" s="1"/>
  <c r="S147" i="11" s="1"/>
  <c r="R91" i="11"/>
  <c r="Q91" i="11"/>
  <c r="Q120" i="11" s="1"/>
  <c r="Q147" i="11" s="1"/>
  <c r="P91" i="11"/>
  <c r="P120" i="11" s="1"/>
  <c r="P147" i="11" s="1"/>
  <c r="O91" i="11"/>
  <c r="O120" i="11" s="1"/>
  <c r="O147" i="11" s="1"/>
  <c r="N91" i="11"/>
  <c r="N120" i="11" s="1"/>
  <c r="N147" i="11" s="1"/>
  <c r="M91" i="11"/>
  <c r="Z90" i="11"/>
  <c r="Z119" i="11" s="1"/>
  <c r="Y90" i="11"/>
  <c r="Y119" i="11" s="1"/>
  <c r="Y146" i="11" s="1"/>
  <c r="X90" i="11"/>
  <c r="X119" i="11" s="1"/>
  <c r="X146" i="11" s="1"/>
  <c r="W90" i="11"/>
  <c r="W119" i="11" s="1"/>
  <c r="W146" i="11" s="1"/>
  <c r="V90" i="11"/>
  <c r="V119" i="11" s="1"/>
  <c r="V146" i="11" s="1"/>
  <c r="U90" i="11"/>
  <c r="U119" i="11" s="1"/>
  <c r="U146" i="11" s="1"/>
  <c r="T90" i="11"/>
  <c r="T119" i="11" s="1"/>
  <c r="T146" i="11" s="1"/>
  <c r="S90" i="11"/>
  <c r="S119" i="11" s="1"/>
  <c r="S146" i="11" s="1"/>
  <c r="R90" i="11"/>
  <c r="R119" i="11" s="1"/>
  <c r="Q90" i="11"/>
  <c r="Q119" i="11" s="1"/>
  <c r="Q146" i="11" s="1"/>
  <c r="P90" i="11"/>
  <c r="O90" i="11"/>
  <c r="O119" i="11" s="1"/>
  <c r="O146" i="11" s="1"/>
  <c r="N90" i="11"/>
  <c r="M90" i="11"/>
  <c r="M119" i="11" s="1"/>
  <c r="Z89" i="11"/>
  <c r="Z118" i="11" s="1"/>
  <c r="Z145" i="11" s="1"/>
  <c r="Y89" i="11"/>
  <c r="X89" i="11"/>
  <c r="X118" i="11" s="1"/>
  <c r="X145" i="11" s="1"/>
  <c r="W89" i="11"/>
  <c r="W118" i="11" s="1"/>
  <c r="W145" i="11" s="1"/>
  <c r="V89" i="11"/>
  <c r="V118" i="11" s="1"/>
  <c r="V145" i="11" s="1"/>
  <c r="U89" i="11"/>
  <c r="U118" i="11" s="1"/>
  <c r="U145" i="11" s="1"/>
  <c r="T89" i="11"/>
  <c r="T118" i="11" s="1"/>
  <c r="T145" i="11" s="1"/>
  <c r="S89" i="11"/>
  <c r="S118" i="11" s="1"/>
  <c r="S145" i="11" s="1"/>
  <c r="R89" i="11"/>
  <c r="R118" i="11" s="1"/>
  <c r="R145" i="11" s="1"/>
  <c r="Q89" i="11"/>
  <c r="Q118" i="11" s="1"/>
  <c r="Q145" i="11" s="1"/>
  <c r="P89" i="11"/>
  <c r="P118" i="11" s="1"/>
  <c r="P145" i="11" s="1"/>
  <c r="O89" i="11"/>
  <c r="O118" i="11" s="1"/>
  <c r="O145" i="11" s="1"/>
  <c r="N89" i="11"/>
  <c r="M89" i="11"/>
  <c r="M118" i="11" s="1"/>
  <c r="Z88" i="11"/>
  <c r="Z117" i="11" s="1"/>
  <c r="Z144" i="11" s="1"/>
  <c r="Y88" i="11"/>
  <c r="Y117" i="11" s="1"/>
  <c r="Y144" i="11" s="1"/>
  <c r="X88" i="11"/>
  <c r="X117" i="11" s="1"/>
  <c r="X144" i="11" s="1"/>
  <c r="W88" i="11"/>
  <c r="V88" i="11"/>
  <c r="V117" i="11" s="1"/>
  <c r="V144" i="11" s="1"/>
  <c r="U88" i="11"/>
  <c r="U117" i="11" s="1"/>
  <c r="U144" i="11" s="1"/>
  <c r="T88" i="11"/>
  <c r="T117" i="11" s="1"/>
  <c r="T144" i="11" s="1"/>
  <c r="S88" i="11"/>
  <c r="R88" i="11"/>
  <c r="R117" i="11" s="1"/>
  <c r="R144" i="11" s="1"/>
  <c r="Q88" i="11"/>
  <c r="Q117" i="11" s="1"/>
  <c r="Q144" i="11" s="1"/>
  <c r="P88" i="11"/>
  <c r="P117" i="11" s="1"/>
  <c r="P144" i="11" s="1"/>
  <c r="O88" i="11"/>
  <c r="N88" i="11"/>
  <c r="N117" i="11" s="1"/>
  <c r="N144" i="11" s="1"/>
  <c r="E79" i="11"/>
  <c r="D79" i="11"/>
  <c r="AQ74" i="11"/>
  <c r="AP74" i="11"/>
  <c r="AO74" i="11"/>
  <c r="AN74" i="11"/>
  <c r="AB74" i="11"/>
  <c r="AA74" i="11"/>
  <c r="AM74" i="11" s="1"/>
  <c r="H74" i="11"/>
  <c r="L74" i="11" s="1"/>
  <c r="G74" i="11"/>
  <c r="I74" i="11" s="1"/>
  <c r="F74" i="11"/>
  <c r="AQ73" i="11"/>
  <c r="AP73" i="11"/>
  <c r="AL73" i="11"/>
  <c r="V27" i="11" s="1"/>
  <c r="AJ27" i="11" s="1"/>
  <c r="AH73" i="11"/>
  <c r="R27" i="11" s="1"/>
  <c r="AF27" i="11" s="1"/>
  <c r="AB73" i="11"/>
  <c r="AA73" i="11"/>
  <c r="AM73" i="11" s="1"/>
  <c r="H73" i="11"/>
  <c r="L73" i="11" s="1"/>
  <c r="G73" i="11"/>
  <c r="F73" i="11"/>
  <c r="AP72" i="11"/>
  <c r="AL72" i="11"/>
  <c r="V26" i="11" s="1"/>
  <c r="AJ26" i="11" s="1"/>
  <c r="AH72" i="11"/>
  <c r="R26" i="11" s="1"/>
  <c r="AF26" i="11" s="1"/>
  <c r="AB72" i="11"/>
  <c r="AA72" i="11"/>
  <c r="AQ72" i="11" s="1"/>
  <c r="H72" i="11"/>
  <c r="L72" i="11" s="1"/>
  <c r="G72" i="11"/>
  <c r="F72" i="11"/>
  <c r="AP71" i="11"/>
  <c r="AL71" i="11"/>
  <c r="AH71" i="11"/>
  <c r="AB71" i="11"/>
  <c r="AA71" i="11"/>
  <c r="AQ71" i="11" s="1"/>
  <c r="I71" i="11"/>
  <c r="F71" i="11"/>
  <c r="J71" i="11" s="1"/>
  <c r="G71" i="11" s="1"/>
  <c r="H71" i="11" s="1"/>
  <c r="L71" i="11" s="1"/>
  <c r="AQ70" i="11"/>
  <c r="AM70" i="11"/>
  <c r="AI70" i="11"/>
  <c r="S25" i="11" s="1"/>
  <c r="AG25" i="11" s="1"/>
  <c r="AE70" i="11"/>
  <c r="O25" i="11" s="1"/>
  <c r="AB70" i="11"/>
  <c r="AP70" i="11" s="1"/>
  <c r="AA70" i="11"/>
  <c r="AN70" i="11" s="1"/>
  <c r="J70" i="11"/>
  <c r="G70" i="11" s="1"/>
  <c r="F70" i="11"/>
  <c r="AQ69" i="11"/>
  <c r="AP69" i="11"/>
  <c r="AN69" i="11"/>
  <c r="AJ69" i="11"/>
  <c r="AF69" i="11"/>
  <c r="AB69" i="11"/>
  <c r="AA69" i="11"/>
  <c r="AO69" i="11" s="1"/>
  <c r="F69" i="11"/>
  <c r="J69" i="11" s="1"/>
  <c r="G69" i="11" s="1"/>
  <c r="AB68" i="11"/>
  <c r="AA68" i="11"/>
  <c r="AP68" i="11" s="1"/>
  <c r="Z24" i="11" s="1"/>
  <c r="AN24" i="11" s="1"/>
  <c r="F68" i="11"/>
  <c r="J68" i="11" s="1"/>
  <c r="G68" i="11" s="1"/>
  <c r="H68" i="11" s="1"/>
  <c r="AQ67" i="11"/>
  <c r="AA13" i="11" s="1"/>
  <c r="AP67" i="11"/>
  <c r="Z13" i="11" s="1"/>
  <c r="AO67" i="11"/>
  <c r="AN67" i="11"/>
  <c r="AM67" i="11"/>
  <c r="W13" i="11" s="1"/>
  <c r="AL67" i="11"/>
  <c r="V13" i="11" s="1"/>
  <c r="AE67" i="11"/>
  <c r="O13" i="11" s="1"/>
  <c r="AB67" i="11"/>
  <c r="AI67" i="11" s="1"/>
  <c r="S13" i="11" s="1"/>
  <c r="AG13" i="11" s="1"/>
  <c r="AA67" i="11"/>
  <c r="H67" i="11"/>
  <c r="L67" i="11" s="1"/>
  <c r="G67" i="11"/>
  <c r="F67" i="11"/>
  <c r="AQ66" i="11"/>
  <c r="AP66" i="11"/>
  <c r="AO66" i="11"/>
  <c r="AN66" i="11"/>
  <c r="AM66" i="11"/>
  <c r="AL66" i="11"/>
  <c r="AK66" i="11"/>
  <c r="AJ66" i="11"/>
  <c r="AI66" i="11"/>
  <c r="AH66" i="11"/>
  <c r="AE66" i="11"/>
  <c r="AB66" i="11"/>
  <c r="AA66" i="11"/>
  <c r="AG66" i="11" s="1"/>
  <c r="J66" i="11"/>
  <c r="G66" i="11" s="1"/>
  <c r="H66" i="11" s="1"/>
  <c r="L66" i="11" s="1"/>
  <c r="F66" i="11"/>
  <c r="AQ65" i="11"/>
  <c r="AP65" i="11"/>
  <c r="AO65" i="11"/>
  <c r="AN65" i="11"/>
  <c r="AI65" i="11"/>
  <c r="S11" i="11" s="1"/>
  <c r="AG11" i="11" s="1"/>
  <c r="AH65" i="11"/>
  <c r="AB65" i="11"/>
  <c r="AE65" i="11" s="1"/>
  <c r="O11" i="11" s="1"/>
  <c r="AA65" i="11"/>
  <c r="AK65" i="11" s="1"/>
  <c r="J65" i="11"/>
  <c r="G65" i="11" s="1"/>
  <c r="F65" i="11"/>
  <c r="AQ64" i="11"/>
  <c r="AP64" i="11"/>
  <c r="AO64" i="11"/>
  <c r="AN64" i="11"/>
  <c r="AM64" i="11"/>
  <c r="AJ64" i="11"/>
  <c r="T18" i="11" s="1"/>
  <c r="AH18" i="11" s="1"/>
  <c r="BA9" i="11" s="1"/>
  <c r="AI64" i="11"/>
  <c r="AF64" i="11"/>
  <c r="AE64" i="11"/>
  <c r="AB64" i="11"/>
  <c r="AL64" i="11" s="1"/>
  <c r="AA64" i="11"/>
  <c r="AK64" i="11" s="1"/>
  <c r="J64" i="11"/>
  <c r="G64" i="11" s="1"/>
  <c r="F64" i="11"/>
  <c r="AQ63" i="11"/>
  <c r="AP63" i="11"/>
  <c r="AO63" i="11"/>
  <c r="AN63" i="11"/>
  <c r="AJ63" i="11"/>
  <c r="AI63" i="11"/>
  <c r="S22" i="11" s="1"/>
  <c r="AG22" i="11" s="1"/>
  <c r="AF63" i="11"/>
  <c r="AE63" i="11"/>
  <c r="AB63" i="11"/>
  <c r="AL63" i="11" s="1"/>
  <c r="AA63" i="11"/>
  <c r="AK63" i="11" s="1"/>
  <c r="F63" i="11"/>
  <c r="J63" i="11" s="1"/>
  <c r="G63" i="11" s="1"/>
  <c r="AQ62" i="11"/>
  <c r="AP62" i="11"/>
  <c r="AO62" i="11"/>
  <c r="AN62" i="11"/>
  <c r="AJ62" i="11"/>
  <c r="AI62" i="11"/>
  <c r="AF62" i="11"/>
  <c r="AE62" i="11"/>
  <c r="O22" i="11" s="1"/>
  <c r="AB62" i="11"/>
  <c r="AL62" i="11" s="1"/>
  <c r="V22" i="11" s="1"/>
  <c r="AJ22" i="11" s="1"/>
  <c r="AA62" i="11"/>
  <c r="AK62" i="11" s="1"/>
  <c r="J62" i="11"/>
  <c r="G62" i="11" s="1"/>
  <c r="F62" i="11"/>
  <c r="AQ61" i="11"/>
  <c r="AP61" i="11"/>
  <c r="AO61" i="11"/>
  <c r="Y8" i="11" s="1"/>
  <c r="AN61" i="11"/>
  <c r="AM61" i="11"/>
  <c r="AL61" i="11"/>
  <c r="AK61" i="11"/>
  <c r="U8" i="11" s="1"/>
  <c r="AJ61" i="11"/>
  <c r="AI61" i="11"/>
  <c r="AF61" i="11"/>
  <c r="AE61" i="11"/>
  <c r="AB61" i="11"/>
  <c r="AA61" i="11"/>
  <c r="AG61" i="11" s="1"/>
  <c r="L61" i="11"/>
  <c r="I61" i="11"/>
  <c r="F61" i="11"/>
  <c r="G61" i="11" s="1"/>
  <c r="H61" i="11" s="1"/>
  <c r="AQ60" i="11"/>
  <c r="AN60" i="11"/>
  <c r="X12" i="11" s="1"/>
  <c r="AL12" i="11" s="1"/>
  <c r="AM60" i="11"/>
  <c r="W12" i="11" s="1"/>
  <c r="AK12" i="11" s="1"/>
  <c r="AJ60" i="11"/>
  <c r="AI60" i="11"/>
  <c r="AF60" i="11"/>
  <c r="AE60" i="11"/>
  <c r="AB60" i="11"/>
  <c r="AP60" i="11" s="1"/>
  <c r="AA60" i="11"/>
  <c r="AO60" i="11" s="1"/>
  <c r="L60" i="11"/>
  <c r="I60" i="11"/>
  <c r="F60" i="11"/>
  <c r="G60" i="11" s="1"/>
  <c r="H60" i="11" s="1"/>
  <c r="AQ59" i="11"/>
  <c r="AP59" i="11"/>
  <c r="AO59" i="11"/>
  <c r="AN59" i="11"/>
  <c r="AM59" i="11"/>
  <c r="AL59" i="11"/>
  <c r="AK59" i="11"/>
  <c r="AJ59" i="11"/>
  <c r="AI59" i="11"/>
  <c r="AF59" i="11"/>
  <c r="P12" i="11" s="1"/>
  <c r="AD12" i="11" s="1"/>
  <c r="AE59" i="11"/>
  <c r="O12" i="11" s="1"/>
  <c r="AB59" i="11"/>
  <c r="AH59" i="11" s="1"/>
  <c r="AA59" i="11"/>
  <c r="AG59" i="11" s="1"/>
  <c r="J59" i="11"/>
  <c r="G59" i="11" s="1"/>
  <c r="F59" i="11"/>
  <c r="AQ58" i="11"/>
  <c r="AP58" i="11"/>
  <c r="AO58" i="11"/>
  <c r="AN58" i="11"/>
  <c r="AM58" i="11"/>
  <c r="AK58" i="11"/>
  <c r="AG58" i="11"/>
  <c r="AF58" i="11"/>
  <c r="AB58" i="11"/>
  <c r="AA58" i="11"/>
  <c r="H58" i="11"/>
  <c r="L58" i="11" s="1"/>
  <c r="G58" i="11"/>
  <c r="F58" i="11"/>
  <c r="J58" i="11" s="1"/>
  <c r="AN57" i="11"/>
  <c r="AM57" i="11"/>
  <c r="W23" i="11" s="1"/>
  <c r="AK23" i="11" s="1"/>
  <c r="AJ57" i="11"/>
  <c r="AI57" i="11"/>
  <c r="AF57" i="11"/>
  <c r="AE57" i="11"/>
  <c r="AB57" i="11"/>
  <c r="AL57" i="11" s="1"/>
  <c r="AA57" i="11"/>
  <c r="AO57" i="11" s="1"/>
  <c r="J57" i="11"/>
  <c r="G57" i="11" s="1"/>
  <c r="F57" i="11"/>
  <c r="AQ56" i="11"/>
  <c r="AP56" i="11"/>
  <c r="AO56" i="11"/>
  <c r="AN56" i="11"/>
  <c r="AM56" i="11"/>
  <c r="AL56" i="11"/>
  <c r="AK56" i="11"/>
  <c r="AJ56" i="11"/>
  <c r="AG56" i="11"/>
  <c r="AF56" i="11"/>
  <c r="AB56" i="11"/>
  <c r="AA56" i="11"/>
  <c r="H56" i="11"/>
  <c r="L56" i="11" s="1"/>
  <c r="G56" i="11"/>
  <c r="F56" i="11"/>
  <c r="J56" i="11" s="1"/>
  <c r="AQ55" i="11"/>
  <c r="AP55" i="11"/>
  <c r="AO55" i="11"/>
  <c r="AN55" i="11"/>
  <c r="AM55" i="11"/>
  <c r="AL55" i="11"/>
  <c r="AK55" i="11"/>
  <c r="AJ55" i="11"/>
  <c r="AI55" i="11"/>
  <c r="AH55" i="11"/>
  <c r="AG55" i="11"/>
  <c r="AB55" i="11"/>
  <c r="AA55" i="11"/>
  <c r="F55" i="11"/>
  <c r="J55" i="11" s="1"/>
  <c r="G55" i="11" s="1"/>
  <c r="AQ54" i="11"/>
  <c r="AA10" i="11" s="1"/>
  <c r="AP54" i="11"/>
  <c r="AO54" i="11"/>
  <c r="AN54" i="11"/>
  <c r="AM54" i="11"/>
  <c r="W10" i="11" s="1"/>
  <c r="AL54" i="11"/>
  <c r="AK54" i="11"/>
  <c r="AJ54" i="11"/>
  <c r="AI54" i="11"/>
  <c r="S10" i="11" s="1"/>
  <c r="AH54" i="11"/>
  <c r="AG54" i="11"/>
  <c r="AE54" i="11"/>
  <c r="AB54" i="11"/>
  <c r="AA54" i="11"/>
  <c r="J54" i="11"/>
  <c r="G54" i="11" s="1"/>
  <c r="I54" i="11"/>
  <c r="H54" i="11"/>
  <c r="L54" i="11" s="1"/>
  <c r="F54" i="11"/>
  <c r="AP53" i="11"/>
  <c r="AJ53" i="11"/>
  <c r="AE53" i="11"/>
  <c r="AB53" i="11"/>
  <c r="AM53" i="11" s="1"/>
  <c r="AA53" i="11"/>
  <c r="J53" i="11"/>
  <c r="G53" i="11" s="1"/>
  <c r="F53" i="11"/>
  <c r="AQ52" i="11"/>
  <c r="AJ52" i="11"/>
  <c r="AE52" i="11"/>
  <c r="AB52" i="11"/>
  <c r="AM52" i="11" s="1"/>
  <c r="AA52" i="11"/>
  <c r="J52" i="11"/>
  <c r="G52" i="11" s="1"/>
  <c r="F52" i="11"/>
  <c r="AQ51" i="11"/>
  <c r="AP51" i="11"/>
  <c r="AO51" i="11"/>
  <c r="AN51" i="11"/>
  <c r="AM51" i="11"/>
  <c r="AL51" i="11"/>
  <c r="AK51" i="11"/>
  <c r="AB51" i="11"/>
  <c r="AI51" i="11" s="1"/>
  <c r="AA51" i="11"/>
  <c r="F51" i="11"/>
  <c r="J51" i="11" s="1"/>
  <c r="G51" i="11" s="1"/>
  <c r="AQ50" i="11"/>
  <c r="AP50" i="11"/>
  <c r="Z6" i="11" s="1"/>
  <c r="AO50" i="11"/>
  <c r="AN50" i="11"/>
  <c r="AM50" i="11"/>
  <c r="AL50" i="11"/>
  <c r="V6" i="11" s="1"/>
  <c r="AK50" i="11"/>
  <c r="AJ50" i="11"/>
  <c r="AI50" i="11"/>
  <c r="AH50" i="11"/>
  <c r="R6" i="11" s="1"/>
  <c r="AE50" i="11"/>
  <c r="AB50" i="11"/>
  <c r="AF50" i="11" s="1"/>
  <c r="P6" i="11" s="1"/>
  <c r="AA50" i="11"/>
  <c r="AG50" i="11" s="1"/>
  <c r="Q6" i="11" s="1"/>
  <c r="AE6" i="11" s="1"/>
  <c r="F50" i="11"/>
  <c r="G50" i="11" s="1"/>
  <c r="AQ49" i="11"/>
  <c r="AP49" i="11"/>
  <c r="Z15" i="11" s="1"/>
  <c r="AO49" i="11"/>
  <c r="AM49" i="11"/>
  <c r="AI49" i="11"/>
  <c r="AE49" i="11"/>
  <c r="AB49" i="11"/>
  <c r="AN49" i="11" s="1"/>
  <c r="X15" i="11" s="1"/>
  <c r="AL15" i="11" s="1"/>
  <c r="AA49" i="11"/>
  <c r="AK49" i="11" s="1"/>
  <c r="F49" i="11"/>
  <c r="J49" i="11" s="1"/>
  <c r="G49" i="11" s="1"/>
  <c r="AQ48" i="11"/>
  <c r="AP48" i="11"/>
  <c r="AO48" i="11"/>
  <c r="AN48" i="11"/>
  <c r="AM48" i="11"/>
  <c r="AJ48" i="11"/>
  <c r="AI48" i="11"/>
  <c r="AF48" i="11"/>
  <c r="AE48" i="11"/>
  <c r="AB48" i="11"/>
  <c r="AA48" i="11"/>
  <c r="AL48" i="11" s="1"/>
  <c r="F48" i="11"/>
  <c r="M15" i="11" s="1"/>
  <c r="AB76" i="12" s="1"/>
  <c r="AQ47" i="11"/>
  <c r="AA14" i="11" s="1"/>
  <c r="AO14" i="11" s="1"/>
  <c r="BH8" i="11" s="1"/>
  <c r="AN47" i="11"/>
  <c r="AM47" i="11"/>
  <c r="AJ47" i="11"/>
  <c r="AI47" i="11"/>
  <c r="AF47" i="11"/>
  <c r="AE47" i="11"/>
  <c r="AB47" i="11"/>
  <c r="AA47" i="11"/>
  <c r="AP47" i="11" s="1"/>
  <c r="Z14" i="11" s="1"/>
  <c r="AN14" i="11" s="1"/>
  <c r="F47" i="11"/>
  <c r="J47" i="11" s="1"/>
  <c r="G47" i="11" s="1"/>
  <c r="AQ46" i="11"/>
  <c r="AP46" i="11"/>
  <c r="AO46" i="11"/>
  <c r="AN46" i="11"/>
  <c r="AB46" i="11"/>
  <c r="AA46" i="11"/>
  <c r="AM46" i="11" s="1"/>
  <c r="W14" i="11" s="1"/>
  <c r="AK14" i="11" s="1"/>
  <c r="G46" i="11"/>
  <c r="F46" i="11"/>
  <c r="M14" i="11" s="1"/>
  <c r="AQ45" i="11"/>
  <c r="AP45" i="11"/>
  <c r="AO45" i="11"/>
  <c r="AN45" i="11"/>
  <c r="AM45" i="11"/>
  <c r="AL45" i="11"/>
  <c r="AB45" i="11"/>
  <c r="AA45" i="11"/>
  <c r="AI45" i="11" s="1"/>
  <c r="G45" i="11"/>
  <c r="F45" i="11"/>
  <c r="AN44" i="11"/>
  <c r="AM44" i="11"/>
  <c r="W19" i="11" s="1"/>
  <c r="AK19" i="11" s="1"/>
  <c r="AJ44" i="11"/>
  <c r="AI44" i="11"/>
  <c r="S19" i="11" s="1"/>
  <c r="AG19" i="11" s="1"/>
  <c r="AF44" i="11"/>
  <c r="AE44" i="11"/>
  <c r="AB44" i="11"/>
  <c r="AA44" i="11"/>
  <c r="AP44" i="11" s="1"/>
  <c r="Z19" i="11" s="1"/>
  <c r="AN19" i="11" s="1"/>
  <c r="F44" i="11"/>
  <c r="M19" i="11" s="1"/>
  <c r="AQ43" i="11"/>
  <c r="AP43" i="11"/>
  <c r="AO43" i="11"/>
  <c r="AN43" i="11"/>
  <c r="AM43" i="11"/>
  <c r="AL43" i="11"/>
  <c r="AK43" i="11"/>
  <c r="AB43" i="11"/>
  <c r="AA43" i="11"/>
  <c r="AI43" i="11" s="1"/>
  <c r="F43" i="11"/>
  <c r="J43" i="11" s="1"/>
  <c r="G43" i="11" s="1"/>
  <c r="AQ42" i="11"/>
  <c r="AP42" i="11"/>
  <c r="AO42" i="11"/>
  <c r="Y7" i="11" s="1"/>
  <c r="AN42" i="11"/>
  <c r="AM42" i="11"/>
  <c r="AB42" i="11"/>
  <c r="AL42" i="11" s="1"/>
  <c r="V7" i="11" s="1"/>
  <c r="AJ7" i="11" s="1"/>
  <c r="BC6" i="11" s="1"/>
  <c r="AA42" i="11"/>
  <c r="AJ42" i="11" s="1"/>
  <c r="T7" i="11" s="1"/>
  <c r="AH7" i="11" s="1"/>
  <c r="BA6" i="11" s="1"/>
  <c r="H42" i="11"/>
  <c r="L42" i="11" s="1"/>
  <c r="G42" i="11"/>
  <c r="I42" i="11" s="1"/>
  <c r="F42" i="11"/>
  <c r="AQ41" i="11"/>
  <c r="AP41" i="11"/>
  <c r="AO41" i="11"/>
  <c r="Y17" i="11" s="1"/>
  <c r="AN41" i="11"/>
  <c r="AB41" i="11"/>
  <c r="AL41" i="11" s="1"/>
  <c r="AA41" i="11"/>
  <c r="AJ41" i="11" s="1"/>
  <c r="T17" i="11" s="1"/>
  <c r="AH17" i="11" s="1"/>
  <c r="F41" i="11"/>
  <c r="J41" i="11" s="1"/>
  <c r="G41" i="11" s="1"/>
  <c r="AQ40" i="11"/>
  <c r="AP40" i="11"/>
  <c r="Z17" i="11" s="1"/>
  <c r="AO40" i="11"/>
  <c r="AN40" i="11"/>
  <c r="AM40" i="11"/>
  <c r="AL40" i="11"/>
  <c r="V17" i="11" s="1"/>
  <c r="AJ17" i="11" s="1"/>
  <c r="AK40" i="11"/>
  <c r="AJ40" i="11"/>
  <c r="AI40" i="11"/>
  <c r="AE40" i="11"/>
  <c r="AB40" i="11"/>
  <c r="AF40" i="11" s="1"/>
  <c r="AA40" i="11"/>
  <c r="AG40" i="11" s="1"/>
  <c r="F40" i="11"/>
  <c r="M17" i="11" s="1"/>
  <c r="AB78" i="12" s="1"/>
  <c r="AQ39" i="11"/>
  <c r="AA16" i="11" s="1"/>
  <c r="AN39" i="11"/>
  <c r="AM39" i="11"/>
  <c r="W16" i="11" s="1"/>
  <c r="AK16" i="11" s="1"/>
  <c r="AJ39" i="11"/>
  <c r="AI39" i="11"/>
  <c r="S16" i="11" s="1"/>
  <c r="AG16" i="11" s="1"/>
  <c r="AF39" i="11"/>
  <c r="AE39" i="11"/>
  <c r="O16" i="11" s="1"/>
  <c r="AB39" i="11"/>
  <c r="AA39" i="11"/>
  <c r="AP39" i="11" s="1"/>
  <c r="Z16" i="11" s="1"/>
  <c r="AN16" i="11" s="1"/>
  <c r="F39" i="11"/>
  <c r="E38" i="11"/>
  <c r="AM28" i="11"/>
  <c r="AL28" i="11"/>
  <c r="AA28" i="11"/>
  <c r="AO28" i="11" s="1"/>
  <c r="Z28" i="11"/>
  <c r="AN28" i="11" s="1"/>
  <c r="Y28" i="11"/>
  <c r="X28" i="11"/>
  <c r="W28" i="11"/>
  <c r="AK28" i="11" s="1"/>
  <c r="M28" i="11"/>
  <c r="AB89" i="12" s="1"/>
  <c r="AN27" i="11"/>
  <c r="AA27" i="11"/>
  <c r="AO27" i="11" s="1"/>
  <c r="Z27" i="11"/>
  <c r="W27" i="11"/>
  <c r="AK27" i="11" s="1"/>
  <c r="M27" i="11"/>
  <c r="AB88" i="12" s="1"/>
  <c r="AO26" i="11"/>
  <c r="AN26" i="11"/>
  <c r="AA26" i="11"/>
  <c r="Z26" i="11"/>
  <c r="M26" i="11"/>
  <c r="AB87" i="12" s="1"/>
  <c r="AO25" i="11"/>
  <c r="AL25" i="11"/>
  <c r="AK25" i="11"/>
  <c r="AA25" i="11"/>
  <c r="Z25" i="11"/>
  <c r="AN25" i="11" s="1"/>
  <c r="X25" i="11"/>
  <c r="W25" i="11"/>
  <c r="M25" i="11"/>
  <c r="AB86" i="12" s="1"/>
  <c r="M24" i="11"/>
  <c r="AB85" i="12" s="1"/>
  <c r="AA23" i="11"/>
  <c r="Z23" i="11"/>
  <c r="Y23" i="11"/>
  <c r="X23" i="11"/>
  <c r="AL23" i="11" s="1"/>
  <c r="P23" i="11"/>
  <c r="AD23" i="11" s="1"/>
  <c r="M23" i="11"/>
  <c r="AB84" i="12" s="1"/>
  <c r="AA22" i="11"/>
  <c r="Z22" i="11"/>
  <c r="Y22" i="11"/>
  <c r="X22" i="11"/>
  <c r="W22" i="11"/>
  <c r="U22" i="11"/>
  <c r="AI22" i="11" s="1"/>
  <c r="T22" i="11"/>
  <c r="AH22" i="11" s="1"/>
  <c r="P22" i="11"/>
  <c r="AD22" i="11" s="1"/>
  <c r="AO21" i="11"/>
  <c r="AA21" i="11"/>
  <c r="Z21" i="11"/>
  <c r="AN21" i="11" s="1"/>
  <c r="V21" i="11"/>
  <c r="AJ21" i="11" s="1"/>
  <c r="R21" i="11"/>
  <c r="AF21" i="11" s="1"/>
  <c r="M21" i="11"/>
  <c r="AB82" i="12" s="1"/>
  <c r="AA20" i="11"/>
  <c r="Z20" i="11"/>
  <c r="Y20" i="11"/>
  <c r="AM20" i="11" s="1"/>
  <c r="X20" i="11"/>
  <c r="AL20" i="11" s="1"/>
  <c r="T20" i="11"/>
  <c r="AH20" i="11" s="1"/>
  <c r="P20" i="11"/>
  <c r="AD20" i="11" s="1"/>
  <c r="M20" i="11"/>
  <c r="AB81" i="12" s="1"/>
  <c r="AA19" i="11"/>
  <c r="X19" i="11"/>
  <c r="AL19" i="11" s="1"/>
  <c r="AL18" i="11"/>
  <c r="AI18" i="11"/>
  <c r="AD18" i="11"/>
  <c r="AA18" i="11"/>
  <c r="Z18" i="11"/>
  <c r="Y18" i="11"/>
  <c r="X18" i="11"/>
  <c r="W18" i="11"/>
  <c r="AK18" i="11" s="1"/>
  <c r="BD9" i="11" s="1"/>
  <c r="V18" i="11"/>
  <c r="AJ18" i="11" s="1"/>
  <c r="BC9" i="11" s="1"/>
  <c r="U18" i="11"/>
  <c r="S18" i="11"/>
  <c r="AG18" i="11" s="1"/>
  <c r="AZ9" i="11" s="1"/>
  <c r="P18" i="11"/>
  <c r="O18" i="11"/>
  <c r="AC18" i="11" s="1"/>
  <c r="M18" i="11"/>
  <c r="AB79" i="12" s="1"/>
  <c r="AA17" i="11"/>
  <c r="X17" i="11"/>
  <c r="X16" i="11"/>
  <c r="AL16" i="11" s="1"/>
  <c r="T16" i="11"/>
  <c r="AH16" i="11" s="1"/>
  <c r="P16" i="11"/>
  <c r="AD16" i="11" s="1"/>
  <c r="AA15" i="11"/>
  <c r="Y15" i="11"/>
  <c r="W15" i="11"/>
  <c r="AK15" i="11" s="1"/>
  <c r="S15" i="11"/>
  <c r="AG15" i="11" s="1"/>
  <c r="O15" i="11"/>
  <c r="AC15" i="11" s="1"/>
  <c r="X14" i="11"/>
  <c r="AL14" i="11" s="1"/>
  <c r="BE8" i="11" s="1"/>
  <c r="Y13" i="11"/>
  <c r="X13" i="11"/>
  <c r="M13" i="11"/>
  <c r="AB74" i="12" s="1"/>
  <c r="AO12" i="11"/>
  <c r="AH12" i="11"/>
  <c r="AG12" i="11"/>
  <c r="AA12" i="11"/>
  <c r="Z12" i="11"/>
  <c r="AN12" i="11" s="1"/>
  <c r="Y12" i="11"/>
  <c r="AM12" i="11" s="1"/>
  <c r="T12" i="11"/>
  <c r="S12" i="11"/>
  <c r="M12" i="11"/>
  <c r="AB73" i="12" s="1"/>
  <c r="AK11" i="11"/>
  <c r="AA11" i="11"/>
  <c r="Z11" i="11"/>
  <c r="Y11" i="11"/>
  <c r="X11" i="11"/>
  <c r="W11" i="11"/>
  <c r="U11" i="11"/>
  <c r="AI11" i="11" s="1"/>
  <c r="R11" i="11"/>
  <c r="AF11" i="11" s="1"/>
  <c r="M11" i="11"/>
  <c r="AB72" i="12" s="1"/>
  <c r="Z10" i="11"/>
  <c r="Y10" i="11"/>
  <c r="X10" i="11"/>
  <c r="V10" i="11"/>
  <c r="U10" i="11"/>
  <c r="T10" i="11"/>
  <c r="R10" i="11"/>
  <c r="Q10" i="11"/>
  <c r="M10" i="11"/>
  <c r="AB71" i="12" s="1"/>
  <c r="BB9" i="11"/>
  <c r="AW9" i="11"/>
  <c r="Z9" i="11"/>
  <c r="AN9" i="11" s="1"/>
  <c r="BG7" i="11" s="1"/>
  <c r="M9" i="11"/>
  <c r="AB70" i="12" s="1"/>
  <c r="AE8" i="11"/>
  <c r="AA8" i="11"/>
  <c r="Z8" i="11"/>
  <c r="X8" i="11"/>
  <c r="W8" i="11"/>
  <c r="V8" i="11"/>
  <c r="T8" i="11"/>
  <c r="S8" i="11"/>
  <c r="R8" i="11"/>
  <c r="Q8" i="11"/>
  <c r="P8" i="11"/>
  <c r="AD8" i="11" s="1"/>
  <c r="O8" i="11"/>
  <c r="AC8" i="11" s="1"/>
  <c r="M8" i="11"/>
  <c r="AB69" i="12" s="1"/>
  <c r="AA7" i="11"/>
  <c r="Z7" i="11"/>
  <c r="X7" i="11"/>
  <c r="W7" i="11"/>
  <c r="M7" i="11"/>
  <c r="AB68" i="12" s="1"/>
  <c r="AA6" i="11"/>
  <c r="Y6" i="11"/>
  <c r="X6" i="11"/>
  <c r="W6" i="11"/>
  <c r="U6" i="11"/>
  <c r="T6" i="11"/>
  <c r="S6" i="11"/>
  <c r="O6" i="11"/>
  <c r="AC6" i="11" s="1"/>
  <c r="M6" i="11"/>
  <c r="AB67" i="12" s="1"/>
  <c r="T2" i="11"/>
  <c r="L93" i="10"/>
  <c r="N93" i="10" s="1"/>
  <c r="O93" i="10" s="1"/>
  <c r="L92" i="10"/>
  <c r="N92" i="10" s="1"/>
  <c r="O92" i="10" s="1"/>
  <c r="L91" i="10"/>
  <c r="N91" i="10" s="1"/>
  <c r="O91" i="10" s="1"/>
  <c r="L90" i="10"/>
  <c r="N90" i="10" s="1"/>
  <c r="O90" i="10" s="1"/>
  <c r="L89" i="10"/>
  <c r="N89" i="10" s="1"/>
  <c r="O89" i="10" s="1"/>
  <c r="L88" i="10"/>
  <c r="N88" i="10" s="1"/>
  <c r="O88" i="10" s="1"/>
  <c r="L87" i="10"/>
  <c r="N87" i="10" s="1"/>
  <c r="O87" i="10" s="1"/>
  <c r="L86" i="10"/>
  <c r="N86" i="10" s="1"/>
  <c r="O86" i="10" s="1"/>
  <c r="L85" i="10"/>
  <c r="N85" i="10" s="1"/>
  <c r="O85" i="10" s="1"/>
  <c r="L84" i="10"/>
  <c r="N84" i="10" s="1"/>
  <c r="O84" i="10" s="1"/>
  <c r="L83" i="10"/>
  <c r="N83" i="10" s="1"/>
  <c r="O83" i="10" s="1"/>
  <c r="L82" i="10"/>
  <c r="N82" i="10" s="1"/>
  <c r="O82" i="10" s="1"/>
  <c r="N81" i="10"/>
  <c r="O81" i="10" s="1"/>
  <c r="L81" i="10"/>
  <c r="J65" i="10"/>
  <c r="J64" i="10"/>
  <c r="K64" i="10" s="1"/>
  <c r="J63" i="10"/>
  <c r="J62" i="10"/>
  <c r="K62" i="10" s="1"/>
  <c r="J61" i="10"/>
  <c r="J66" i="10" s="1"/>
  <c r="K65" i="10" s="1"/>
  <c r="M35" i="10"/>
  <c r="L35" i="10"/>
  <c r="K35" i="10"/>
  <c r="W35" i="10" s="1"/>
  <c r="J35" i="10"/>
  <c r="W34" i="10"/>
  <c r="M34" i="10"/>
  <c r="L34" i="10"/>
  <c r="K34" i="10"/>
  <c r="J34" i="10"/>
  <c r="M33" i="10"/>
  <c r="L33" i="10"/>
  <c r="K33" i="10"/>
  <c r="W33" i="10" s="1"/>
  <c r="J33" i="10"/>
  <c r="W32" i="10"/>
  <c r="M32" i="10"/>
  <c r="L32" i="10"/>
  <c r="K32" i="10"/>
  <c r="J32" i="10"/>
  <c r="M31" i="10"/>
  <c r="G65" i="10" s="1"/>
  <c r="L31" i="10"/>
  <c r="K31" i="10"/>
  <c r="W31" i="10" s="1"/>
  <c r="J31" i="10"/>
  <c r="W30" i="10"/>
  <c r="M30" i="10"/>
  <c r="L30" i="10"/>
  <c r="K30" i="10"/>
  <c r="J30" i="10"/>
  <c r="M29" i="10"/>
  <c r="L29" i="10"/>
  <c r="K29" i="10"/>
  <c r="W29" i="10" s="1"/>
  <c r="H29" i="10"/>
  <c r="J29" i="10" s="1"/>
  <c r="M28" i="10"/>
  <c r="L28" i="10"/>
  <c r="K28" i="10"/>
  <c r="W28" i="10" s="1"/>
  <c r="J28" i="10"/>
  <c r="W27" i="10"/>
  <c r="M27" i="10"/>
  <c r="L27" i="10"/>
  <c r="K27" i="10"/>
  <c r="J27" i="10"/>
  <c r="M26" i="10"/>
  <c r="G64" i="10" s="1"/>
  <c r="L26" i="10"/>
  <c r="K26" i="10"/>
  <c r="W26" i="10" s="1"/>
  <c r="J26" i="10"/>
  <c r="W25" i="10"/>
  <c r="M25" i="10"/>
  <c r="G63" i="10" s="1"/>
  <c r="L25" i="10"/>
  <c r="K25" i="10"/>
  <c r="J25" i="10"/>
  <c r="M24" i="10"/>
  <c r="L24" i="10"/>
  <c r="K24" i="10"/>
  <c r="W24" i="10" s="1"/>
  <c r="J24" i="10"/>
  <c r="W23" i="10"/>
  <c r="M23" i="10"/>
  <c r="L23" i="10"/>
  <c r="K23" i="10"/>
  <c r="J23" i="10"/>
  <c r="M22" i="10"/>
  <c r="L22" i="10"/>
  <c r="K22" i="10"/>
  <c r="W22" i="10" s="1"/>
  <c r="H22" i="10"/>
  <c r="J22" i="10" s="1"/>
  <c r="M21" i="10"/>
  <c r="L21" i="10"/>
  <c r="K21" i="10"/>
  <c r="W21" i="10" s="1"/>
  <c r="J21" i="10"/>
  <c r="W20" i="10"/>
  <c r="M20" i="10"/>
  <c r="L20" i="10"/>
  <c r="K20" i="10"/>
  <c r="J20" i="10"/>
  <c r="H20" i="10"/>
  <c r="W19" i="10"/>
  <c r="M19" i="10"/>
  <c r="L19" i="10"/>
  <c r="K19" i="10"/>
  <c r="J19" i="10"/>
  <c r="H19" i="10"/>
  <c r="W18" i="10"/>
  <c r="M18" i="10"/>
  <c r="L18" i="10"/>
  <c r="K18" i="10"/>
  <c r="J18" i="10"/>
  <c r="M17" i="10"/>
  <c r="L17" i="10"/>
  <c r="K17" i="10"/>
  <c r="W17" i="10" s="1"/>
  <c r="J17" i="10"/>
  <c r="W16" i="10"/>
  <c r="M16" i="10"/>
  <c r="L16" i="10"/>
  <c r="K16" i="10"/>
  <c r="J16" i="10"/>
  <c r="M15" i="10"/>
  <c r="G62" i="10" s="1"/>
  <c r="L15" i="10"/>
  <c r="K15" i="10"/>
  <c r="W15" i="10" s="1"/>
  <c r="J15" i="10"/>
  <c r="W14" i="10"/>
  <c r="M14" i="10"/>
  <c r="L14" i="10"/>
  <c r="K14" i="10"/>
  <c r="J14" i="10"/>
  <c r="M13" i="10"/>
  <c r="G61" i="10" s="1"/>
  <c r="L13" i="10"/>
  <c r="K13" i="10"/>
  <c r="W13" i="10" s="1"/>
  <c r="J13" i="10"/>
  <c r="O197" i="9"/>
  <c r="O196" i="9"/>
  <c r="O170" i="9"/>
  <c r="N170" i="9"/>
  <c r="P166" i="9"/>
  <c r="O166" i="9"/>
  <c r="N166" i="9"/>
  <c r="O159" i="9"/>
  <c r="P158" i="9"/>
  <c r="O158" i="9"/>
  <c r="O152" i="9"/>
  <c r="O151" i="9"/>
  <c r="R146" i="9"/>
  <c r="N145" i="9"/>
  <c r="N151" i="9" s="1"/>
  <c r="X142" i="9"/>
  <c r="Y142" i="9" s="1"/>
  <c r="P159" i="9" s="1"/>
  <c r="Y141" i="9"/>
  <c r="Q135" i="9"/>
  <c r="X136" i="9" s="1"/>
  <c r="X137" i="9" s="1"/>
  <c r="I133" i="9"/>
  <c r="O132" i="9"/>
  <c r="P153" i="9" s="1"/>
  <c r="I132" i="9"/>
  <c r="E132" i="9"/>
  <c r="Q131" i="9"/>
  <c r="X130" i="9" s="1"/>
  <c r="O131" i="9"/>
  <c r="P152" i="9" s="1"/>
  <c r="H131" i="9"/>
  <c r="P123" i="9"/>
  <c r="N118" i="9"/>
  <c r="N123" i="9" s="1"/>
  <c r="N117" i="9"/>
  <c r="O111" i="9"/>
  <c r="P111" i="9" s="1"/>
  <c r="X108" i="9"/>
  <c r="X110" i="9" s="1"/>
  <c r="X111" i="9" s="1"/>
  <c r="X112" i="9" s="1"/>
  <c r="X113" i="9" s="1"/>
  <c r="O108" i="9"/>
  <c r="P108" i="9" s="1"/>
  <c r="R118" i="9" s="1"/>
  <c r="R100" i="9"/>
  <c r="O98" i="9"/>
  <c r="O84" i="9"/>
  <c r="O86" i="9" s="1"/>
  <c r="P75" i="9"/>
  <c r="P73" i="9"/>
  <c r="N72" i="9"/>
  <c r="N97" i="9" s="1"/>
  <c r="O64" i="9"/>
  <c r="O65" i="9" s="1"/>
  <c r="P89" i="9" s="1"/>
  <c r="Q63" i="9"/>
  <c r="O63" i="9"/>
  <c r="P61" i="9"/>
  <c r="P77" i="9" s="1"/>
  <c r="P60" i="9"/>
  <c r="P59" i="9"/>
  <c r="P76" i="9" s="1"/>
  <c r="P58" i="9"/>
  <c r="P57" i="9"/>
  <c r="P74" i="9" s="1"/>
  <c r="P56" i="9"/>
  <c r="P55" i="9"/>
  <c r="P72" i="9" s="1"/>
  <c r="D47" i="9"/>
  <c r="O153" i="9" s="1"/>
  <c r="B47" i="9"/>
  <c r="D46" i="9"/>
  <c r="O123" i="9" s="1"/>
  <c r="B46" i="9"/>
  <c r="O44" i="9"/>
  <c r="O43" i="9"/>
  <c r="O42" i="9"/>
  <c r="N41" i="9"/>
  <c r="Y40" i="9"/>
  <c r="Z38" i="9" s="1"/>
  <c r="P34" i="9"/>
  <c r="P33" i="9"/>
  <c r="U23" i="9"/>
  <c r="P22" i="9"/>
  <c r="O41" i="9" s="1"/>
  <c r="N22" i="9"/>
  <c r="E17" i="9"/>
  <c r="D17" i="9"/>
  <c r="E16" i="9"/>
  <c r="D16" i="9"/>
  <c r="D15" i="9"/>
  <c r="C15" i="9"/>
  <c r="D14" i="9"/>
  <c r="C14" i="9"/>
  <c r="D13" i="9"/>
  <c r="C13" i="9"/>
  <c r="D12" i="9"/>
  <c r="C12" i="9"/>
  <c r="D11" i="9"/>
  <c r="C11" i="9"/>
  <c r="D10" i="9"/>
  <c r="C10" i="9"/>
  <c r="O22" i="9" s="1"/>
  <c r="D9" i="9"/>
  <c r="C9" i="9"/>
  <c r="O24" i="9" s="1"/>
  <c r="D8" i="9"/>
  <c r="C8" i="9"/>
  <c r="O23" i="9" s="1"/>
  <c r="D7" i="9"/>
  <c r="C7" i="9"/>
  <c r="F6" i="9"/>
  <c r="E6" i="9"/>
  <c r="D6" i="9"/>
  <c r="F5" i="9"/>
  <c r="F4" i="9"/>
  <c r="E4" i="9"/>
  <c r="O196" i="8"/>
  <c r="O197" i="8" s="1"/>
  <c r="O170" i="8"/>
  <c r="O166" i="8"/>
  <c r="N166" i="8"/>
  <c r="N170" i="8" s="1"/>
  <c r="O159" i="8"/>
  <c r="P158" i="8"/>
  <c r="Q145" i="8" s="1"/>
  <c r="O158" i="8"/>
  <c r="P166" i="8" s="1"/>
  <c r="O151" i="8"/>
  <c r="R146" i="8"/>
  <c r="N146" i="8"/>
  <c r="N145" i="8"/>
  <c r="N158" i="8" s="1"/>
  <c r="X142" i="8"/>
  <c r="Y142" i="8" s="1"/>
  <c r="P159" i="8" s="1"/>
  <c r="Y141" i="8"/>
  <c r="Q132" i="8"/>
  <c r="O132" i="8"/>
  <c r="G132" i="8"/>
  <c r="E132" i="8"/>
  <c r="X131" i="8"/>
  <c r="G131" i="8"/>
  <c r="P123" i="8"/>
  <c r="O123" i="8"/>
  <c r="O152" i="8" s="1"/>
  <c r="N123" i="8"/>
  <c r="N118" i="8"/>
  <c r="O111" i="8"/>
  <c r="P111" i="8" s="1"/>
  <c r="X108" i="8"/>
  <c r="X110" i="8" s="1"/>
  <c r="X111" i="8" s="1"/>
  <c r="X112" i="8" s="1"/>
  <c r="X113" i="8" s="1"/>
  <c r="O108" i="8"/>
  <c r="P108" i="8" s="1"/>
  <c r="R118" i="8" s="1"/>
  <c r="R100" i="8"/>
  <c r="O98" i="8"/>
  <c r="P90" i="8"/>
  <c r="O86" i="8"/>
  <c r="R72" i="8"/>
  <c r="R79" i="8" s="1"/>
  <c r="N72" i="8"/>
  <c r="N97" i="8" s="1"/>
  <c r="O63" i="8"/>
  <c r="P61" i="8" s="1"/>
  <c r="P77" i="8" s="1"/>
  <c r="N63" i="8"/>
  <c r="O90" i="8" s="1"/>
  <c r="P60" i="8"/>
  <c r="Q59" i="8"/>
  <c r="P58" i="8"/>
  <c r="P75" i="8" s="1"/>
  <c r="Q57" i="8"/>
  <c r="P56" i="8"/>
  <c r="P73" i="8" s="1"/>
  <c r="Q55" i="8"/>
  <c r="D47" i="8"/>
  <c r="B47" i="8"/>
  <c r="D46" i="8"/>
  <c r="B46" i="8"/>
  <c r="O44" i="8"/>
  <c r="O43" i="8"/>
  <c r="O42" i="8"/>
  <c r="O41" i="8"/>
  <c r="N41" i="8"/>
  <c r="S34" i="8"/>
  <c r="P34" i="8"/>
  <c r="O34" i="8"/>
  <c r="S33" i="8"/>
  <c r="P33" i="8"/>
  <c r="O33" i="8"/>
  <c r="U23" i="8"/>
  <c r="O23" i="8"/>
  <c r="N22" i="8"/>
  <c r="T23" i="8" s="1"/>
  <c r="E17" i="8"/>
  <c r="D17" i="8"/>
  <c r="E16" i="8"/>
  <c r="D16" i="8"/>
  <c r="D15" i="8"/>
  <c r="C15" i="8"/>
  <c r="D14" i="8"/>
  <c r="C14" i="8"/>
  <c r="D13" i="8"/>
  <c r="C13" i="8"/>
  <c r="D12" i="8"/>
  <c r="C12" i="8"/>
  <c r="D11" i="8"/>
  <c r="C11" i="8"/>
  <c r="D10" i="8"/>
  <c r="C10" i="8"/>
  <c r="D9" i="8"/>
  <c r="C9" i="8"/>
  <c r="O24" i="8" s="1"/>
  <c r="D8" i="8"/>
  <c r="C8" i="8"/>
  <c r="O22" i="8" s="1"/>
  <c r="D7" i="8"/>
  <c r="C7" i="8"/>
  <c r="F6" i="8"/>
  <c r="E6" i="8"/>
  <c r="D6" i="8"/>
  <c r="F5" i="8"/>
  <c r="F4" i="8"/>
  <c r="E4" i="8"/>
  <c r="E86" i="7"/>
  <c r="D86" i="7"/>
  <c r="D80" i="7"/>
  <c r="J75" i="7"/>
  <c r="E74" i="7"/>
  <c r="D74" i="7"/>
  <c r="L71" i="7"/>
  <c r="E68" i="7"/>
  <c r="D68" i="7"/>
  <c r="M67" i="7"/>
  <c r="G67" i="7"/>
  <c r="M66" i="7"/>
  <c r="G66" i="7"/>
  <c r="M65" i="7"/>
  <c r="G65" i="7"/>
  <c r="M64" i="7"/>
  <c r="G64" i="7"/>
  <c r="E52" i="7"/>
  <c r="E51" i="7"/>
  <c r="H52" i="7" s="1"/>
  <c r="D51" i="7"/>
  <c r="E36" i="7"/>
  <c r="D36" i="7"/>
  <c r="E33" i="7"/>
  <c r="D33" i="7"/>
  <c r="E16" i="7"/>
  <c r="E15" i="7"/>
  <c r="O11" i="8" s="1"/>
  <c r="E9" i="7"/>
  <c r="D9" i="7"/>
  <c r="D15" i="7" s="1"/>
  <c r="O11" i="9" s="1"/>
  <c r="F8" i="7"/>
  <c r="F7" i="7"/>
  <c r="B36" i="6"/>
  <c r="E34" i="6"/>
  <c r="D34" i="6"/>
  <c r="C34" i="6"/>
  <c r="B26" i="6"/>
  <c r="G18" i="6"/>
  <c r="G19" i="6" s="1"/>
  <c r="G17" i="6"/>
  <c r="K108" i="5"/>
  <c r="I62" i="5"/>
  <c r="I61" i="5"/>
  <c r="I60" i="5"/>
  <c r="I59" i="5"/>
  <c r="I58" i="5"/>
  <c r="P27" i="5"/>
  <c r="P26" i="5"/>
  <c r="P25" i="5"/>
  <c r="P24" i="5"/>
  <c r="I19" i="5"/>
  <c r="H18" i="5"/>
  <c r="H16" i="5"/>
  <c r="P11" i="5"/>
  <c r="H11" i="5"/>
  <c r="AO105" i="4"/>
  <c r="Q123" i="4" s="1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AA106" i="4" s="1"/>
  <c r="Z105" i="4"/>
  <c r="Y105" i="4"/>
  <c r="X105" i="4"/>
  <c r="W105" i="4"/>
  <c r="V105" i="4"/>
  <c r="U105" i="4"/>
  <c r="M123" i="4" s="1"/>
  <c r="T105" i="4"/>
  <c r="S105" i="4"/>
  <c r="R105" i="4"/>
  <c r="Q105" i="4"/>
  <c r="P105" i="4"/>
  <c r="O105" i="4"/>
  <c r="N105" i="4"/>
  <c r="M105" i="4"/>
  <c r="L105" i="4"/>
  <c r="K105" i="4"/>
  <c r="K107" i="4" s="1"/>
  <c r="K125" i="4" s="1"/>
  <c r="M50" i="4" s="1"/>
  <c r="M63" i="4" s="1"/>
  <c r="J105" i="4"/>
  <c r="J83" i="4"/>
  <c r="J82" i="4"/>
  <c r="L75" i="4"/>
  <c r="M75" i="4" s="1"/>
  <c r="AI106" i="4" s="1"/>
  <c r="K75" i="4"/>
  <c r="K76" i="4" s="1"/>
  <c r="L76" i="4" s="1"/>
  <c r="M76" i="4" s="1"/>
  <c r="L74" i="4"/>
  <c r="S65" i="4"/>
  <c r="R65" i="4"/>
  <c r="Q65" i="4"/>
  <c r="P65" i="4"/>
  <c r="O65" i="4"/>
  <c r="N65" i="4"/>
  <c r="M65" i="4"/>
  <c r="L65" i="4"/>
  <c r="I64" i="4"/>
  <c r="J52" i="4"/>
  <c r="K65" i="4" s="1"/>
  <c r="I51" i="4"/>
  <c r="E42" i="4"/>
  <c r="E43" i="4" s="1"/>
  <c r="E44" i="4" s="1"/>
  <c r="L51" i="4" s="1"/>
  <c r="D36" i="4"/>
  <c r="K29" i="4"/>
  <c r="K24" i="4"/>
  <c r="K21" i="4" a="1"/>
  <c r="K30" i="4" s="1"/>
  <c r="S18" i="4"/>
  <c r="T18" i="4" s="1"/>
  <c r="T17" i="4"/>
  <c r="S17" i="4"/>
  <c r="R17" i="4"/>
  <c r="S16" i="4"/>
  <c r="T16" i="4" s="1"/>
  <c r="T15" i="4"/>
  <c r="S15" i="4"/>
  <c r="S14" i="4"/>
  <c r="T14" i="4" s="1"/>
  <c r="T13" i="4"/>
  <c r="S13" i="4"/>
  <c r="S12" i="4"/>
  <c r="T12" i="4" s="1"/>
  <c r="T11" i="4"/>
  <c r="S11" i="4"/>
  <c r="S10" i="4"/>
  <c r="T10" i="4" s="1"/>
  <c r="T9" i="4"/>
  <c r="S9" i="4"/>
  <c r="S8" i="4"/>
  <c r="T8" i="4" s="1"/>
  <c r="K16" i="4"/>
  <c r="K11" i="4"/>
  <c r="K8" i="4" a="1"/>
  <c r="K18" i="4" s="1"/>
  <c r="R2" i="4"/>
  <c r="R3" i="4" s="1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P216" i="3"/>
  <c r="N216" i="3"/>
  <c r="K216" i="3"/>
  <c r="J216" i="3"/>
  <c r="G216" i="3"/>
  <c r="P215" i="3"/>
  <c r="N215" i="3"/>
  <c r="G215" i="3"/>
  <c r="K215" i="3" s="1"/>
  <c r="P214" i="3"/>
  <c r="N214" i="3"/>
  <c r="J214" i="3"/>
  <c r="G214" i="3"/>
  <c r="K214" i="3" s="1"/>
  <c r="P213" i="3"/>
  <c r="N213" i="3"/>
  <c r="K213" i="3"/>
  <c r="G213" i="3"/>
  <c r="J213" i="3" s="1"/>
  <c r="P212" i="3"/>
  <c r="N212" i="3"/>
  <c r="S115" i="3" s="1"/>
  <c r="K212" i="3"/>
  <c r="J212" i="3"/>
  <c r="G212" i="3"/>
  <c r="P211" i="3"/>
  <c r="N211" i="3"/>
  <c r="G211" i="3"/>
  <c r="K211" i="3" s="1"/>
  <c r="P210" i="3"/>
  <c r="N210" i="3"/>
  <c r="J210" i="3"/>
  <c r="G210" i="3"/>
  <c r="K210" i="3" s="1"/>
  <c r="P209" i="3"/>
  <c r="N209" i="3"/>
  <c r="K209" i="3"/>
  <c r="G209" i="3"/>
  <c r="J209" i="3" s="1"/>
  <c r="P208" i="3"/>
  <c r="N208" i="3"/>
  <c r="K208" i="3"/>
  <c r="J208" i="3"/>
  <c r="G208" i="3"/>
  <c r="P207" i="3"/>
  <c r="N207" i="3"/>
  <c r="G207" i="3"/>
  <c r="K207" i="3" s="1"/>
  <c r="P206" i="3"/>
  <c r="N206" i="3"/>
  <c r="J206" i="3"/>
  <c r="G206" i="3"/>
  <c r="K206" i="3" s="1"/>
  <c r="P205" i="3"/>
  <c r="N205" i="3"/>
  <c r="K205" i="3"/>
  <c r="G205" i="3"/>
  <c r="J205" i="3" s="1"/>
  <c r="P204" i="3"/>
  <c r="N204" i="3"/>
  <c r="K204" i="3"/>
  <c r="J204" i="3"/>
  <c r="G204" i="3"/>
  <c r="P203" i="3"/>
  <c r="N203" i="3"/>
  <c r="G203" i="3"/>
  <c r="K203" i="3" s="1"/>
  <c r="P202" i="3"/>
  <c r="N202" i="3"/>
  <c r="J202" i="3"/>
  <c r="G202" i="3"/>
  <c r="K202" i="3" s="1"/>
  <c r="P201" i="3"/>
  <c r="N201" i="3"/>
  <c r="K201" i="3"/>
  <c r="G201" i="3"/>
  <c r="J201" i="3" s="1"/>
  <c r="P200" i="3"/>
  <c r="N200" i="3"/>
  <c r="K200" i="3"/>
  <c r="J200" i="3"/>
  <c r="G200" i="3"/>
  <c r="P199" i="3"/>
  <c r="N199" i="3"/>
  <c r="G199" i="3"/>
  <c r="K199" i="3" s="1"/>
  <c r="P198" i="3"/>
  <c r="N198" i="3"/>
  <c r="J198" i="3"/>
  <c r="G198" i="3"/>
  <c r="K198" i="3" s="1"/>
  <c r="P197" i="3"/>
  <c r="N197" i="3"/>
  <c r="K197" i="3"/>
  <c r="G197" i="3"/>
  <c r="J197" i="3" s="1"/>
  <c r="P196" i="3"/>
  <c r="N196" i="3"/>
  <c r="K196" i="3"/>
  <c r="J196" i="3"/>
  <c r="G196" i="3"/>
  <c r="P195" i="3"/>
  <c r="N195" i="3"/>
  <c r="G195" i="3"/>
  <c r="K195" i="3" s="1"/>
  <c r="P194" i="3"/>
  <c r="N194" i="3"/>
  <c r="J194" i="3"/>
  <c r="G194" i="3"/>
  <c r="K194" i="3" s="1"/>
  <c r="P193" i="3"/>
  <c r="N193" i="3"/>
  <c r="K193" i="3"/>
  <c r="G193" i="3"/>
  <c r="J193" i="3" s="1"/>
  <c r="P192" i="3"/>
  <c r="N192" i="3"/>
  <c r="S129" i="3" s="1"/>
  <c r="K192" i="3"/>
  <c r="J192" i="3"/>
  <c r="G192" i="3"/>
  <c r="P191" i="3"/>
  <c r="N191" i="3"/>
  <c r="P190" i="3"/>
  <c r="N190" i="3"/>
  <c r="G190" i="3"/>
  <c r="E190" i="3"/>
  <c r="H190" i="3" s="1"/>
  <c r="I190" i="3" s="1"/>
  <c r="P189" i="3"/>
  <c r="N189" i="3"/>
  <c r="K189" i="3"/>
  <c r="I189" i="3"/>
  <c r="J189" i="3" s="1"/>
  <c r="H189" i="3"/>
  <c r="G189" i="3"/>
  <c r="P188" i="3"/>
  <c r="N188" i="3"/>
  <c r="H188" i="3"/>
  <c r="I188" i="3" s="1"/>
  <c r="G188" i="3"/>
  <c r="P187" i="3"/>
  <c r="N187" i="3"/>
  <c r="I187" i="3"/>
  <c r="K187" i="3" s="1"/>
  <c r="H187" i="3"/>
  <c r="G187" i="3"/>
  <c r="P186" i="3"/>
  <c r="N186" i="3"/>
  <c r="H186" i="3"/>
  <c r="I186" i="3" s="1"/>
  <c r="G186" i="3"/>
  <c r="P185" i="3"/>
  <c r="N185" i="3"/>
  <c r="K185" i="3"/>
  <c r="I185" i="3"/>
  <c r="J185" i="3" s="1"/>
  <c r="H185" i="3"/>
  <c r="G185" i="3"/>
  <c r="P184" i="3"/>
  <c r="N184" i="3"/>
  <c r="H184" i="3"/>
  <c r="I184" i="3" s="1"/>
  <c r="G184" i="3"/>
  <c r="P183" i="3"/>
  <c r="N183" i="3"/>
  <c r="I183" i="3"/>
  <c r="G131" i="3" s="1"/>
  <c r="H183" i="3"/>
  <c r="G183" i="3"/>
  <c r="P182" i="3"/>
  <c r="N182" i="3"/>
  <c r="H182" i="3"/>
  <c r="I182" i="3" s="1"/>
  <c r="G182" i="3"/>
  <c r="P181" i="3"/>
  <c r="N181" i="3"/>
  <c r="K181" i="3"/>
  <c r="I181" i="3"/>
  <c r="J181" i="3" s="1"/>
  <c r="H181" i="3"/>
  <c r="G181" i="3"/>
  <c r="P180" i="3"/>
  <c r="N180" i="3"/>
  <c r="H180" i="3"/>
  <c r="I180" i="3" s="1"/>
  <c r="G180" i="3"/>
  <c r="P179" i="3"/>
  <c r="N179" i="3"/>
  <c r="I179" i="3"/>
  <c r="K179" i="3" s="1"/>
  <c r="H179" i="3"/>
  <c r="G179" i="3"/>
  <c r="P178" i="3"/>
  <c r="N178" i="3"/>
  <c r="H178" i="3"/>
  <c r="I178" i="3" s="1"/>
  <c r="G178" i="3"/>
  <c r="P177" i="3"/>
  <c r="N177" i="3"/>
  <c r="K177" i="3"/>
  <c r="I177" i="3"/>
  <c r="J177" i="3" s="1"/>
  <c r="H177" i="3"/>
  <c r="G177" i="3"/>
  <c r="P176" i="3"/>
  <c r="N176" i="3"/>
  <c r="H176" i="3"/>
  <c r="I176" i="3" s="1"/>
  <c r="G176" i="3"/>
  <c r="P175" i="3"/>
  <c r="N175" i="3"/>
  <c r="I175" i="3"/>
  <c r="K175" i="3" s="1"/>
  <c r="H175" i="3"/>
  <c r="G175" i="3"/>
  <c r="P173" i="3"/>
  <c r="N173" i="3"/>
  <c r="G173" i="3"/>
  <c r="K173" i="3" s="1"/>
  <c r="E173" i="3"/>
  <c r="P172" i="3"/>
  <c r="N172" i="3"/>
  <c r="I172" i="3"/>
  <c r="E172" i="3"/>
  <c r="P171" i="3"/>
  <c r="N171" i="3"/>
  <c r="E171" i="3"/>
  <c r="P170" i="3"/>
  <c r="N170" i="3"/>
  <c r="I170" i="3"/>
  <c r="E170" i="3"/>
  <c r="P169" i="3"/>
  <c r="N169" i="3"/>
  <c r="G169" i="3"/>
  <c r="K169" i="3" s="1"/>
  <c r="E169" i="3"/>
  <c r="P168" i="3"/>
  <c r="N168" i="3"/>
  <c r="I168" i="3"/>
  <c r="E168" i="3"/>
  <c r="P167" i="3"/>
  <c r="N167" i="3"/>
  <c r="E167" i="3"/>
  <c r="P166" i="3"/>
  <c r="N166" i="3"/>
  <c r="I166" i="3"/>
  <c r="E166" i="3"/>
  <c r="P165" i="3"/>
  <c r="N165" i="3"/>
  <c r="G165" i="3"/>
  <c r="K165" i="3" s="1"/>
  <c r="E165" i="3"/>
  <c r="P164" i="3"/>
  <c r="N164" i="3"/>
  <c r="I164" i="3"/>
  <c r="E164" i="3"/>
  <c r="P163" i="3"/>
  <c r="N163" i="3"/>
  <c r="E163" i="3"/>
  <c r="P162" i="3"/>
  <c r="N162" i="3"/>
  <c r="I162" i="3"/>
  <c r="E162" i="3"/>
  <c r="P161" i="3"/>
  <c r="N161" i="3"/>
  <c r="G161" i="3"/>
  <c r="K161" i="3" s="1"/>
  <c r="E161" i="3"/>
  <c r="P160" i="3"/>
  <c r="N160" i="3"/>
  <c r="I160" i="3"/>
  <c r="E160" i="3"/>
  <c r="P159" i="3"/>
  <c r="N159" i="3"/>
  <c r="E159" i="3"/>
  <c r="P158" i="3"/>
  <c r="N158" i="3"/>
  <c r="I158" i="3"/>
  <c r="E158" i="3"/>
  <c r="P157" i="3"/>
  <c r="N157" i="3"/>
  <c r="G157" i="3"/>
  <c r="K157" i="3" s="1"/>
  <c r="E157" i="3"/>
  <c r="H152" i="3"/>
  <c r="H149" i="3"/>
  <c r="R148" i="3"/>
  <c r="H146" i="3"/>
  <c r="I171" i="3" s="1"/>
  <c r="H143" i="3"/>
  <c r="G170" i="3" s="1"/>
  <c r="B141" i="3" a="1"/>
  <c r="B144" i="3" s="1"/>
  <c r="L138" i="3"/>
  <c r="K138" i="3" s="1"/>
  <c r="J138" i="3"/>
  <c r="H138" i="3"/>
  <c r="F138" i="3"/>
  <c r="I138" i="3" s="1"/>
  <c r="N137" i="3"/>
  <c r="M137" i="3"/>
  <c r="G137" i="3"/>
  <c r="F137" i="3"/>
  <c r="E137" i="3"/>
  <c r="D137" i="3"/>
  <c r="L136" i="3"/>
  <c r="G136" i="3"/>
  <c r="F136" i="3" s="1"/>
  <c r="G135" i="3"/>
  <c r="F135" i="3"/>
  <c r="E135" i="3"/>
  <c r="D135" i="3"/>
  <c r="L134" i="3"/>
  <c r="L133" i="3"/>
  <c r="L132" i="3"/>
  <c r="L137" i="3" s="1"/>
  <c r="J132" i="3"/>
  <c r="J137" i="3" s="1"/>
  <c r="H132" i="3"/>
  <c r="H137" i="3" s="1"/>
  <c r="F132" i="3"/>
  <c r="I132" i="3" s="1"/>
  <c r="L131" i="3"/>
  <c r="K130" i="3"/>
  <c r="J130" i="3"/>
  <c r="H130" i="3"/>
  <c r="F130" i="3"/>
  <c r="I130" i="3" s="1"/>
  <c r="T129" i="3"/>
  <c r="K129" i="3"/>
  <c r="I129" i="3"/>
  <c r="F129" i="3"/>
  <c r="H129" i="3" s="1"/>
  <c r="J129" i="3" s="1"/>
  <c r="L128" i="3"/>
  <c r="G128" i="3"/>
  <c r="K128" i="3" s="1"/>
  <c r="L127" i="3"/>
  <c r="K127" i="3" s="1"/>
  <c r="H127" i="3"/>
  <c r="J127" i="3" s="1"/>
  <c r="F127" i="3"/>
  <c r="I127" i="3" s="1"/>
  <c r="L126" i="3"/>
  <c r="K126" i="3" s="1"/>
  <c r="J126" i="3"/>
  <c r="H126" i="3"/>
  <c r="F126" i="3"/>
  <c r="I126" i="3" s="1"/>
  <c r="L125" i="3"/>
  <c r="F55" i="3" s="1"/>
  <c r="L124" i="3"/>
  <c r="L122" i="3"/>
  <c r="J122" i="3"/>
  <c r="H122" i="3"/>
  <c r="G122" i="3"/>
  <c r="F122" i="3"/>
  <c r="E122" i="3"/>
  <c r="L121" i="3"/>
  <c r="J121" i="3"/>
  <c r="H121" i="3"/>
  <c r="G121" i="3"/>
  <c r="F121" i="3"/>
  <c r="E121" i="3"/>
  <c r="K120" i="3"/>
  <c r="I120" i="3"/>
  <c r="F120" i="3"/>
  <c r="H120" i="3" s="1"/>
  <c r="J120" i="3" s="1"/>
  <c r="L119" i="3"/>
  <c r="G119" i="3"/>
  <c r="F119" i="3" s="1"/>
  <c r="L118" i="3"/>
  <c r="L117" i="3"/>
  <c r="G117" i="3"/>
  <c r="L116" i="3"/>
  <c r="E116" i="3"/>
  <c r="D116" i="3"/>
  <c r="K115" i="3"/>
  <c r="I115" i="3"/>
  <c r="F115" i="3"/>
  <c r="H115" i="3" s="1"/>
  <c r="J115" i="3" s="1"/>
  <c r="L114" i="3"/>
  <c r="G114" i="3"/>
  <c r="F114" i="3" s="1"/>
  <c r="S113" i="3"/>
  <c r="L113" i="3"/>
  <c r="G113" i="3"/>
  <c r="F113" i="3" s="1"/>
  <c r="K112" i="3"/>
  <c r="I112" i="3"/>
  <c r="F112" i="3"/>
  <c r="H112" i="3" s="1"/>
  <c r="J112" i="3" s="1"/>
  <c r="S111" i="3"/>
  <c r="L111" i="3"/>
  <c r="S110" i="3"/>
  <c r="L110" i="3"/>
  <c r="G110" i="3"/>
  <c r="K110" i="3" s="1"/>
  <c r="S109" i="3"/>
  <c r="L109" i="3"/>
  <c r="W105" i="3"/>
  <c r="I102" i="3"/>
  <c r="I101" i="3"/>
  <c r="N100" i="3"/>
  <c r="I100" i="3"/>
  <c r="N99" i="3"/>
  <c r="N55" i="3"/>
  <c r="N54" i="3"/>
  <c r="F54" i="3"/>
  <c r="F56" i="3" s="1"/>
  <c r="N53" i="3"/>
  <c r="F53" i="3"/>
  <c r="G14" i="3" s="1"/>
  <c r="N52" i="3"/>
  <c r="F52" i="3"/>
  <c r="N51" i="3"/>
  <c r="F51" i="3"/>
  <c r="N50" i="3"/>
  <c r="F50" i="3"/>
  <c r="E50" i="3"/>
  <c r="F11" i="3" s="1"/>
  <c r="N49" i="3"/>
  <c r="F49" i="3"/>
  <c r="G10" i="3" s="1"/>
  <c r="N46" i="3"/>
  <c r="F46" i="3"/>
  <c r="E46" i="3"/>
  <c r="F7" i="3" s="1"/>
  <c r="N45" i="3"/>
  <c r="I45" i="3"/>
  <c r="F45" i="3"/>
  <c r="AL35" i="3"/>
  <c r="AL34" i="3"/>
  <c r="AL30" i="3"/>
  <c r="AL31" i="3" s="1"/>
  <c r="G25" i="3"/>
  <c r="G24" i="3"/>
  <c r="AN23" i="3"/>
  <c r="AN22" i="3"/>
  <c r="AN24" i="3" s="1"/>
  <c r="AL20" i="3"/>
  <c r="AN20" i="3" s="1"/>
  <c r="AN19" i="3"/>
  <c r="AN18" i="3"/>
  <c r="G15" i="3"/>
  <c r="E26" i="6" s="1"/>
  <c r="AL14" i="3"/>
  <c r="G13" i="3"/>
  <c r="G12" i="3"/>
  <c r="G11" i="3"/>
  <c r="J7" i="3"/>
  <c r="G7" i="3"/>
  <c r="G6" i="3"/>
  <c r="N154" i="2"/>
  <c r="N152" i="2"/>
  <c r="N150" i="2"/>
  <c r="N149" i="2" a="1"/>
  <c r="N155" i="2" s="1"/>
  <c r="N149" i="2"/>
  <c r="N147" i="2"/>
  <c r="N145" i="2"/>
  <c r="N143" i="2"/>
  <c r="N142" i="2" a="1"/>
  <c r="N148" i="2" s="1"/>
  <c r="N142" i="2"/>
  <c r="N140" i="2"/>
  <c r="N138" i="2"/>
  <c r="N136" i="2"/>
  <c r="N135" i="2" a="1"/>
  <c r="N141" i="2" s="1"/>
  <c r="N135" i="2"/>
  <c r="N109" i="2"/>
  <c r="N107" i="2"/>
  <c r="N105" i="2"/>
  <c r="N104" i="2" a="1"/>
  <c r="N110" i="2" s="1"/>
  <c r="N104" i="2"/>
  <c r="N102" i="2"/>
  <c r="N100" i="2"/>
  <c r="N98" i="2"/>
  <c r="N97" i="2" a="1"/>
  <c r="N103" i="2" s="1"/>
  <c r="N97" i="2"/>
  <c r="N80" i="2"/>
  <c r="N78" i="2" a="1"/>
  <c r="N83" i="2" s="1"/>
  <c r="N73" i="2"/>
  <c r="N71" i="2"/>
  <c r="N70" i="2"/>
  <c r="N69" i="2"/>
  <c r="N67" i="2"/>
  <c r="N66" i="2"/>
  <c r="N65" i="2"/>
  <c r="N64" i="2" a="1"/>
  <c r="N72" i="2" s="1"/>
  <c r="N64" i="2"/>
  <c r="O54" i="2" a="1"/>
  <c r="O61" i="2" s="1"/>
  <c r="N63" i="2"/>
  <c r="N61" i="2"/>
  <c r="N59" i="2"/>
  <c r="N57" i="2"/>
  <c r="N55" i="2"/>
  <c r="N54" i="2" a="1"/>
  <c r="N60" i="2" s="1"/>
  <c r="N54" i="2"/>
  <c r="O50" i="2"/>
  <c r="O46" i="2"/>
  <c r="O44" i="2" a="1"/>
  <c r="O53" i="2" s="1"/>
  <c r="N53" i="2"/>
  <c r="N51" i="2"/>
  <c r="N50" i="2"/>
  <c r="N49" i="2"/>
  <c r="N47" i="2"/>
  <c r="N46" i="2"/>
  <c r="N45" i="2"/>
  <c r="N44" i="2" a="1"/>
  <c r="N52" i="2" s="1"/>
  <c r="N44" i="2"/>
  <c r="O34" i="2" a="1"/>
  <c r="O41" i="2" s="1"/>
  <c r="N43" i="2"/>
  <c r="N41" i="2"/>
  <c r="N39" i="2"/>
  <c r="N37" i="2"/>
  <c r="N35" i="2"/>
  <c r="N34" i="2" a="1"/>
  <c r="N40" i="2" s="1"/>
  <c r="N34" i="2"/>
  <c r="O30" i="2"/>
  <c r="O26" i="2"/>
  <c r="O24" i="2" a="1"/>
  <c r="O33" i="2" s="1"/>
  <c r="N33" i="2"/>
  <c r="N31" i="2"/>
  <c r="N30" i="2"/>
  <c r="L93" i="13" s="1"/>
  <c r="Q21" i="13" s="1"/>
  <c r="U15" i="13" s="1"/>
  <c r="N29" i="2"/>
  <c r="L79" i="13" s="1"/>
  <c r="Q19" i="13" s="1"/>
  <c r="U14" i="13" s="1"/>
  <c r="N27" i="2"/>
  <c r="L51" i="13" s="1"/>
  <c r="Q15" i="13" s="1"/>
  <c r="U12" i="13" s="1"/>
  <c r="N26" i="2"/>
  <c r="L37" i="13" s="1"/>
  <c r="Q13" i="13" s="1"/>
  <c r="U11" i="13" s="1"/>
  <c r="N25" i="2"/>
  <c r="L23" i="13" s="1"/>
  <c r="Q11" i="13" s="1"/>
  <c r="U10" i="13" s="1"/>
  <c r="N24" i="2" a="1"/>
  <c r="N32" i="2" s="1"/>
  <c r="N24" i="2"/>
  <c r="L9" i="13" s="1"/>
  <c r="Q9" i="13" s="1"/>
  <c r="U9" i="13" s="1"/>
  <c r="E24" i="2" a="1"/>
  <c r="E31" i="2" s="1"/>
  <c r="D33" i="2"/>
  <c r="D31" i="2"/>
  <c r="D29" i="2"/>
  <c r="D27" i="2"/>
  <c r="D25" i="2"/>
  <c r="D24" i="2" a="1"/>
  <c r="D30" i="2" s="1"/>
  <c r="D24" i="2"/>
  <c r="D136" i="1"/>
  <c r="D128" i="1" a="1"/>
  <c r="D131" i="1" s="1"/>
  <c r="D89" i="1"/>
  <c r="D87" i="1"/>
  <c r="D85" i="1"/>
  <c r="D83" i="1"/>
  <c r="D81" i="1"/>
  <c r="D80" i="1" a="1"/>
  <c r="D86" i="1" s="1"/>
  <c r="D80" i="1"/>
  <c r="E76" i="1"/>
  <c r="E72" i="1"/>
  <c r="E70" i="1" a="1"/>
  <c r="E79" i="1" s="1"/>
  <c r="D79" i="1"/>
  <c r="D77" i="1"/>
  <c r="D76" i="1"/>
  <c r="BV21" i="13" s="1"/>
  <c r="DB20" i="13" s="1"/>
  <c r="D75" i="1"/>
  <c r="BV19" i="13" s="1"/>
  <c r="D73" i="1"/>
  <c r="BV15" i="13" s="1"/>
  <c r="DB16" i="13" s="1"/>
  <c r="D72" i="1"/>
  <c r="BV13" i="13" s="1"/>
  <c r="DB14" i="13" s="1"/>
  <c r="D71" i="1"/>
  <c r="BV11" i="13" s="1"/>
  <c r="DB12" i="13" s="1"/>
  <c r="D70" i="1" a="1"/>
  <c r="D78" i="1" s="1"/>
  <c r="D70" i="1"/>
  <c r="BV9" i="13" s="1"/>
  <c r="DB10" i="13" s="1"/>
  <c r="E60" i="1" a="1"/>
  <c r="E67" i="1" s="1"/>
  <c r="D69" i="1"/>
  <c r="D67" i="1"/>
  <c r="D65" i="1"/>
  <c r="D63" i="1"/>
  <c r="D61" i="1"/>
  <c r="D60" i="1" a="1"/>
  <c r="D66" i="1" s="1"/>
  <c r="D60" i="1"/>
  <c r="E56" i="1"/>
  <c r="E52" i="1"/>
  <c r="E50" i="1" a="1"/>
  <c r="E59" i="1" s="1"/>
  <c r="D59" i="1"/>
  <c r="D57" i="1"/>
  <c r="D56" i="1"/>
  <c r="D55" i="1"/>
  <c r="D53" i="1"/>
  <c r="D52" i="1"/>
  <c r="D51" i="1"/>
  <c r="D50" i="1" a="1"/>
  <c r="D58" i="1" s="1"/>
  <c r="D50" i="1"/>
  <c r="E40" i="1" a="1"/>
  <c r="E47" i="1" s="1"/>
  <c r="D47" i="1"/>
  <c r="D45" i="1"/>
  <c r="D43" i="1"/>
  <c r="D41" i="1"/>
  <c r="D40" i="1" a="1"/>
  <c r="D46" i="1" s="1"/>
  <c r="AJ21" i="13" s="1"/>
  <c r="D40" i="1"/>
  <c r="Z33" i="1"/>
  <c r="Z32" i="1"/>
  <c r="Z31" i="1"/>
  <c r="Z30" i="1" a="1"/>
  <c r="Z34" i="1" s="1"/>
  <c r="Z30" i="1"/>
  <c r="E30" i="1" a="1"/>
  <c r="E37" i="1" s="1"/>
  <c r="D37" i="1"/>
  <c r="D33" i="1"/>
  <c r="D30" i="1" a="1"/>
  <c r="D36" i="1" s="1"/>
  <c r="AJ20" i="13" s="1"/>
  <c r="D30" i="1"/>
  <c r="O27" i="1" a="1"/>
  <c r="O30" i="1" s="1"/>
  <c r="AA28" i="1"/>
  <c r="AA27" i="1"/>
  <c r="AA26" i="1"/>
  <c r="AA25" i="1" a="1"/>
  <c r="AA25" i="1"/>
  <c r="Z28" i="1"/>
  <c r="Z27" i="1"/>
  <c r="Z25" i="1" a="1"/>
  <c r="Z26" i="1" s="1"/>
  <c r="Z25" i="1"/>
  <c r="AL29" i="1"/>
  <c r="AL27" i="1"/>
  <c r="AL26" i="1"/>
  <c r="AL25" i="1"/>
  <c r="AL23" i="1"/>
  <c r="AL22" i="1"/>
  <c r="AL21" i="1"/>
  <c r="AL20" i="1" a="1"/>
  <c r="AL28" i="1" s="1"/>
  <c r="AL20" i="1"/>
  <c r="AK20" i="1" a="1"/>
  <c r="AK27" i="1" s="1"/>
  <c r="AA23" i="1"/>
  <c r="AA22" i="1"/>
  <c r="AA20" i="1" a="1"/>
  <c r="AA21" i="1" s="1"/>
  <c r="AA20" i="1"/>
  <c r="Z20" i="1" a="1"/>
  <c r="Z23" i="1" s="1"/>
  <c r="O20" i="1" a="1"/>
  <c r="O23" i="1" s="1"/>
  <c r="E27" i="1"/>
  <c r="E23" i="1"/>
  <c r="E20" i="1" a="1"/>
  <c r="E26" i="1" s="1"/>
  <c r="E20" i="1"/>
  <c r="D26" i="1"/>
  <c r="D22" i="1"/>
  <c r="D20" i="1" a="1"/>
  <c r="D29" i="1" s="1"/>
  <c r="AQ60" i="13" l="1"/>
  <c r="AT16" i="13"/>
  <c r="AP11" i="13"/>
  <c r="DU10" i="13"/>
  <c r="AS13" i="13"/>
  <c r="BB13" i="13"/>
  <c r="BB21" i="13"/>
  <c r="AP24" i="13"/>
  <c r="AT31" i="13" s="1"/>
  <c r="DU14" i="13"/>
  <c r="DW11" i="13"/>
  <c r="CT29" i="13" s="1"/>
  <c r="DM11" i="13"/>
  <c r="AS21" i="13"/>
  <c r="AV14" i="13"/>
  <c r="BB17" i="13"/>
  <c r="AV16" i="13"/>
  <c r="AP26" i="13"/>
  <c r="AQ56" i="13" s="1"/>
  <c r="CM24" i="13" a="1"/>
  <c r="BB18" i="13"/>
  <c r="AP23" i="13"/>
  <c r="AP43" i="13"/>
  <c r="AT11" i="13"/>
  <c r="L94" i="10"/>
  <c r="E8" i="8"/>
  <c r="E8" i="9"/>
  <c r="J9" i="3"/>
  <c r="J10" i="3" s="1"/>
  <c r="F15" i="9"/>
  <c r="G8" i="6"/>
  <c r="D36" i="6" s="1"/>
  <c r="F15" i="8"/>
  <c r="J184" i="3"/>
  <c r="K184" i="3"/>
  <c r="L64" i="4"/>
  <c r="M64" i="4" s="1"/>
  <c r="N64" i="4" s="1"/>
  <c r="O64" i="4" s="1"/>
  <c r="P64" i="4" s="1"/>
  <c r="Q64" i="4" s="1"/>
  <c r="R64" i="4" s="1"/>
  <c r="S64" i="4" s="1"/>
  <c r="M51" i="4"/>
  <c r="N51" i="4" s="1"/>
  <c r="O51" i="4" s="1"/>
  <c r="P51" i="4" s="1"/>
  <c r="Q51" i="4" s="1"/>
  <c r="R51" i="4" s="1"/>
  <c r="S51" i="4" s="1"/>
  <c r="AL15" i="3"/>
  <c r="E12" i="9"/>
  <c r="E12" i="8"/>
  <c r="O65" i="7" s="1"/>
  <c r="I113" i="3"/>
  <c r="H113" i="3"/>
  <c r="J113" i="3" s="1"/>
  <c r="G16" i="3"/>
  <c r="J180" i="3"/>
  <c r="K180" i="3"/>
  <c r="S107" i="4"/>
  <c r="W107" i="4"/>
  <c r="I114" i="3"/>
  <c r="H114" i="3"/>
  <c r="J114" i="3" s="1"/>
  <c r="I137" i="3"/>
  <c r="I135" i="3"/>
  <c r="I122" i="3"/>
  <c r="I121" i="3"/>
  <c r="K178" i="3"/>
  <c r="J178" i="3"/>
  <c r="K131" i="3"/>
  <c r="E53" i="3"/>
  <c r="F14" i="3" s="1"/>
  <c r="F131" i="3"/>
  <c r="AL27" i="3"/>
  <c r="I136" i="3"/>
  <c r="H136" i="3"/>
  <c r="J136" i="3" s="1"/>
  <c r="J176" i="3"/>
  <c r="K176" i="3"/>
  <c r="K186" i="3"/>
  <c r="J186" i="3"/>
  <c r="O107" i="4"/>
  <c r="J190" i="3"/>
  <c r="K190" i="3"/>
  <c r="G133" i="3"/>
  <c r="C26" i="6"/>
  <c r="F11" i="9"/>
  <c r="F11" i="8"/>
  <c r="I119" i="3"/>
  <c r="H119" i="3"/>
  <c r="J119" i="3" s="1"/>
  <c r="K170" i="3"/>
  <c r="J170" i="3"/>
  <c r="K182" i="3"/>
  <c r="J182" i="3"/>
  <c r="G124" i="3"/>
  <c r="G134" i="3"/>
  <c r="J188" i="3"/>
  <c r="K188" i="3"/>
  <c r="O24" i="1"/>
  <c r="E44" i="1"/>
  <c r="E48" i="1"/>
  <c r="D132" i="1"/>
  <c r="O58" i="2"/>
  <c r="O62" i="2"/>
  <c r="F13" i="9"/>
  <c r="F13" i="8"/>
  <c r="O66" i="7" s="1"/>
  <c r="G6" i="6"/>
  <c r="M107" i="4"/>
  <c r="Y107" i="4"/>
  <c r="AG107" i="4"/>
  <c r="W106" i="4"/>
  <c r="H64" i="10"/>
  <c r="H49" i="11"/>
  <c r="L49" i="11" s="1"/>
  <c r="I49" i="11"/>
  <c r="AC22" i="11"/>
  <c r="H69" i="11"/>
  <c r="L69" i="11" s="1"/>
  <c r="AC25" i="11"/>
  <c r="O25" i="1"/>
  <c r="AK25" i="1"/>
  <c r="D34" i="1"/>
  <c r="D38" i="1"/>
  <c r="E31" i="1"/>
  <c r="E35" i="1"/>
  <c r="E39" i="1"/>
  <c r="D44" i="1"/>
  <c r="D48" i="1"/>
  <c r="E41" i="1"/>
  <c r="E45" i="1"/>
  <c r="E49" i="1"/>
  <c r="E50" i="1"/>
  <c r="E53" i="1"/>
  <c r="E57" i="1"/>
  <c r="D64" i="1"/>
  <c r="D68" i="1"/>
  <c r="E61" i="1"/>
  <c r="E65" i="1"/>
  <c r="E69" i="1"/>
  <c r="DB22" i="13"/>
  <c r="E70" i="1"/>
  <c r="E73" i="1"/>
  <c r="E77" i="1"/>
  <c r="D84" i="1"/>
  <c r="D88" i="1"/>
  <c r="D129" i="1"/>
  <c r="D133" i="1"/>
  <c r="D28" i="2"/>
  <c r="D32" i="2"/>
  <c r="E25" i="2"/>
  <c r="E29" i="2"/>
  <c r="E33" i="2"/>
  <c r="O24" i="2"/>
  <c r="O27" i="2"/>
  <c r="O31" i="2"/>
  <c r="N38" i="2"/>
  <c r="N42" i="2"/>
  <c r="O35" i="2"/>
  <c r="O39" i="2"/>
  <c r="O43" i="2"/>
  <c r="O44" i="2"/>
  <c r="O47" i="2"/>
  <c r="O51" i="2"/>
  <c r="N58" i="2"/>
  <c r="N62" i="2"/>
  <c r="O55" i="2"/>
  <c r="O59" i="2"/>
  <c r="O63" i="2"/>
  <c r="N78" i="2"/>
  <c r="N81" i="2"/>
  <c r="N101" i="2"/>
  <c r="N108" i="2"/>
  <c r="N139" i="2"/>
  <c r="N146" i="2"/>
  <c r="N153" i="2"/>
  <c r="AO75" i="13"/>
  <c r="AO44" i="13" s="1"/>
  <c r="V19" i="13"/>
  <c r="G9" i="6"/>
  <c r="C36" i="6" s="1"/>
  <c r="F7" i="9"/>
  <c r="F7" i="8"/>
  <c r="G17" i="3"/>
  <c r="E51" i="3"/>
  <c r="F12" i="3" s="1"/>
  <c r="G109" i="3"/>
  <c r="F110" i="3"/>
  <c r="F117" i="3"/>
  <c r="G118" i="3"/>
  <c r="F128" i="3"/>
  <c r="K132" i="3"/>
  <c r="B142" i="3"/>
  <c r="B146" i="3"/>
  <c r="I157" i="3"/>
  <c r="G160" i="3"/>
  <c r="I161" i="3"/>
  <c r="G164" i="3"/>
  <c r="I165" i="3"/>
  <c r="G168" i="3"/>
  <c r="I169" i="3"/>
  <c r="G172" i="3"/>
  <c r="I173" i="3"/>
  <c r="J175" i="3"/>
  <c r="J179" i="3"/>
  <c r="J183" i="3"/>
  <c r="J187" i="3"/>
  <c r="J195" i="3"/>
  <c r="J199" i="3"/>
  <c r="J203" i="3"/>
  <c r="J207" i="3"/>
  <c r="J211" i="3"/>
  <c r="J215" i="3"/>
  <c r="K8" i="4"/>
  <c r="K12" i="4"/>
  <c r="K21" i="4"/>
  <c r="K25" i="4"/>
  <c r="J123" i="4"/>
  <c r="J107" i="4"/>
  <c r="J125" i="4" s="1"/>
  <c r="L50" i="4" s="1"/>
  <c r="L63" i="4" s="1"/>
  <c r="J106" i="4"/>
  <c r="J124" i="4" s="1"/>
  <c r="L49" i="4" s="1"/>
  <c r="L62" i="4" s="1"/>
  <c r="N107" i="4"/>
  <c r="N106" i="4"/>
  <c r="R107" i="4"/>
  <c r="R106" i="4"/>
  <c r="V107" i="4"/>
  <c r="V106" i="4"/>
  <c r="N123" i="4"/>
  <c r="Z107" i="4"/>
  <c r="N125" i="4" s="1"/>
  <c r="P50" i="4" s="1"/>
  <c r="P63" i="4" s="1"/>
  <c r="Z106" i="4"/>
  <c r="N124" i="4" s="1"/>
  <c r="P49" i="4" s="1"/>
  <c r="P62" i="4" s="1"/>
  <c r="AD107" i="4"/>
  <c r="AD106" i="4"/>
  <c r="AH107" i="4"/>
  <c r="AH106" i="4"/>
  <c r="AL107" i="4"/>
  <c r="K106" i="4"/>
  <c r="K124" i="4" s="1"/>
  <c r="M49" i="4" s="1"/>
  <c r="M62" i="4" s="1"/>
  <c r="P11" i="9"/>
  <c r="Q22" i="9"/>
  <c r="AP8" i="11"/>
  <c r="I43" i="11"/>
  <c r="H43" i="11"/>
  <c r="L43" i="11" s="1"/>
  <c r="I50" i="11"/>
  <c r="H50" i="11"/>
  <c r="L50" i="11" s="1"/>
  <c r="H53" i="11"/>
  <c r="I53" i="11"/>
  <c r="H55" i="11"/>
  <c r="L55" i="11" s="1"/>
  <c r="I55" i="11"/>
  <c r="AC12" i="11"/>
  <c r="H62" i="11"/>
  <c r="L62" i="11" s="1"/>
  <c r="L68" i="11"/>
  <c r="I68" i="11"/>
  <c r="Z24" i="1"/>
  <c r="E64" i="1"/>
  <c r="E68" i="1"/>
  <c r="V9" i="13" a="1"/>
  <c r="O38" i="2"/>
  <c r="F16" i="9"/>
  <c r="G14" i="6"/>
  <c r="F16" i="8"/>
  <c r="K114" i="3"/>
  <c r="K119" i="3"/>
  <c r="J135" i="3"/>
  <c r="K136" i="3"/>
  <c r="B145" i="3"/>
  <c r="Q107" i="4"/>
  <c r="AC107" i="4"/>
  <c r="AK107" i="4"/>
  <c r="AM106" i="4"/>
  <c r="N98" i="9"/>
  <c r="N99" i="9"/>
  <c r="N100" i="9"/>
  <c r="AC16" i="11"/>
  <c r="H41" i="11"/>
  <c r="L41" i="11" s="1"/>
  <c r="H64" i="11"/>
  <c r="L64" i="11" s="1"/>
  <c r="D20" i="1"/>
  <c r="D9" i="13" s="1" a="1"/>
  <c r="D23" i="1"/>
  <c r="D27" i="1"/>
  <c r="E24" i="1"/>
  <c r="E28" i="1"/>
  <c r="O21" i="1"/>
  <c r="Z21" i="1"/>
  <c r="AK21" i="1"/>
  <c r="AK29" i="1"/>
  <c r="O28" i="1"/>
  <c r="AA24" i="1"/>
  <c r="AL32" i="1" s="1" a="1"/>
  <c r="AK22" i="1"/>
  <c r="AK26" i="1"/>
  <c r="AN70" i="13" s="1"/>
  <c r="E54" i="1"/>
  <c r="E58" i="1"/>
  <c r="E62" i="1"/>
  <c r="E66" i="1"/>
  <c r="E74" i="1"/>
  <c r="E78" i="1"/>
  <c r="D130" i="1"/>
  <c r="D134" i="1"/>
  <c r="E26" i="2"/>
  <c r="E30" i="2"/>
  <c r="O28" i="2"/>
  <c r="O32" i="2"/>
  <c r="O36" i="2"/>
  <c r="O40" i="2"/>
  <c r="O48" i="2"/>
  <c r="O52" i="2"/>
  <c r="O56" i="2"/>
  <c r="O60" i="2"/>
  <c r="N82" i="2"/>
  <c r="AO79" i="13"/>
  <c r="AP44" i="13" s="1"/>
  <c r="F12" i="9"/>
  <c r="F12" i="8"/>
  <c r="D26" i="6"/>
  <c r="F14" i="9"/>
  <c r="F14" i="8"/>
  <c r="G7" i="6"/>
  <c r="F17" i="8"/>
  <c r="E36" i="6"/>
  <c r="F17" i="9"/>
  <c r="K117" i="3"/>
  <c r="H135" i="3"/>
  <c r="L135" i="3"/>
  <c r="B143" i="3"/>
  <c r="J157" i="3"/>
  <c r="G159" i="3"/>
  <c r="J161" i="3"/>
  <c r="G163" i="3"/>
  <c r="J165" i="3"/>
  <c r="G167" i="3"/>
  <c r="J169" i="3"/>
  <c r="G171" i="3"/>
  <c r="J173" i="3"/>
  <c r="K183" i="3"/>
  <c r="P127" i="4"/>
  <c r="L127" i="4"/>
  <c r="P126" i="4"/>
  <c r="R48" i="4" s="1"/>
  <c r="R61" i="4" s="1"/>
  <c r="L126" i="4"/>
  <c r="N48" i="4" s="1"/>
  <c r="N61" i="4" s="1"/>
  <c r="P122" i="4"/>
  <c r="R47" i="4" s="1"/>
  <c r="R60" i="4" s="1"/>
  <c r="L122" i="4"/>
  <c r="N47" i="4" s="1"/>
  <c r="N60" i="4" s="1"/>
  <c r="P121" i="4"/>
  <c r="R46" i="4" s="1"/>
  <c r="R59" i="4" s="1"/>
  <c r="L121" i="4"/>
  <c r="N46" i="4" s="1"/>
  <c r="N59" i="4" s="1"/>
  <c r="P120" i="4"/>
  <c r="R45" i="4" s="1"/>
  <c r="R58" i="4" s="1"/>
  <c r="L120" i="4"/>
  <c r="N45" i="4" s="1"/>
  <c r="N58" i="4" s="1"/>
  <c r="P119" i="4"/>
  <c r="R44" i="4" s="1"/>
  <c r="R57" i="4" s="1"/>
  <c r="L119" i="4"/>
  <c r="N44" i="4" s="1"/>
  <c r="N57" i="4" s="1"/>
  <c r="P118" i="4"/>
  <c r="R43" i="4" s="1"/>
  <c r="R56" i="4" s="1"/>
  <c r="L118" i="4"/>
  <c r="N43" i="4" s="1"/>
  <c r="N56" i="4" s="1"/>
  <c r="P117" i="4"/>
  <c r="R42" i="4" s="1"/>
  <c r="R55" i="4" s="1"/>
  <c r="L117" i="4"/>
  <c r="N42" i="4" s="1"/>
  <c r="N55" i="4" s="1"/>
  <c r="P116" i="4"/>
  <c r="R41" i="4" s="1"/>
  <c r="R54" i="4" s="1"/>
  <c r="L116" i="4"/>
  <c r="N41" i="4" s="1"/>
  <c r="N54" i="4" s="1"/>
  <c r="P115" i="4"/>
  <c r="R40" i="4" s="1"/>
  <c r="R53" i="4" s="1"/>
  <c r="L115" i="4"/>
  <c r="N40" i="4" s="1"/>
  <c r="N53" i="4" s="1"/>
  <c r="O127" i="4"/>
  <c r="K127" i="4"/>
  <c r="O126" i="4"/>
  <c r="Q48" i="4" s="1"/>
  <c r="Q61" i="4" s="1"/>
  <c r="K126" i="4"/>
  <c r="M48" i="4" s="1"/>
  <c r="M61" i="4" s="1"/>
  <c r="O122" i="4"/>
  <c r="Q47" i="4" s="1"/>
  <c r="Q60" i="4" s="1"/>
  <c r="K122" i="4"/>
  <c r="M47" i="4" s="1"/>
  <c r="M60" i="4" s="1"/>
  <c r="O121" i="4"/>
  <c r="Q46" i="4" s="1"/>
  <c r="Q59" i="4" s="1"/>
  <c r="K121" i="4"/>
  <c r="M46" i="4" s="1"/>
  <c r="M59" i="4" s="1"/>
  <c r="O120" i="4"/>
  <c r="Q45" i="4" s="1"/>
  <c r="Q58" i="4" s="1"/>
  <c r="K120" i="4"/>
  <c r="M45" i="4" s="1"/>
  <c r="M58" i="4" s="1"/>
  <c r="O119" i="4"/>
  <c r="Q44" i="4" s="1"/>
  <c r="Q57" i="4" s="1"/>
  <c r="K119" i="4"/>
  <c r="M44" i="4" s="1"/>
  <c r="M57" i="4" s="1"/>
  <c r="O118" i="4"/>
  <c r="Q43" i="4" s="1"/>
  <c r="Q56" i="4" s="1"/>
  <c r="K118" i="4"/>
  <c r="M43" i="4" s="1"/>
  <c r="M56" i="4" s="1"/>
  <c r="O117" i="4"/>
  <c r="Q42" i="4" s="1"/>
  <c r="Q55" i="4" s="1"/>
  <c r="K117" i="4"/>
  <c r="M42" i="4" s="1"/>
  <c r="M55" i="4" s="1"/>
  <c r="O116" i="4"/>
  <c r="Q41" i="4" s="1"/>
  <c r="Q54" i="4" s="1"/>
  <c r="K116" i="4"/>
  <c r="M41" i="4" s="1"/>
  <c r="M54" i="4" s="1"/>
  <c r="O115" i="4"/>
  <c r="Q40" i="4" s="1"/>
  <c r="Q53" i="4" s="1"/>
  <c r="K115" i="4"/>
  <c r="M40" i="4" s="1"/>
  <c r="M53" i="4" s="1"/>
  <c r="N127" i="4"/>
  <c r="J127" i="4"/>
  <c r="N126" i="4"/>
  <c r="P48" i="4" s="1"/>
  <c r="P61" i="4" s="1"/>
  <c r="J126" i="4"/>
  <c r="L48" i="4" s="1"/>
  <c r="L61" i="4" s="1"/>
  <c r="N122" i="4"/>
  <c r="P47" i="4" s="1"/>
  <c r="P60" i="4" s="1"/>
  <c r="J122" i="4"/>
  <c r="L47" i="4" s="1"/>
  <c r="L60" i="4" s="1"/>
  <c r="N121" i="4"/>
  <c r="P46" i="4" s="1"/>
  <c r="P59" i="4" s="1"/>
  <c r="J121" i="4"/>
  <c r="L46" i="4" s="1"/>
  <c r="L59" i="4" s="1"/>
  <c r="N120" i="4"/>
  <c r="P45" i="4" s="1"/>
  <c r="P58" i="4" s="1"/>
  <c r="J120" i="4"/>
  <c r="L45" i="4" s="1"/>
  <c r="L58" i="4" s="1"/>
  <c r="N119" i="4"/>
  <c r="P44" i="4" s="1"/>
  <c r="P57" i="4" s="1"/>
  <c r="J119" i="4"/>
  <c r="L44" i="4" s="1"/>
  <c r="L57" i="4" s="1"/>
  <c r="N118" i="4"/>
  <c r="P43" i="4" s="1"/>
  <c r="P56" i="4" s="1"/>
  <c r="J118" i="4"/>
  <c r="L43" i="4" s="1"/>
  <c r="L56" i="4" s="1"/>
  <c r="N117" i="4"/>
  <c r="P42" i="4" s="1"/>
  <c r="P55" i="4" s="1"/>
  <c r="J117" i="4"/>
  <c r="L42" i="4" s="1"/>
  <c r="L55" i="4" s="1"/>
  <c r="N116" i="4"/>
  <c r="P41" i="4" s="1"/>
  <c r="P54" i="4" s="1"/>
  <c r="J116" i="4"/>
  <c r="L41" i="4" s="1"/>
  <c r="L54" i="4" s="1"/>
  <c r="N115" i="4"/>
  <c r="P40" i="4" s="1"/>
  <c r="P53" i="4" s="1"/>
  <c r="J115" i="4"/>
  <c r="L40" i="4" s="1"/>
  <c r="L53" i="4" s="1"/>
  <c r="Q127" i="4"/>
  <c r="M127" i="4"/>
  <c r="Q126" i="4"/>
  <c r="S48" i="4" s="1"/>
  <c r="S61" i="4" s="1"/>
  <c r="M126" i="4"/>
  <c r="O48" i="4" s="1"/>
  <c r="O61" i="4" s="1"/>
  <c r="Q122" i="4"/>
  <c r="S47" i="4" s="1"/>
  <c r="S60" i="4" s="1"/>
  <c r="M122" i="4"/>
  <c r="O47" i="4" s="1"/>
  <c r="O60" i="4" s="1"/>
  <c r="Q121" i="4"/>
  <c r="S46" i="4" s="1"/>
  <c r="S59" i="4" s="1"/>
  <c r="M121" i="4"/>
  <c r="O46" i="4" s="1"/>
  <c r="O59" i="4" s="1"/>
  <c r="Q120" i="4"/>
  <c r="S45" i="4" s="1"/>
  <c r="S58" i="4" s="1"/>
  <c r="M120" i="4"/>
  <c r="O45" i="4" s="1"/>
  <c r="O58" i="4" s="1"/>
  <c r="Q119" i="4"/>
  <c r="S44" i="4" s="1"/>
  <c r="S57" i="4" s="1"/>
  <c r="M119" i="4"/>
  <c r="O44" i="4" s="1"/>
  <c r="O57" i="4" s="1"/>
  <c r="Q118" i="4"/>
  <c r="S43" i="4" s="1"/>
  <c r="S56" i="4" s="1"/>
  <c r="M118" i="4"/>
  <c r="O43" i="4" s="1"/>
  <c r="O56" i="4" s="1"/>
  <c r="Q117" i="4"/>
  <c r="S42" i="4" s="1"/>
  <c r="S55" i="4" s="1"/>
  <c r="M117" i="4"/>
  <c r="O42" i="4" s="1"/>
  <c r="O55" i="4" s="1"/>
  <c r="Q116" i="4"/>
  <c r="S41" i="4" s="1"/>
  <c r="S54" i="4" s="1"/>
  <c r="M116" i="4"/>
  <c r="O41" i="4" s="1"/>
  <c r="O54" i="4" s="1"/>
  <c r="Q115" i="4"/>
  <c r="S40" i="4" s="1"/>
  <c r="S53" i="4" s="1"/>
  <c r="M115" i="4"/>
  <c r="O40" i="4" s="1"/>
  <c r="O53" i="4" s="1"/>
  <c r="K17" i="4"/>
  <c r="K13" i="4"/>
  <c r="K9" i="4"/>
  <c r="K14" i="4"/>
  <c r="K31" i="4"/>
  <c r="K27" i="4"/>
  <c r="K23" i="4"/>
  <c r="K26" i="4"/>
  <c r="K123" i="4"/>
  <c r="AA107" i="4"/>
  <c r="O123" i="4"/>
  <c r="AE107" i="4"/>
  <c r="O125" i="4" s="1"/>
  <c r="Q50" i="4" s="1"/>
  <c r="Q63" i="4" s="1"/>
  <c r="AI107" i="4"/>
  <c r="AM107" i="4"/>
  <c r="O106" i="4"/>
  <c r="AE106" i="4"/>
  <c r="O124" i="4" s="1"/>
  <c r="Q49" i="4" s="1"/>
  <c r="Q62" i="4" s="1"/>
  <c r="P36" i="8"/>
  <c r="Q79" i="9"/>
  <c r="M21" i="12"/>
  <c r="M51" i="12"/>
  <c r="M83" i="12" s="1"/>
  <c r="BD10" i="11"/>
  <c r="AB75" i="12"/>
  <c r="H47" i="11"/>
  <c r="L47" i="11" s="1"/>
  <c r="H52" i="11"/>
  <c r="I52" i="11"/>
  <c r="BD11" i="11"/>
  <c r="I59" i="11"/>
  <c r="H59" i="11"/>
  <c r="L59" i="11" s="1"/>
  <c r="AC13" i="11"/>
  <c r="BG11" i="11"/>
  <c r="AK24" i="1"/>
  <c r="AK28" i="1"/>
  <c r="E34" i="1"/>
  <c r="E38" i="1"/>
  <c r="E28" i="2"/>
  <c r="E32" i="2"/>
  <c r="O42" i="2"/>
  <c r="K113" i="3"/>
  <c r="BG10" i="11"/>
  <c r="AF76" i="12"/>
  <c r="AD76" i="12"/>
  <c r="W9" i="11"/>
  <c r="AK9" i="11" s="1"/>
  <c r="BD7" i="11" s="1"/>
  <c r="H63" i="11"/>
  <c r="L63" i="11" s="1"/>
  <c r="D24" i="1"/>
  <c r="D28" i="1"/>
  <c r="E21" i="1"/>
  <c r="E25" i="1"/>
  <c r="E29" i="1"/>
  <c r="O22" i="1"/>
  <c r="O26" i="1"/>
  <c r="Z22" i="1"/>
  <c r="O29" i="1"/>
  <c r="D31" i="1"/>
  <c r="AO9" i="13" s="1" a="1"/>
  <c r="D35" i="1"/>
  <c r="D39" i="1"/>
  <c r="E32" i="1"/>
  <c r="E36" i="1"/>
  <c r="D49" i="1"/>
  <c r="E42" i="1"/>
  <c r="E46" i="1"/>
  <c r="D21" i="1"/>
  <c r="D25" i="1"/>
  <c r="E22" i="1"/>
  <c r="O20" i="1"/>
  <c r="Z20" i="1"/>
  <c r="AK20" i="1"/>
  <c r="AK23" i="1"/>
  <c r="AL24" i="1"/>
  <c r="O27" i="1"/>
  <c r="D32" i="1"/>
  <c r="E30" i="1"/>
  <c r="E33" i="1"/>
  <c r="D42" i="1"/>
  <c r="E40" i="1"/>
  <c r="E43" i="1"/>
  <c r="D54" i="1"/>
  <c r="E51" i="1"/>
  <c r="E55" i="1"/>
  <c r="D62" i="1"/>
  <c r="E60" i="1"/>
  <c r="E63" i="1"/>
  <c r="D74" i="1"/>
  <c r="BV17" i="13" s="1"/>
  <c r="DB18" i="13" s="1"/>
  <c r="E71" i="1"/>
  <c r="E75" i="1"/>
  <c r="D82" i="1"/>
  <c r="AF9" i="13" s="1" a="1"/>
  <c r="D128" i="1"/>
  <c r="D26" i="2"/>
  <c r="E24" i="2"/>
  <c r="E27" i="2"/>
  <c r="N28" i="2"/>
  <c r="L65" i="13" s="1"/>
  <c r="Q17" i="13" s="1"/>
  <c r="U13" i="13" s="1"/>
  <c r="U25" i="13" s="1" a="1"/>
  <c r="O25" i="2"/>
  <c r="O29" i="2"/>
  <c r="N36" i="2"/>
  <c r="O34" i="2"/>
  <c r="O37" i="2"/>
  <c r="N48" i="2"/>
  <c r="O45" i="2"/>
  <c r="O49" i="2"/>
  <c r="N56" i="2"/>
  <c r="O54" i="2"/>
  <c r="O57" i="2"/>
  <c r="N68" i="2"/>
  <c r="AE9" i="13" s="1" a="1"/>
  <c r="N79" i="2"/>
  <c r="N99" i="2"/>
  <c r="DE9" i="13" s="1" a="1"/>
  <c r="N106" i="2"/>
  <c r="N137" i="2"/>
  <c r="N144" i="2"/>
  <c r="AN9" i="13" s="1" a="1"/>
  <c r="N151" i="2"/>
  <c r="AO78" i="13"/>
  <c r="AO77" i="13"/>
  <c r="AO76" i="13"/>
  <c r="AQ44" i="13" s="1"/>
  <c r="F8" i="9"/>
  <c r="F9" i="9" s="1"/>
  <c r="F10" i="9" s="1"/>
  <c r="F8" i="8"/>
  <c r="F9" i="8" s="1"/>
  <c r="F10" i="8" s="1"/>
  <c r="G10" i="6"/>
  <c r="G125" i="3"/>
  <c r="B141" i="3"/>
  <c r="G158" i="3"/>
  <c r="I159" i="3"/>
  <c r="G162" i="3"/>
  <c r="I163" i="3"/>
  <c r="G166" i="3"/>
  <c r="I167" i="3"/>
  <c r="T3" i="4"/>
  <c r="K10" i="4"/>
  <c r="K15" i="4"/>
  <c r="K22" i="4"/>
  <c r="K28" i="4"/>
  <c r="L107" i="4"/>
  <c r="L123" i="4"/>
  <c r="T107" i="4"/>
  <c r="X107" i="4"/>
  <c r="AB107" i="4"/>
  <c r="AF107" i="4"/>
  <c r="P123" i="4"/>
  <c r="AN107" i="4"/>
  <c r="S106" i="4"/>
  <c r="DW27" i="13"/>
  <c r="DM26" i="13"/>
  <c r="DW24" i="13"/>
  <c r="DR27" i="13"/>
  <c r="DW25" i="13"/>
  <c r="DR24" i="13"/>
  <c r="DW22" i="13"/>
  <c r="DR22" i="13"/>
  <c r="DM22" i="13"/>
  <c r="DM27" i="13"/>
  <c r="DW26" i="13"/>
  <c r="DR25" i="13"/>
  <c r="DM24" i="13"/>
  <c r="DR23" i="13"/>
  <c r="DM23" i="13"/>
  <c r="DM25" i="13"/>
  <c r="DR26" i="13"/>
  <c r="DW23" i="13"/>
  <c r="P170" i="8"/>
  <c r="P170" i="9"/>
  <c r="N98" i="8"/>
  <c r="N99" i="8"/>
  <c r="N100" i="8"/>
  <c r="H61" i="10"/>
  <c r="G66" i="10"/>
  <c r="H65" i="10" s="1"/>
  <c r="M14" i="12"/>
  <c r="M44" i="12"/>
  <c r="M76" i="12" s="1"/>
  <c r="H63" i="10"/>
  <c r="K63" i="10"/>
  <c r="AP6" i="11"/>
  <c r="AV9" i="11"/>
  <c r="AF78" i="12"/>
  <c r="AD78" i="12"/>
  <c r="AE78" i="12" s="1"/>
  <c r="AB80" i="12"/>
  <c r="I46" i="11"/>
  <c r="BG8" i="11"/>
  <c r="AD6" i="11"/>
  <c r="AB6" i="11"/>
  <c r="I51" i="11"/>
  <c r="H51" i="11"/>
  <c r="H57" i="11"/>
  <c r="L57" i="11" s="1"/>
  <c r="AC11" i="11"/>
  <c r="M106" i="4"/>
  <c r="Q106" i="4"/>
  <c r="U106" i="4"/>
  <c r="M124" i="4" s="1"/>
  <c r="O49" i="4" s="1"/>
  <c r="O62" i="4" s="1"/>
  <c r="Y106" i="4"/>
  <c r="AC106" i="4"/>
  <c r="AG106" i="4"/>
  <c r="AK106" i="4"/>
  <c r="AO106" i="4"/>
  <c r="Q124" i="4" s="1"/>
  <c r="S49" i="4" s="1"/>
  <c r="S62" i="4" s="1"/>
  <c r="U107" i="4"/>
  <c r="M125" i="4" s="1"/>
  <c r="O50" i="4" s="1"/>
  <c r="O63" i="4" s="1"/>
  <c r="AO107" i="4"/>
  <c r="Q125" i="4" s="1"/>
  <c r="S50" i="4" s="1"/>
  <c r="S63" i="4" s="1"/>
  <c r="F9" i="7"/>
  <c r="F15" i="7" s="1"/>
  <c r="N64" i="8"/>
  <c r="N65" i="8" s="1"/>
  <c r="O89" i="8" s="1"/>
  <c r="P63" i="9"/>
  <c r="M6" i="12"/>
  <c r="M36" i="12"/>
  <c r="M68" i="12" s="1"/>
  <c r="M10" i="12"/>
  <c r="M40" i="12"/>
  <c r="M72" i="12" s="1"/>
  <c r="M42" i="12"/>
  <c r="M74" i="12" s="1"/>
  <c r="M12" i="12"/>
  <c r="M45" i="12"/>
  <c r="M77" i="12" s="1"/>
  <c r="M15" i="12"/>
  <c r="M49" i="12"/>
  <c r="M81" i="12" s="1"/>
  <c r="M19" i="12"/>
  <c r="M52" i="12"/>
  <c r="M84" i="12" s="1"/>
  <c r="M22" i="12"/>
  <c r="AD68" i="12"/>
  <c r="AU7" i="11"/>
  <c r="AC79" i="12"/>
  <c r="AF79" i="12"/>
  <c r="AD79" i="12"/>
  <c r="AF85" i="12"/>
  <c r="AD85" i="12"/>
  <c r="AC85" i="12"/>
  <c r="AD89" i="12"/>
  <c r="AF89" i="12"/>
  <c r="AG89" i="12" s="1"/>
  <c r="F79" i="11"/>
  <c r="J39" i="11"/>
  <c r="G39" i="11" s="1"/>
  <c r="AH40" i="11"/>
  <c r="AG41" i="11"/>
  <c r="Q17" i="11" s="1"/>
  <c r="AE17" i="11" s="1"/>
  <c r="AK41" i="11"/>
  <c r="U17" i="11" s="1"/>
  <c r="AI17" i="11" s="1"/>
  <c r="AG42" i="11"/>
  <c r="Q7" i="11" s="1"/>
  <c r="AE7" i="11" s="1"/>
  <c r="AX6" i="11" s="1"/>
  <c r="AK42" i="11"/>
  <c r="U7" i="11" s="1"/>
  <c r="AI7" i="11" s="1"/>
  <c r="BB6" i="11" s="1"/>
  <c r="AF43" i="11"/>
  <c r="P19" i="11" s="1"/>
  <c r="AD19" i="11" s="1"/>
  <c r="AW10" i="11" s="1"/>
  <c r="AJ43" i="11"/>
  <c r="T19" i="11" s="1"/>
  <c r="AH19" i="11" s="1"/>
  <c r="J44" i="11"/>
  <c r="G44" i="11" s="1"/>
  <c r="AF45" i="11"/>
  <c r="AJ45" i="11"/>
  <c r="AF46" i="11"/>
  <c r="AJ46" i="11"/>
  <c r="AH49" i="11"/>
  <c r="AL49" i="11"/>
  <c r="V15" i="11" s="1"/>
  <c r="AJ15" i="11" s="1"/>
  <c r="AH51" i="11"/>
  <c r="AG51" i="11"/>
  <c r="AI52" i="11"/>
  <c r="S9" i="11" s="1"/>
  <c r="AG9" i="11" s="1"/>
  <c r="AZ7" i="11" s="1"/>
  <c r="AN52" i="11"/>
  <c r="X9" i="11" s="1"/>
  <c r="AL9" i="11" s="1"/>
  <c r="BE7" i="11" s="1"/>
  <c r="AI53" i="11"/>
  <c r="AN53" i="11"/>
  <c r="I56" i="11"/>
  <c r="I58" i="11"/>
  <c r="G80" i="11"/>
  <c r="H65" i="11"/>
  <c r="L65" i="11" s="1"/>
  <c r="I66" i="11"/>
  <c r="AH68" i="11"/>
  <c r="R24" i="11" s="1"/>
  <c r="AF24" i="11" s="1"/>
  <c r="I72" i="11"/>
  <c r="I73" i="11"/>
  <c r="Y165" i="11"/>
  <c r="Q165" i="11"/>
  <c r="W73" i="12"/>
  <c r="Z73" i="12"/>
  <c r="Y73" i="12"/>
  <c r="X73" i="12"/>
  <c r="P73" i="12"/>
  <c r="X76" i="12"/>
  <c r="P76" i="12"/>
  <c r="W76" i="12"/>
  <c r="AG76" i="12"/>
  <c r="Y76" i="12"/>
  <c r="Z76" i="12"/>
  <c r="Y81" i="12"/>
  <c r="X81" i="12"/>
  <c r="P81" i="12"/>
  <c r="W81" i="12"/>
  <c r="Z81" i="12"/>
  <c r="O105" i="12"/>
  <c r="Z87" i="12"/>
  <c r="Y87" i="12"/>
  <c r="X87" i="12"/>
  <c r="P87" i="12"/>
  <c r="W87" i="12"/>
  <c r="AL106" i="4"/>
  <c r="O64" i="8"/>
  <c r="O65" i="8" s="1"/>
  <c r="P89" i="8" s="1"/>
  <c r="X136" i="8"/>
  <c r="X137" i="8" s="1"/>
  <c r="Z36" i="9"/>
  <c r="Q132" i="9"/>
  <c r="O135" i="9"/>
  <c r="N146" i="9"/>
  <c r="P151" i="9"/>
  <c r="M7" i="12"/>
  <c r="M37" i="12"/>
  <c r="M69" i="12" s="1"/>
  <c r="M13" i="12"/>
  <c r="M43" i="12"/>
  <c r="M75" i="12" s="1"/>
  <c r="M46" i="12"/>
  <c r="M78" i="12" s="1"/>
  <c r="M16" i="12"/>
  <c r="M50" i="12"/>
  <c r="M82" i="12" s="1"/>
  <c r="M20" i="12"/>
  <c r="M53" i="12"/>
  <c r="M85" i="12" s="1"/>
  <c r="M23" i="12"/>
  <c r="K61" i="10"/>
  <c r="AB8" i="11"/>
  <c r="AD70" i="12"/>
  <c r="AC70" i="12"/>
  <c r="AF70" i="12"/>
  <c r="AD71" i="12"/>
  <c r="AE71" i="12" s="1"/>
  <c r="AF72" i="12"/>
  <c r="AD72" i="12"/>
  <c r="AD73" i="12"/>
  <c r="AF73" i="12"/>
  <c r="AG73" i="12" s="1"/>
  <c r="AC82" i="12"/>
  <c r="AF82" i="12"/>
  <c r="AF86" i="12"/>
  <c r="J40" i="11"/>
  <c r="G40" i="11" s="1"/>
  <c r="AH41" i="11"/>
  <c r="AH42" i="11"/>
  <c r="R7" i="11" s="1"/>
  <c r="AF7" i="11" s="1"/>
  <c r="AY6" i="11" s="1"/>
  <c r="AG43" i="11"/>
  <c r="AG45" i="11"/>
  <c r="AK45" i="11"/>
  <c r="AG46" i="11"/>
  <c r="Q14" i="11" s="1"/>
  <c r="AE14" i="11" s="1"/>
  <c r="AK46" i="11"/>
  <c r="AN68" i="11"/>
  <c r="X24" i="11" s="1"/>
  <c r="AL24" i="11" s="1"/>
  <c r="BE11" i="11" s="1"/>
  <c r="AJ68" i="11"/>
  <c r="T24" i="11" s="1"/>
  <c r="AH24" i="11" s="1"/>
  <c r="AF68" i="11"/>
  <c r="P24" i="11" s="1"/>
  <c r="AD24" i="11" s="1"/>
  <c r="AW11" i="11" s="1"/>
  <c r="AQ68" i="11"/>
  <c r="AA24" i="11" s="1"/>
  <c r="AO24" i="11" s="1"/>
  <c r="BH11" i="11" s="1"/>
  <c r="AM68" i="11"/>
  <c r="W24" i="11" s="1"/>
  <c r="AK24" i="11" s="1"/>
  <c r="AI68" i="11"/>
  <c r="S24" i="11" s="1"/>
  <c r="AG24" i="11" s="1"/>
  <c r="AE68" i="11"/>
  <c r="O24" i="11" s="1"/>
  <c r="AK68" i="11"/>
  <c r="U24" i="11" s="1"/>
  <c r="AI24" i="11" s="1"/>
  <c r="H70" i="11"/>
  <c r="L70" i="11" s="1"/>
  <c r="U165" i="11"/>
  <c r="X78" i="12"/>
  <c r="P78" i="12"/>
  <c r="W78" i="12"/>
  <c r="Z78" i="12"/>
  <c r="AG78" i="12"/>
  <c r="Y78" i="12"/>
  <c r="Q56" i="8"/>
  <c r="Q63" i="8" s="1"/>
  <c r="Q58" i="8"/>
  <c r="Q60" i="8"/>
  <c r="N151" i="8"/>
  <c r="Z35" i="9"/>
  <c r="Z37" i="9"/>
  <c r="N158" i="9"/>
  <c r="M8" i="12"/>
  <c r="M38" i="12"/>
  <c r="M70" i="12" s="1"/>
  <c r="M41" i="12"/>
  <c r="M73" i="12" s="1"/>
  <c r="M11" i="12"/>
  <c r="M47" i="12"/>
  <c r="M79" i="12" s="1"/>
  <c r="M17" i="12"/>
  <c r="M24" i="12"/>
  <c r="M54" i="12"/>
  <c r="M86" i="12" s="1"/>
  <c r="AU6" i="11"/>
  <c r="AU9" i="11"/>
  <c r="AU11" i="11"/>
  <c r="AD74" i="12"/>
  <c r="AF74" i="12"/>
  <c r="M16" i="11"/>
  <c r="AB77" i="12" s="1"/>
  <c r="AF81" i="12"/>
  <c r="AG81" i="12" s="1"/>
  <c r="AD81" i="12"/>
  <c r="M22" i="11"/>
  <c r="AB83" i="12" s="1"/>
  <c r="AF84" i="12"/>
  <c r="AD87" i="12"/>
  <c r="AF87" i="12"/>
  <c r="AG87" i="12" s="1"/>
  <c r="AB105" i="12"/>
  <c r="AG39" i="11"/>
  <c r="Q16" i="11" s="1"/>
  <c r="AE16" i="11" s="1"/>
  <c r="AK39" i="11"/>
  <c r="U16" i="11" s="1"/>
  <c r="AI16" i="11" s="1"/>
  <c r="AO39" i="11"/>
  <c r="Y16" i="11" s="1"/>
  <c r="AM16" i="11" s="1"/>
  <c r="AE41" i="11"/>
  <c r="O17" i="11" s="1"/>
  <c r="AI41" i="11"/>
  <c r="S17" i="11" s="1"/>
  <c r="AG17" i="11" s="1"/>
  <c r="AM41" i="11"/>
  <c r="W17" i="11" s="1"/>
  <c r="AK17" i="11" s="1"/>
  <c r="BD8" i="11" s="1"/>
  <c r="AE42" i="11"/>
  <c r="O7" i="11" s="1"/>
  <c r="AI42" i="11"/>
  <c r="S7" i="11" s="1"/>
  <c r="AG7" i="11" s="1"/>
  <c r="AZ6" i="11" s="1"/>
  <c r="AH43" i="11"/>
  <c r="AG44" i="11"/>
  <c r="Q19" i="11" s="1"/>
  <c r="AE19" i="11" s="1"/>
  <c r="AK44" i="11"/>
  <c r="U19" i="11" s="1"/>
  <c r="AI19" i="11" s="1"/>
  <c r="AO44" i="11"/>
  <c r="Y19" i="11" s="1"/>
  <c r="AM19" i="11" s="1"/>
  <c r="BF10" i="11" s="1"/>
  <c r="H45" i="11"/>
  <c r="L45" i="11" s="1"/>
  <c r="AH45" i="11"/>
  <c r="H46" i="11"/>
  <c r="L46" i="11" s="1"/>
  <c r="AH46" i="11"/>
  <c r="R14" i="11" s="1"/>
  <c r="AF14" i="11" s="1"/>
  <c r="AL46" i="11"/>
  <c r="AG47" i="11"/>
  <c r="AK47" i="11"/>
  <c r="AO47" i="11"/>
  <c r="Y14" i="11" s="1"/>
  <c r="AM14" i="11" s="1"/>
  <c r="BF8" i="11" s="1"/>
  <c r="G48" i="11"/>
  <c r="AG48" i="11"/>
  <c r="AK48" i="11"/>
  <c r="U15" i="11" s="1"/>
  <c r="AI15" i="11" s="1"/>
  <c r="AF49" i="11"/>
  <c r="P15" i="11" s="1"/>
  <c r="AJ49" i="11"/>
  <c r="T15" i="11" s="1"/>
  <c r="AH15" i="11" s="1"/>
  <c r="AE51" i="11"/>
  <c r="O9" i="11" s="1"/>
  <c r="AJ51" i="11"/>
  <c r="T9" i="11" s="1"/>
  <c r="AH9" i="11" s="1"/>
  <c r="BA7" i="11" s="1"/>
  <c r="AF52" i="11"/>
  <c r="AL52" i="11"/>
  <c r="AF53" i="11"/>
  <c r="AL53" i="11"/>
  <c r="AQ53" i="11"/>
  <c r="AA9" i="11" s="1"/>
  <c r="AO9" i="11" s="1"/>
  <c r="BH7" i="11" s="1"/>
  <c r="AF55" i="11"/>
  <c r="AE55" i="11"/>
  <c r="O10" i="11" s="1"/>
  <c r="AL65" i="11"/>
  <c r="V11" i="11" s="1"/>
  <c r="AJ11" i="11" s="1"/>
  <c r="I67" i="11"/>
  <c r="AH67" i="11"/>
  <c r="R13" i="11" s="1"/>
  <c r="AF13" i="11" s="1"/>
  <c r="AL68" i="11"/>
  <c r="V24" i="11" s="1"/>
  <c r="AJ24" i="11" s="1"/>
  <c r="O165" i="11"/>
  <c r="S165" i="11"/>
  <c r="W165" i="11"/>
  <c r="Q67" i="12"/>
  <c r="W77" i="12"/>
  <c r="Z77" i="12"/>
  <c r="Y77" i="12"/>
  <c r="X77" i="12"/>
  <c r="P77" i="12"/>
  <c r="Y80" i="12"/>
  <c r="X80" i="12"/>
  <c r="P80" i="12"/>
  <c r="W80" i="12"/>
  <c r="Z80" i="12"/>
  <c r="L106" i="4"/>
  <c r="P106" i="4"/>
  <c r="L124" i="4" s="1"/>
  <c r="N49" i="4" s="1"/>
  <c r="N62" i="4" s="1"/>
  <c r="T106" i="4"/>
  <c r="X106" i="4"/>
  <c r="AB106" i="4"/>
  <c r="AF106" i="4"/>
  <c r="AJ106" i="4"/>
  <c r="P124" i="4" s="1"/>
  <c r="R49" i="4" s="1"/>
  <c r="R62" i="4" s="1"/>
  <c r="AN106" i="4"/>
  <c r="P107" i="4"/>
  <c r="L125" i="4" s="1"/>
  <c r="N50" i="4" s="1"/>
  <c r="N63" i="4" s="1"/>
  <c r="AJ107" i="4"/>
  <c r="P125" i="4" s="1"/>
  <c r="R50" i="4" s="1"/>
  <c r="R63" i="4" s="1"/>
  <c r="P55" i="8"/>
  <c r="P57" i="8"/>
  <c r="P74" i="8" s="1"/>
  <c r="P59" i="8"/>
  <c r="P76" i="8" s="1"/>
  <c r="M5" i="12"/>
  <c r="M35" i="12"/>
  <c r="M67" i="12" s="1"/>
  <c r="M9" i="12"/>
  <c r="M39" i="12"/>
  <c r="M71" i="12" s="1"/>
  <c r="M18" i="12"/>
  <c r="M48" i="12"/>
  <c r="M80" i="12" s="1"/>
  <c r="AC67" i="12"/>
  <c r="AC69" i="12"/>
  <c r="AD88" i="12"/>
  <c r="AE88" i="12" s="1"/>
  <c r="AF88" i="12"/>
  <c r="AH39" i="11"/>
  <c r="R16" i="11" s="1"/>
  <c r="AF16" i="11" s="1"/>
  <c r="AL39" i="11"/>
  <c r="V16" i="11" s="1"/>
  <c r="AJ16" i="11" s="1"/>
  <c r="AF41" i="11"/>
  <c r="P17" i="11" s="1"/>
  <c r="AD17" i="11" s="1"/>
  <c r="AF42" i="11"/>
  <c r="P7" i="11" s="1"/>
  <c r="AD7" i="11" s="1"/>
  <c r="AE43" i="11"/>
  <c r="O19" i="11" s="1"/>
  <c r="AH44" i="11"/>
  <c r="R19" i="11" s="1"/>
  <c r="AF19" i="11" s="1"/>
  <c r="AY10" i="11" s="1"/>
  <c r="AL44" i="11"/>
  <c r="V19" i="11" s="1"/>
  <c r="AJ19" i="11" s="1"/>
  <c r="BC10" i="11" s="1"/>
  <c r="AE45" i="11"/>
  <c r="AE46" i="11"/>
  <c r="O14" i="11" s="1"/>
  <c r="AI46" i="11"/>
  <c r="S14" i="11" s="1"/>
  <c r="AG14" i="11" s="1"/>
  <c r="AZ8" i="11" s="1"/>
  <c r="AH47" i="11"/>
  <c r="AL47" i="11"/>
  <c r="AH48" i="11"/>
  <c r="R15" i="11" s="1"/>
  <c r="AF15" i="11" s="1"/>
  <c r="AG49" i="11"/>
  <c r="AF51" i="11"/>
  <c r="AO52" i="11"/>
  <c r="AH52" i="11"/>
  <c r="AO53" i="11"/>
  <c r="AH53" i="11"/>
  <c r="AF54" i="11"/>
  <c r="P10" i="11" s="1"/>
  <c r="AD10" i="11" s="1"/>
  <c r="AI56" i="11"/>
  <c r="S23" i="11" s="1"/>
  <c r="AG23" i="11" s="1"/>
  <c r="AZ11" i="11" s="1"/>
  <c r="AE56" i="11"/>
  <c r="O23" i="11" s="1"/>
  <c r="AH56" i="11"/>
  <c r="AI58" i="11"/>
  <c r="AE58" i="11"/>
  <c r="AL58" i="11"/>
  <c r="V23" i="11" s="1"/>
  <c r="AJ23" i="11" s="1"/>
  <c r="BC11" i="11" s="1"/>
  <c r="AH58" i="11"/>
  <c r="AJ58" i="11"/>
  <c r="T23" i="11" s="1"/>
  <c r="AH23" i="11" s="1"/>
  <c r="I65" i="11"/>
  <c r="AK67" i="11"/>
  <c r="U13" i="11" s="1"/>
  <c r="AI13" i="11" s="1"/>
  <c r="AG68" i="11"/>
  <c r="Q24" i="11" s="1"/>
  <c r="AE24" i="11" s="1"/>
  <c r="AO68" i="11"/>
  <c r="Y24" i="11" s="1"/>
  <c r="AM24" i="11" s="1"/>
  <c r="AG79" i="12"/>
  <c r="Y79" i="12"/>
  <c r="X79" i="12"/>
  <c r="P79" i="12"/>
  <c r="W79" i="12"/>
  <c r="Z79" i="12"/>
  <c r="AG52" i="11"/>
  <c r="AK52" i="11"/>
  <c r="AG53" i="11"/>
  <c r="AK53" i="11"/>
  <c r="AG57" i="11"/>
  <c r="Q23" i="11" s="1"/>
  <c r="AE23" i="11" s="1"/>
  <c r="AK57" i="11"/>
  <c r="U23" i="11" s="1"/>
  <c r="AI23" i="11" s="1"/>
  <c r="AG60" i="11"/>
  <c r="Q12" i="11" s="1"/>
  <c r="AE12" i="11" s="1"/>
  <c r="AK60" i="11"/>
  <c r="U12" i="11" s="1"/>
  <c r="AI12" i="11" s="1"/>
  <c r="AG62" i="11"/>
  <c r="AG63" i="11"/>
  <c r="AG64" i="11"/>
  <c r="Q18" i="11" s="1"/>
  <c r="AE18" i="11" s="1"/>
  <c r="AX9" i="11" s="1"/>
  <c r="AF65" i="11"/>
  <c r="P11" i="11" s="1"/>
  <c r="AD11" i="11" s="1"/>
  <c r="AJ65" i="11"/>
  <c r="T11" i="11" s="1"/>
  <c r="AH11" i="11" s="1"/>
  <c r="AF66" i="11"/>
  <c r="AF67" i="11"/>
  <c r="P13" i="11" s="1"/>
  <c r="AD13" i="11" s="1"/>
  <c r="AJ67" i="11"/>
  <c r="T13" i="11" s="1"/>
  <c r="AH13" i="11" s="1"/>
  <c r="AH69" i="11"/>
  <c r="R20" i="11" s="1"/>
  <c r="AF20" i="11" s="1"/>
  <c r="AL69" i="11"/>
  <c r="V20" i="11" s="1"/>
  <c r="AJ20" i="11" s="1"/>
  <c r="AG70" i="11"/>
  <c r="Q25" i="11" s="1"/>
  <c r="AE25" i="11" s="1"/>
  <c r="AK70" i="11"/>
  <c r="U25" i="11" s="1"/>
  <c r="AI25" i="11" s="1"/>
  <c r="AO70" i="11"/>
  <c r="Y25" i="11" s="1"/>
  <c r="AM25" i="11" s="1"/>
  <c r="AF71" i="11"/>
  <c r="P21" i="11" s="1"/>
  <c r="AD21" i="11" s="1"/>
  <c r="AJ71" i="11"/>
  <c r="T21" i="11" s="1"/>
  <c r="AH21" i="11" s="1"/>
  <c r="AN71" i="11"/>
  <c r="X21" i="11" s="1"/>
  <c r="AL21" i="11" s="1"/>
  <c r="BE10" i="11" s="1"/>
  <c r="AF72" i="11"/>
  <c r="P26" i="11" s="1"/>
  <c r="AD26" i="11" s="1"/>
  <c r="AJ72" i="11"/>
  <c r="T26" i="11" s="1"/>
  <c r="AH26" i="11" s="1"/>
  <c r="AN72" i="11"/>
  <c r="X26" i="11" s="1"/>
  <c r="AL26" i="11" s="1"/>
  <c r="AF73" i="11"/>
  <c r="P27" i="11" s="1"/>
  <c r="AD27" i="11" s="1"/>
  <c r="AJ73" i="11"/>
  <c r="T27" i="11" s="1"/>
  <c r="AH27" i="11" s="1"/>
  <c r="AN73" i="11"/>
  <c r="X27" i="11" s="1"/>
  <c r="AL27" i="11" s="1"/>
  <c r="AF74" i="11"/>
  <c r="P28" i="11" s="1"/>
  <c r="AD28" i="11" s="1"/>
  <c r="AJ74" i="11"/>
  <c r="T28" i="11" s="1"/>
  <c r="AH28" i="11" s="1"/>
  <c r="P119" i="11"/>
  <c r="P146" i="11" s="1"/>
  <c r="M131" i="11"/>
  <c r="S131" i="11"/>
  <c r="S158" i="11" s="1"/>
  <c r="M137" i="11"/>
  <c r="M164" i="11" s="1"/>
  <c r="W70" i="12"/>
  <c r="Z70" i="12"/>
  <c r="AG70" i="12"/>
  <c r="Y70" i="12"/>
  <c r="X72" i="12"/>
  <c r="P72" i="12"/>
  <c r="W72" i="12"/>
  <c r="AG72" i="12"/>
  <c r="Y72" i="12"/>
  <c r="Z72" i="12"/>
  <c r="N43" i="12"/>
  <c r="Z43" i="12" s="1"/>
  <c r="O75" i="12" s="1"/>
  <c r="Z13" i="12"/>
  <c r="AC13" i="12" s="1"/>
  <c r="AF13" i="12" s="1"/>
  <c r="Z83" i="12"/>
  <c r="Y83" i="12"/>
  <c r="X83" i="12"/>
  <c r="P83" i="12"/>
  <c r="W83" i="12"/>
  <c r="M140" i="12"/>
  <c r="M155" i="12"/>
  <c r="M182" i="12" s="1"/>
  <c r="M192" i="12" s="1"/>
  <c r="M207" i="12" s="1"/>
  <c r="M219" i="12" s="1"/>
  <c r="AA67" i="12"/>
  <c r="AE70" i="12"/>
  <c r="AH70" i="12"/>
  <c r="N50" i="12"/>
  <c r="Z50" i="12" s="1"/>
  <c r="O82" i="12" s="1"/>
  <c r="T105" i="12"/>
  <c r="AA105" i="12" s="1"/>
  <c r="R162" i="12" s="1"/>
  <c r="BW22" i="13" s="1"/>
  <c r="BW21" i="13" s="1"/>
  <c r="AA87" i="12"/>
  <c r="AH88" i="12"/>
  <c r="X70" i="12"/>
  <c r="AH57" i="11"/>
  <c r="AH60" i="11"/>
  <c r="R12" i="11" s="1"/>
  <c r="AF12" i="11" s="1"/>
  <c r="AL60" i="11"/>
  <c r="V12" i="11" s="1"/>
  <c r="AJ12" i="11" s="1"/>
  <c r="AH62" i="11"/>
  <c r="AH63" i="11"/>
  <c r="R22" i="11" s="1"/>
  <c r="AF22" i="11" s="1"/>
  <c r="AH64" i="11"/>
  <c r="R18" i="11" s="1"/>
  <c r="AF18" i="11" s="1"/>
  <c r="AY9" i="11" s="1"/>
  <c r="AG65" i="11"/>
  <c r="Q11" i="11" s="1"/>
  <c r="AE11" i="11" s="1"/>
  <c r="AG67" i="11"/>
  <c r="Q13" i="11" s="1"/>
  <c r="AE13" i="11" s="1"/>
  <c r="AE69" i="11"/>
  <c r="O20" i="11" s="1"/>
  <c r="AI69" i="11"/>
  <c r="S20" i="11" s="1"/>
  <c r="AG20" i="11" s="1"/>
  <c r="AM69" i="11"/>
  <c r="W20" i="11" s="1"/>
  <c r="AK20" i="11" s="1"/>
  <c r="AH70" i="11"/>
  <c r="R25" i="11" s="1"/>
  <c r="AF25" i="11" s="1"/>
  <c r="AL70" i="11"/>
  <c r="V25" i="11" s="1"/>
  <c r="AJ25" i="11" s="1"/>
  <c r="AG71" i="11"/>
  <c r="Q21" i="11" s="1"/>
  <c r="AE21" i="11" s="1"/>
  <c r="AK71" i="11"/>
  <c r="U21" i="11" s="1"/>
  <c r="AI21" i="11" s="1"/>
  <c r="AO71" i="11"/>
  <c r="Y21" i="11" s="1"/>
  <c r="AM21" i="11" s="1"/>
  <c r="AG72" i="11"/>
  <c r="Q26" i="11" s="1"/>
  <c r="AE26" i="11" s="1"/>
  <c r="AK72" i="11"/>
  <c r="U26" i="11" s="1"/>
  <c r="AI26" i="11" s="1"/>
  <c r="AO72" i="11"/>
  <c r="Y26" i="11" s="1"/>
  <c r="AM26" i="11" s="1"/>
  <c r="AG73" i="11"/>
  <c r="Q27" i="11" s="1"/>
  <c r="AE27" i="11" s="1"/>
  <c r="AK73" i="11"/>
  <c r="U27" i="11" s="1"/>
  <c r="AI27" i="11" s="1"/>
  <c r="AO73" i="11"/>
  <c r="Y27" i="11" s="1"/>
  <c r="AM27" i="11" s="1"/>
  <c r="AG74" i="11"/>
  <c r="Q28" i="11" s="1"/>
  <c r="AE28" i="11" s="1"/>
  <c r="AK74" i="11"/>
  <c r="U28" i="11" s="1"/>
  <c r="AI28" i="11" s="1"/>
  <c r="N119" i="11"/>
  <c r="N146" i="11" s="1"/>
  <c r="N121" i="11"/>
  <c r="N148" i="11" s="1"/>
  <c r="N131" i="11"/>
  <c r="N158" i="11" s="1"/>
  <c r="V131" i="11"/>
  <c r="V158" i="11" s="1"/>
  <c r="N133" i="11"/>
  <c r="N160" i="11" s="1"/>
  <c r="R133" i="11"/>
  <c r="R160" i="11" s="1"/>
  <c r="V133" i="11"/>
  <c r="V160" i="11" s="1"/>
  <c r="N135" i="11"/>
  <c r="N162" i="11" s="1"/>
  <c r="R135" i="11"/>
  <c r="R162" i="11" s="1"/>
  <c r="V135" i="11"/>
  <c r="V162" i="11" s="1"/>
  <c r="Z135" i="11"/>
  <c r="Z162" i="11" s="1"/>
  <c r="N137" i="11"/>
  <c r="R137" i="11"/>
  <c r="V137" i="11"/>
  <c r="Z137" i="11"/>
  <c r="P165" i="11"/>
  <c r="T165" i="11"/>
  <c r="X165" i="11"/>
  <c r="N139" i="11"/>
  <c r="R139" i="11"/>
  <c r="V139" i="11"/>
  <c r="O137" i="11"/>
  <c r="S139" i="11"/>
  <c r="Z5" i="12"/>
  <c r="AC5" i="12" s="1"/>
  <c r="AF5" i="12" s="1"/>
  <c r="N35" i="12"/>
  <c r="Z35" i="12" s="1"/>
  <c r="O67" i="12" s="1"/>
  <c r="AD67" i="12" s="1"/>
  <c r="AB7" i="12"/>
  <c r="AE7" i="12" s="1"/>
  <c r="AB9" i="12"/>
  <c r="AE9" i="12" s="1"/>
  <c r="Z74" i="12"/>
  <c r="AG74" i="12"/>
  <c r="Y74" i="12"/>
  <c r="X74" i="12"/>
  <c r="P74" i="12"/>
  <c r="W74" i="12"/>
  <c r="AB14" i="12"/>
  <c r="AE14" i="12" s="1"/>
  <c r="X85" i="12"/>
  <c r="P85" i="12"/>
  <c r="W85" i="12"/>
  <c r="Z85" i="12"/>
  <c r="Y85" i="12"/>
  <c r="AG85" i="12"/>
  <c r="Q68" i="12"/>
  <c r="AC68" i="12" s="1"/>
  <c r="AE69" i="12"/>
  <c r="Q72" i="12"/>
  <c r="AC72" i="12" s="1"/>
  <c r="Q73" i="12"/>
  <c r="AC73" i="12" s="1"/>
  <c r="Q75" i="12"/>
  <c r="Q76" i="12"/>
  <c r="AC76" i="12" s="1"/>
  <c r="Q77" i="12"/>
  <c r="P46" i="12"/>
  <c r="Q78" i="12"/>
  <c r="AC78" i="12" s="1"/>
  <c r="Q79" i="12"/>
  <c r="P48" i="12"/>
  <c r="Q80" i="12"/>
  <c r="Q81" i="12"/>
  <c r="AC81" i="12" s="1"/>
  <c r="AH83" i="12"/>
  <c r="AE85" i="12"/>
  <c r="AH85" i="12"/>
  <c r="Z88" i="12"/>
  <c r="AG88" i="12"/>
  <c r="Y88" i="12"/>
  <c r="X88" i="12"/>
  <c r="P88" i="12"/>
  <c r="W88" i="12"/>
  <c r="W89" i="12"/>
  <c r="Z89" i="12"/>
  <c r="Y89" i="12"/>
  <c r="X89" i="12"/>
  <c r="P89" i="12"/>
  <c r="AA69" i="12"/>
  <c r="AH74" i="11"/>
  <c r="R28" i="11" s="1"/>
  <c r="AF28" i="11" s="1"/>
  <c r="AL74" i="11"/>
  <c r="V28" i="11" s="1"/>
  <c r="AJ28" i="11" s="1"/>
  <c r="P122" i="11"/>
  <c r="P149" i="11" s="1"/>
  <c r="T122" i="11"/>
  <c r="T149" i="11" s="1"/>
  <c r="N123" i="11"/>
  <c r="N150" i="11" s="1"/>
  <c r="R123" i="11"/>
  <c r="R150" i="11" s="1"/>
  <c r="V123" i="11"/>
  <c r="V150" i="11" s="1"/>
  <c r="Z123" i="11"/>
  <c r="Z150" i="11" s="1"/>
  <c r="P124" i="11"/>
  <c r="P151" i="11" s="1"/>
  <c r="T124" i="11"/>
  <c r="T151" i="11" s="1"/>
  <c r="N125" i="11"/>
  <c r="N152" i="11" s="1"/>
  <c r="R125" i="11"/>
  <c r="R152" i="11" s="1"/>
  <c r="V125" i="11"/>
  <c r="V152" i="11" s="1"/>
  <c r="Z125" i="11"/>
  <c r="Z152" i="11" s="1"/>
  <c r="P126" i="11"/>
  <c r="P153" i="11" s="1"/>
  <c r="T126" i="11"/>
  <c r="T153" i="11" s="1"/>
  <c r="N127" i="11"/>
  <c r="N154" i="11" s="1"/>
  <c r="R127" i="11"/>
  <c r="R154" i="11" s="1"/>
  <c r="V127" i="11"/>
  <c r="V154" i="11" s="1"/>
  <c r="P128" i="11"/>
  <c r="P155" i="11" s="1"/>
  <c r="T128" i="11"/>
  <c r="T155" i="11" s="1"/>
  <c r="M135" i="11"/>
  <c r="M139" i="11"/>
  <c r="M166" i="11" s="1"/>
  <c r="N37" i="12"/>
  <c r="Z37" i="12" s="1"/>
  <c r="O69" i="12" s="1"/>
  <c r="AF69" i="12" s="1"/>
  <c r="L50" i="15" s="1"/>
  <c r="Z7" i="12"/>
  <c r="AC7" i="12" s="1"/>
  <c r="AF7" i="12" s="1"/>
  <c r="Z9" i="12"/>
  <c r="AC9" i="12" s="1"/>
  <c r="AF9" i="12" s="1"/>
  <c r="N39" i="12"/>
  <c r="Z39" i="12" s="1"/>
  <c r="O71" i="12" s="1"/>
  <c r="AF71" i="12" s="1"/>
  <c r="AB22" i="12"/>
  <c r="AE22" i="12" s="1"/>
  <c r="AB24" i="12"/>
  <c r="AE24" i="12" s="1"/>
  <c r="T61" i="12"/>
  <c r="AE68" i="12"/>
  <c r="Q71" i="12"/>
  <c r="AC71" i="12" s="1"/>
  <c r="AE72" i="12"/>
  <c r="AH72" i="12"/>
  <c r="AH75" i="12"/>
  <c r="AE76" i="12"/>
  <c r="AH76" i="12"/>
  <c r="AE79" i="12"/>
  <c r="AH79" i="12"/>
  <c r="AE81" i="12"/>
  <c r="AH81" i="12"/>
  <c r="AH82" i="12"/>
  <c r="P70" i="12"/>
  <c r="AG69" i="11"/>
  <c r="Q20" i="11" s="1"/>
  <c r="AE20" i="11" s="1"/>
  <c r="AK69" i="11"/>
  <c r="U20" i="11" s="1"/>
  <c r="AI20" i="11" s="1"/>
  <c r="AF70" i="11"/>
  <c r="P25" i="11" s="1"/>
  <c r="AD25" i="11" s="1"/>
  <c r="AJ70" i="11"/>
  <c r="T25" i="11" s="1"/>
  <c r="AH25" i="11" s="1"/>
  <c r="AE71" i="11"/>
  <c r="O21" i="11" s="1"/>
  <c r="AI71" i="11"/>
  <c r="S21" i="11" s="1"/>
  <c r="AG21" i="11" s="1"/>
  <c r="AZ10" i="11" s="1"/>
  <c r="AM71" i="11"/>
  <c r="W21" i="11" s="1"/>
  <c r="AK21" i="11" s="1"/>
  <c r="AE72" i="11"/>
  <c r="O26" i="11" s="1"/>
  <c r="AI72" i="11"/>
  <c r="S26" i="11" s="1"/>
  <c r="AG26" i="11" s="1"/>
  <c r="AM72" i="11"/>
  <c r="W26" i="11" s="1"/>
  <c r="AK26" i="11" s="1"/>
  <c r="AE73" i="11"/>
  <c r="O27" i="11" s="1"/>
  <c r="AI73" i="11"/>
  <c r="S27" i="11" s="1"/>
  <c r="AG27" i="11" s="1"/>
  <c r="AE74" i="11"/>
  <c r="O28" i="11" s="1"/>
  <c r="AI74" i="11"/>
  <c r="S28" i="11" s="1"/>
  <c r="AG28" i="11" s="1"/>
  <c r="P135" i="11"/>
  <c r="P162" i="11" s="1"/>
  <c r="T135" i="11"/>
  <c r="T162" i="11" s="1"/>
  <c r="X135" i="11"/>
  <c r="X162" i="11" s="1"/>
  <c r="P137" i="11"/>
  <c r="T137" i="11"/>
  <c r="X137" i="11"/>
  <c r="N165" i="11"/>
  <c r="R165" i="11"/>
  <c r="V165" i="11"/>
  <c r="P139" i="11"/>
  <c r="T139" i="11"/>
  <c r="Z36" i="12"/>
  <c r="O68" i="12" s="1"/>
  <c r="N52" i="12"/>
  <c r="Z52" i="12" s="1"/>
  <c r="O84" i="12" s="1"/>
  <c r="Z22" i="12"/>
  <c r="AC22" i="12" s="1"/>
  <c r="AF22" i="12" s="1"/>
  <c r="N54" i="12"/>
  <c r="Z54" i="12" s="1"/>
  <c r="O86" i="12" s="1"/>
  <c r="AD86" i="12" s="1"/>
  <c r="AE86" i="12" s="1"/>
  <c r="Z24" i="12"/>
  <c r="AC24" i="12" s="1"/>
  <c r="AF24" i="12" s="1"/>
  <c r="AE67" i="12"/>
  <c r="AH67" i="12"/>
  <c r="AH71" i="12"/>
  <c r="AH74" i="12"/>
  <c r="AE74" i="12"/>
  <c r="S105" i="12"/>
  <c r="Q89" i="12"/>
  <c r="AC89" i="12" s="1"/>
  <c r="AA68" i="12"/>
  <c r="AA70" i="12"/>
  <c r="AA86" i="12"/>
  <c r="P38" i="12"/>
  <c r="AE73" i="12"/>
  <c r="AH73" i="12"/>
  <c r="AH78" i="12"/>
  <c r="Q84" i="12"/>
  <c r="AC84" i="12" s="1"/>
  <c r="Q86" i="12"/>
  <c r="AC86" i="12" s="1"/>
  <c r="AE89" i="12"/>
  <c r="AH89" i="12"/>
  <c r="R67" i="12"/>
  <c r="AH80" i="12"/>
  <c r="AH86" i="12"/>
  <c r="R105" i="12"/>
  <c r="V105" i="12"/>
  <c r="Q87" i="12"/>
  <c r="Q105" i="12" s="1"/>
  <c r="AB23" i="12"/>
  <c r="AE23" i="12" s="1"/>
  <c r="AA72" i="12"/>
  <c r="Q74" i="12"/>
  <c r="AC74" i="12" s="1"/>
  <c r="AH77" i="12"/>
  <c r="Q83" i="12"/>
  <c r="N105" i="12"/>
  <c r="AH87" i="12"/>
  <c r="Q88" i="12"/>
  <c r="AC88" i="12" s="1"/>
  <c r="BH20" i="13"/>
  <c r="BH19" i="13"/>
  <c r="BH18" i="13"/>
  <c r="O93" i="13" a="1"/>
  <c r="S11" i="13"/>
  <c r="L143" i="12"/>
  <c r="BH22" i="13"/>
  <c r="BH21" i="13"/>
  <c r="BH23" i="13"/>
  <c r="BD17" i="13"/>
  <c r="DB30" i="13" s="1"/>
  <c r="CJ16" i="13"/>
  <c r="DB32" i="13"/>
  <c r="BD23" i="13"/>
  <c r="U122" i="12"/>
  <c r="U124" i="12"/>
  <c r="U126" i="12"/>
  <c r="S21" i="13"/>
  <c r="J142" i="12"/>
  <c r="M143" i="12"/>
  <c r="K145" i="12"/>
  <c r="J146" i="12"/>
  <c r="M147" i="12"/>
  <c r="L155" i="12"/>
  <c r="L182" i="12" s="1"/>
  <c r="L192" i="12" s="1"/>
  <c r="L207" i="12" s="1"/>
  <c r="L219" i="12" s="1"/>
  <c r="L156" i="12"/>
  <c r="L183" i="12" s="1"/>
  <c r="L193" i="12" s="1"/>
  <c r="L208" i="12" s="1"/>
  <c r="L220" i="12" s="1"/>
  <c r="K158" i="12"/>
  <c r="K185" i="12" s="1"/>
  <c r="K195" i="12" s="1"/>
  <c r="K210" i="12" s="1"/>
  <c r="K222" i="12" s="1"/>
  <c r="M159" i="12"/>
  <c r="M186" i="12" s="1"/>
  <c r="M196" i="12" s="1"/>
  <c r="M211" i="12" s="1"/>
  <c r="M223" i="12" s="1"/>
  <c r="BH17" i="13"/>
  <c r="BH16" i="13"/>
  <c r="BH15" i="13"/>
  <c r="DP12" i="13"/>
  <c r="DP9" i="13"/>
  <c r="DP11" i="13"/>
  <c r="DP14" i="13"/>
  <c r="DP13" i="13"/>
  <c r="DP10" i="13"/>
  <c r="S9" i="13"/>
  <c r="S13" i="13"/>
  <c r="S17" i="13"/>
  <c r="U127" i="12"/>
  <c r="K142" i="12"/>
  <c r="L145" i="12"/>
  <c r="K146" i="12"/>
  <c r="M156" i="12"/>
  <c r="M183" i="12" s="1"/>
  <c r="M193" i="12" s="1"/>
  <c r="M208" i="12" s="1"/>
  <c r="M220" i="12" s="1"/>
  <c r="J159" i="12"/>
  <c r="J186" i="12" s="1"/>
  <c r="J196" i="12" s="1"/>
  <c r="J211" i="12" s="1"/>
  <c r="J223" i="12" s="1"/>
  <c r="AY11" i="13"/>
  <c r="AE208" i="12"/>
  <c r="AY21" i="13" a="1"/>
  <c r="N19" i="13"/>
  <c r="N15" i="13"/>
  <c r="N11" i="13"/>
  <c r="N18" i="13"/>
  <c r="N13" i="13"/>
  <c r="N9" i="13"/>
  <c r="N22" i="13"/>
  <c r="N17" i="13"/>
  <c r="N12" i="13"/>
  <c r="N21" i="13"/>
  <c r="N16" i="13"/>
  <c r="N10" i="13"/>
  <c r="AS9" i="13"/>
  <c r="AS11" i="13"/>
  <c r="AS10" i="13"/>
  <c r="U121" i="12"/>
  <c r="U123" i="12"/>
  <c r="U125" i="12"/>
  <c r="M145" i="12"/>
  <c r="L146" i="12"/>
  <c r="K147" i="12"/>
  <c r="BH11" i="13"/>
  <c r="AE220" i="12"/>
  <c r="N14" i="13"/>
  <c r="AT30" i="13"/>
  <c r="AO52" i="13"/>
  <c r="BD11" i="13"/>
  <c r="BD10" i="13"/>
  <c r="BH14" i="13"/>
  <c r="BH13" i="13"/>
  <c r="BH12" i="13"/>
  <c r="N198" i="12"/>
  <c r="CN28" i="13" s="1"/>
  <c r="BH24" i="13"/>
  <c r="BH26" i="13"/>
  <c r="BH25" i="13"/>
  <c r="AV11" i="13"/>
  <c r="AV10" i="13"/>
  <c r="CM32" i="13"/>
  <c r="CM29" i="13"/>
  <c r="CM31" i="13"/>
  <c r="CM30" i="13"/>
  <c r="CM33" i="13"/>
  <c r="CM28" i="13"/>
  <c r="CM27" i="13"/>
  <c r="CM24" i="13"/>
  <c r="CM26" i="13"/>
  <c r="CM25" i="13"/>
  <c r="DR12" i="13"/>
  <c r="DR9" i="13"/>
  <c r="DR11" i="13"/>
  <c r="CB14" i="13" s="1"/>
  <c r="BE17" i="13"/>
  <c r="BE16" i="13"/>
  <c r="BE15" i="13"/>
  <c r="DB31" i="13"/>
  <c r="BD20" i="13"/>
  <c r="CJ18" i="13" s="1"/>
  <c r="N195" i="12"/>
  <c r="CN25" i="13" s="1"/>
  <c r="CN29" i="13" s="1" a="1"/>
  <c r="AP12" i="13"/>
  <c r="AP9" i="13"/>
  <c r="AP14" i="13"/>
  <c r="DR10" i="13"/>
  <c r="CB12" i="13" s="1"/>
  <c r="CB10" i="13" s="1"/>
  <c r="CJ14" i="13"/>
  <c r="DB29" i="13"/>
  <c r="AV23" i="13"/>
  <c r="AV22" i="13"/>
  <c r="AV21" i="13"/>
  <c r="AY24" i="13" a="1"/>
  <c r="AY12" i="13" a="1"/>
  <c r="AY15" i="13" a="1"/>
  <c r="AY18" i="13" a="1"/>
  <c r="AO48" i="13"/>
  <c r="AT29" i="13"/>
  <c r="AO69" i="13"/>
  <c r="AT21" i="13"/>
  <c r="BB11" i="13"/>
  <c r="BB10" i="13"/>
  <c r="DR13" i="13"/>
  <c r="CB16" i="13" s="1"/>
  <c r="AU10" i="13"/>
  <c r="AU11" i="13" s="1"/>
  <c r="BE14" i="13"/>
  <c r="BE13" i="13"/>
  <c r="BE12" i="13"/>
  <c r="AT15" i="13"/>
  <c r="BE20" i="13"/>
  <c r="BE19" i="13"/>
  <c r="BE18" i="13"/>
  <c r="AS16" i="13"/>
  <c r="AS20" i="13"/>
  <c r="BE21" i="13"/>
  <c r="O17" i="15"/>
  <c r="J36" i="15" a="1"/>
  <c r="DK9" i="13"/>
  <c r="DK22" i="13" s="1"/>
  <c r="DK12" i="13"/>
  <c r="DK25" i="13" s="1"/>
  <c r="DU9" i="13"/>
  <c r="DU12" i="13"/>
  <c r="DW9" i="13"/>
  <c r="CT26" i="13" s="1"/>
  <c r="DW12" i="13"/>
  <c r="CT30" i="13" s="1"/>
  <c r="AS14" i="13"/>
  <c r="AS18" i="13"/>
  <c r="AS22" i="13"/>
  <c r="BB12" i="13"/>
  <c r="BB15" i="13"/>
  <c r="BB19" i="13"/>
  <c r="BB23" i="13"/>
  <c r="AV17" i="13"/>
  <c r="AV20" i="13"/>
  <c r="BE23" i="13"/>
  <c r="AP29" i="13"/>
  <c r="AP25" i="13"/>
  <c r="AP28" i="13"/>
  <c r="AS12" i="13"/>
  <c r="AS15" i="13"/>
  <c r="AS19" i="13"/>
  <c r="BB16" i="13"/>
  <c r="AT13" i="13" l="1"/>
  <c r="AQ43" i="13"/>
  <c r="AT10" i="13"/>
  <c r="Y9" i="13" a="1"/>
  <c r="Y9" i="13" s="1"/>
  <c r="BG9" i="13" a="1"/>
  <c r="BG14" i="13" s="1"/>
  <c r="DU22" i="13" a="1"/>
  <c r="AQ48" i="13"/>
  <c r="U166" i="11"/>
  <c r="Q166" i="11"/>
  <c r="O166" i="11"/>
  <c r="AE12" i="13"/>
  <c r="AI14" i="13" s="1"/>
  <c r="AE9" i="13"/>
  <c r="AE15" i="13"/>
  <c r="AI20" i="13" s="1"/>
  <c r="AE10" i="13"/>
  <c r="AI10" i="13" s="1"/>
  <c r="AE14" i="13"/>
  <c r="AI18" i="13" s="1"/>
  <c r="AE13" i="13"/>
  <c r="AI16" i="13" s="1"/>
  <c r="AE11" i="13"/>
  <c r="AI12" i="13" s="1"/>
  <c r="AL40" i="1"/>
  <c r="AL36" i="1"/>
  <c r="AL39" i="1"/>
  <c r="AL35" i="1"/>
  <c r="AL32" i="1"/>
  <c r="AL37" i="1"/>
  <c r="AL33" i="1"/>
  <c r="AL38" i="1"/>
  <c r="AL34" i="1"/>
  <c r="AB10" i="11"/>
  <c r="AC10" i="11"/>
  <c r="AP10" i="11" s="1"/>
  <c r="AF12" i="13"/>
  <c r="AF9" i="13"/>
  <c r="AF13" i="13"/>
  <c r="AF11" i="13"/>
  <c r="AF15" i="13"/>
  <c r="AF10" i="13"/>
  <c r="AF14" i="13"/>
  <c r="AO12" i="13"/>
  <c r="BR12" i="13" s="1"/>
  <c r="AO9" i="13"/>
  <c r="BR9" i="13" s="1"/>
  <c r="AO13" i="13"/>
  <c r="BR13" i="13" s="1"/>
  <c r="AO11" i="13"/>
  <c r="BR11" i="13" s="1"/>
  <c r="AO15" i="13"/>
  <c r="BR15" i="13" s="1"/>
  <c r="AO10" i="13"/>
  <c r="BR10" i="13" s="1"/>
  <c r="AO14" i="13"/>
  <c r="BR14" i="13" s="1"/>
  <c r="U31" i="13"/>
  <c r="U27" i="13"/>
  <c r="U30" i="13"/>
  <c r="U26" i="13"/>
  <c r="U29" i="13"/>
  <c r="U25" i="13"/>
  <c r="U28" i="13"/>
  <c r="CN30" i="13"/>
  <c r="CN33" i="13"/>
  <c r="CN32" i="13"/>
  <c r="CN29" i="13"/>
  <c r="CN31" i="13"/>
  <c r="DE14" i="13"/>
  <c r="DE10" i="13"/>
  <c r="DE13" i="13"/>
  <c r="DE11" i="13"/>
  <c r="DE9" i="13"/>
  <c r="DE15" i="13"/>
  <c r="DE12" i="13"/>
  <c r="BG18" i="13"/>
  <c r="BG10" i="13"/>
  <c r="BG17" i="13"/>
  <c r="BG20" i="13"/>
  <c r="BG19" i="13"/>
  <c r="BG16" i="13"/>
  <c r="BG23" i="13"/>
  <c r="AC19" i="11"/>
  <c r="AB19" i="11"/>
  <c r="AN26" i="13"/>
  <c r="AN22" i="13"/>
  <c r="AN18" i="13"/>
  <c r="AN14" i="13"/>
  <c r="AN10" i="13"/>
  <c r="AN29" i="13"/>
  <c r="AN24" i="13"/>
  <c r="AN19" i="13"/>
  <c r="AN13" i="13"/>
  <c r="AN9" i="13"/>
  <c r="AN28" i="13"/>
  <c r="AN23" i="13"/>
  <c r="AN17" i="13"/>
  <c r="AN12" i="13"/>
  <c r="AN27" i="13"/>
  <c r="AN21" i="13"/>
  <c r="AN16" i="13"/>
  <c r="AN11" i="13"/>
  <c r="AN25" i="13"/>
  <c r="AN20" i="13"/>
  <c r="AN15" i="13"/>
  <c r="AQ64" i="13"/>
  <c r="AT19" i="13"/>
  <c r="DP22" i="13" a="1"/>
  <c r="O105" i="13"/>
  <c r="O101" i="13"/>
  <c r="O97" i="13"/>
  <c r="O104" i="13"/>
  <c r="O100" i="13"/>
  <c r="O96" i="13"/>
  <c r="O93" i="13"/>
  <c r="O103" i="13"/>
  <c r="O99" i="13"/>
  <c r="O95" i="13"/>
  <c r="O102" i="13"/>
  <c r="O98" i="13"/>
  <c r="O94" i="13"/>
  <c r="O106" i="13"/>
  <c r="BI86" i="12"/>
  <c r="BE86" i="12"/>
  <c r="BA86" i="12"/>
  <c r="AW86" i="12"/>
  <c r="BH86" i="12"/>
  <c r="BD86" i="12"/>
  <c r="AZ86" i="12"/>
  <c r="BG86" i="12"/>
  <c r="BC86" i="12"/>
  <c r="AY86" i="12"/>
  <c r="BJ86" i="12"/>
  <c r="BF86" i="12"/>
  <c r="BB86" i="12"/>
  <c r="AX86" i="12"/>
  <c r="BA8" i="11"/>
  <c r="AB11" i="11"/>
  <c r="AQ70" i="13"/>
  <c r="AQ53" i="13"/>
  <c r="AQ57" i="13"/>
  <c r="AQ61" i="13"/>
  <c r="AQ49" i="13"/>
  <c r="AQ65" i="13"/>
  <c r="J163" i="3"/>
  <c r="K163" i="3"/>
  <c r="V13" i="13"/>
  <c r="V11" i="13"/>
  <c r="V15" i="13"/>
  <c r="V10" i="13"/>
  <c r="V14" i="13"/>
  <c r="V9" i="13"/>
  <c r="V12" i="13"/>
  <c r="AO61" i="13"/>
  <c r="AO65" i="13"/>
  <c r="AO49" i="13"/>
  <c r="AO70" i="13"/>
  <c r="AO53" i="13"/>
  <c r="AO57" i="13"/>
  <c r="F133" i="3"/>
  <c r="E52" i="3"/>
  <c r="F13" i="3" s="1"/>
  <c r="K133" i="3"/>
  <c r="AX9" i="13" a="1"/>
  <c r="BI89" i="12"/>
  <c r="BE89" i="12"/>
  <c r="BA89" i="12"/>
  <c r="AW89" i="12"/>
  <c r="BH89" i="12"/>
  <c r="BD89" i="12"/>
  <c r="AZ89" i="12"/>
  <c r="BG89" i="12"/>
  <c r="BC89" i="12"/>
  <c r="AY89" i="12"/>
  <c r="BB89" i="12"/>
  <c r="AX89" i="12"/>
  <c r="BJ89" i="12"/>
  <c r="BF89" i="12"/>
  <c r="BJ78" i="12"/>
  <c r="BF78" i="12"/>
  <c r="BB78" i="12"/>
  <c r="AX78" i="12"/>
  <c r="BI78" i="12"/>
  <c r="BE78" i="12"/>
  <c r="BA78" i="12"/>
  <c r="AW78" i="12"/>
  <c r="BH78" i="12"/>
  <c r="BD78" i="12"/>
  <c r="AZ78" i="12"/>
  <c r="BG78" i="12"/>
  <c r="BC78" i="12"/>
  <c r="AY78" i="12"/>
  <c r="BH74" i="12"/>
  <c r="BD74" i="12"/>
  <c r="AZ74" i="12"/>
  <c r="BG74" i="12"/>
  <c r="BC74" i="12"/>
  <c r="AY74" i="12"/>
  <c r="BF74" i="12"/>
  <c r="AX74" i="12"/>
  <c r="BE74" i="12"/>
  <c r="AW74" i="12"/>
  <c r="BJ74" i="12"/>
  <c r="BB74" i="12"/>
  <c r="BI74" i="12"/>
  <c r="BA74" i="12"/>
  <c r="Z84" i="12"/>
  <c r="AG84" i="12"/>
  <c r="Y84" i="12"/>
  <c r="X84" i="12"/>
  <c r="P84" i="12"/>
  <c r="W84" i="12"/>
  <c r="T164" i="11"/>
  <c r="AC27" i="11"/>
  <c r="AP27" i="11" s="1"/>
  <c r="AB27" i="11"/>
  <c r="BG82" i="12"/>
  <c r="BC82" i="12"/>
  <c r="AY82" i="12"/>
  <c r="BJ82" i="12"/>
  <c r="BF82" i="12"/>
  <c r="BB82" i="12"/>
  <c r="AX82" i="12"/>
  <c r="BI82" i="12"/>
  <c r="BE82" i="12"/>
  <c r="BA82" i="12"/>
  <c r="AW82" i="12"/>
  <c r="BH82" i="12"/>
  <c r="BD82" i="12"/>
  <c r="AZ82" i="12"/>
  <c r="BG79" i="12"/>
  <c r="BC79" i="12"/>
  <c r="AY79" i="12"/>
  <c r="BJ79" i="12"/>
  <c r="BF79" i="12"/>
  <c r="BB79" i="12"/>
  <c r="AX79" i="12"/>
  <c r="BI79" i="12"/>
  <c r="BE79" i="12"/>
  <c r="BA79" i="12"/>
  <c r="AW79" i="12"/>
  <c r="BH79" i="12"/>
  <c r="BD79" i="12"/>
  <c r="AZ79" i="12"/>
  <c r="BI75" i="12"/>
  <c r="BE75" i="12"/>
  <c r="BA75" i="12"/>
  <c r="AW75" i="12"/>
  <c r="BH75" i="12"/>
  <c r="BD75" i="12"/>
  <c r="AZ75" i="12"/>
  <c r="BG75" i="12"/>
  <c r="AY75" i="12"/>
  <c r="BF75" i="12"/>
  <c r="AX75" i="12"/>
  <c r="BC75" i="12"/>
  <c r="BJ75" i="12"/>
  <c r="BB75" i="12"/>
  <c r="V166" i="11"/>
  <c r="R164" i="11"/>
  <c r="AC20" i="11"/>
  <c r="AP20" i="11" s="1"/>
  <c r="AB20" i="11"/>
  <c r="W75" i="12"/>
  <c r="Z75" i="12"/>
  <c r="AG75" i="12"/>
  <c r="Y75" i="12"/>
  <c r="X75" i="12"/>
  <c r="P75" i="12"/>
  <c r="AC14" i="11"/>
  <c r="BB10" i="11"/>
  <c r="AC7" i="11"/>
  <c r="AB7" i="11"/>
  <c r="X131" i="9"/>
  <c r="X132" i="9" s="1"/>
  <c r="Q133" i="9"/>
  <c r="W105" i="12"/>
  <c r="Z105" i="12"/>
  <c r="Y105" i="12"/>
  <c r="X105" i="12"/>
  <c r="P105" i="12"/>
  <c r="R17" i="11"/>
  <c r="AF17" i="11" s="1"/>
  <c r="AU10" i="11"/>
  <c r="AN44" i="13"/>
  <c r="V25" i="13" a="1"/>
  <c r="I63" i="11"/>
  <c r="H62" i="10"/>
  <c r="AV8" i="11"/>
  <c r="AP13" i="11"/>
  <c r="I47" i="11"/>
  <c r="AP65" i="13"/>
  <c r="AP49" i="13"/>
  <c r="AP70" i="13"/>
  <c r="AP53" i="13"/>
  <c r="AP57" i="13"/>
  <c r="AP61" i="13"/>
  <c r="I41" i="11"/>
  <c r="I62" i="11"/>
  <c r="G83" i="11"/>
  <c r="L53" i="11"/>
  <c r="H117" i="3"/>
  <c r="I117" i="3"/>
  <c r="I69" i="11"/>
  <c r="F124" i="3"/>
  <c r="E54" i="3"/>
  <c r="K124" i="3"/>
  <c r="I131" i="3"/>
  <c r="H131" i="3"/>
  <c r="J131" i="3" s="1"/>
  <c r="F26" i="6"/>
  <c r="AC105" i="12"/>
  <c r="P166" i="11"/>
  <c r="AC26" i="11"/>
  <c r="AP26" i="11" s="1"/>
  <c r="AB26" i="11"/>
  <c r="X67" i="12"/>
  <c r="P67" i="12"/>
  <c r="W67" i="12"/>
  <c r="Z67" i="12"/>
  <c r="Y67" i="12"/>
  <c r="V164" i="11"/>
  <c r="BH88" i="12"/>
  <c r="BD88" i="12"/>
  <c r="AZ88" i="12"/>
  <c r="BG88" i="12"/>
  <c r="BC88" i="12"/>
  <c r="AY88" i="12"/>
  <c r="BJ88" i="12"/>
  <c r="BF88" i="12"/>
  <c r="BB88" i="12"/>
  <c r="AX88" i="12"/>
  <c r="BI88" i="12"/>
  <c r="BE88" i="12"/>
  <c r="BA88" i="12"/>
  <c r="AW88" i="12"/>
  <c r="BI70" i="12"/>
  <c r="BE70" i="12"/>
  <c r="BA70" i="12"/>
  <c r="AW70" i="12"/>
  <c r="BH70" i="12"/>
  <c r="BD70" i="12"/>
  <c r="AZ70" i="12"/>
  <c r="BG70" i="12"/>
  <c r="BC70" i="12"/>
  <c r="AY70" i="12"/>
  <c r="BJ70" i="12"/>
  <c r="BF70" i="12"/>
  <c r="BB70" i="12"/>
  <c r="AX70" i="12"/>
  <c r="BB8" i="11"/>
  <c r="AC17" i="11"/>
  <c r="AC24" i="11"/>
  <c r="AP24" i="11" s="1"/>
  <c r="AB24" i="11"/>
  <c r="AV106" i="12"/>
  <c r="AR106" i="12"/>
  <c r="AN106" i="12"/>
  <c r="AJ106" i="12"/>
  <c r="AB106" i="12"/>
  <c r="T106" i="12"/>
  <c r="AA106" i="12" s="1"/>
  <c r="P106" i="12"/>
  <c r="AG106" i="12" s="1"/>
  <c r="AU101" i="12"/>
  <c r="AQ101" i="12"/>
  <c r="AM101" i="12"/>
  <c r="AI101" i="12"/>
  <c r="S101" i="12"/>
  <c r="O101" i="12"/>
  <c r="AT100" i="12"/>
  <c r="AP100" i="12"/>
  <c r="AL100" i="12"/>
  <c r="AH100" i="12"/>
  <c r="V100" i="12"/>
  <c r="R100" i="12"/>
  <c r="AU106" i="12"/>
  <c r="AQ106" i="12"/>
  <c r="AM106" i="12"/>
  <c r="AI106" i="12"/>
  <c r="S106" i="12"/>
  <c r="O106" i="12"/>
  <c r="AT101" i="12"/>
  <c r="AP101" i="12"/>
  <c r="AL101" i="12"/>
  <c r="AH101" i="12"/>
  <c r="V101" i="12"/>
  <c r="R101" i="12"/>
  <c r="N101" i="12"/>
  <c r="AS100" i="12"/>
  <c r="AO100" i="12"/>
  <c r="AK100" i="12"/>
  <c r="U100" i="12"/>
  <c r="Q100" i="12"/>
  <c r="AT106" i="12"/>
  <c r="AP106" i="12"/>
  <c r="AL106" i="12"/>
  <c r="AH106" i="12"/>
  <c r="V106" i="12"/>
  <c r="R106" i="12"/>
  <c r="N106" i="12"/>
  <c r="AE106" i="12" s="1"/>
  <c r="AS101" i="12"/>
  <c r="AO101" i="12"/>
  <c r="AK101" i="12"/>
  <c r="U101" i="12"/>
  <c r="Q101" i="12"/>
  <c r="AV100" i="12"/>
  <c r="AR100" i="12"/>
  <c r="AN100" i="12"/>
  <c r="AJ100" i="12"/>
  <c r="AB100" i="12"/>
  <c r="T100" i="12"/>
  <c r="Q106" i="12"/>
  <c r="AJ101" i="12"/>
  <c r="T101" i="12"/>
  <c r="AI100" i="12"/>
  <c r="S100" i="12"/>
  <c r="AS106" i="12"/>
  <c r="AC106" i="12"/>
  <c r="AV101" i="12"/>
  <c r="AU100" i="12"/>
  <c r="AO106" i="12"/>
  <c r="AR101" i="12"/>
  <c r="AB101" i="12"/>
  <c r="AQ100" i="12"/>
  <c r="O100" i="12"/>
  <c r="N100" i="12"/>
  <c r="AK106" i="12"/>
  <c r="U106" i="12"/>
  <c r="AN101" i="12"/>
  <c r="AM100" i="12"/>
  <c r="K162" i="3"/>
  <c r="J162" i="3"/>
  <c r="AB13" i="11"/>
  <c r="Y12" i="13"/>
  <c r="Y15" i="13"/>
  <c r="AP16" i="11"/>
  <c r="J172" i="3"/>
  <c r="K172" i="3"/>
  <c r="F118" i="3"/>
  <c r="K118" i="3"/>
  <c r="K116" i="3" s="1"/>
  <c r="K134" i="3"/>
  <c r="E49" i="3"/>
  <c r="F10" i="3" s="1"/>
  <c r="P104" i="3"/>
  <c r="P105" i="3" s="1"/>
  <c r="P106" i="3" s="1"/>
  <c r="F134" i="3"/>
  <c r="AQ52" i="13"/>
  <c r="AT32" i="13"/>
  <c r="AY15" i="13"/>
  <c r="AY17" i="13"/>
  <c r="AY16" i="13"/>
  <c r="AQ69" i="13"/>
  <c r="AT22" i="13"/>
  <c r="BC29" i="13" a="1"/>
  <c r="AY12" i="13"/>
  <c r="AY13" i="13"/>
  <c r="AY14" i="13"/>
  <c r="AO64" i="13"/>
  <c r="AT18" i="13"/>
  <c r="U128" i="12"/>
  <c r="U129" i="12" s="1"/>
  <c r="AY23" i="13"/>
  <c r="AY22" i="13"/>
  <c r="AY21" i="13"/>
  <c r="BJ77" i="12"/>
  <c r="BI77" i="12"/>
  <c r="BE77" i="12"/>
  <c r="BA77" i="12"/>
  <c r="AW77" i="12"/>
  <c r="BH77" i="12"/>
  <c r="BD77" i="12"/>
  <c r="AZ77" i="12"/>
  <c r="BF77" i="12"/>
  <c r="AX77" i="12"/>
  <c r="BC77" i="12"/>
  <c r="BB77" i="12"/>
  <c r="BG77" i="12"/>
  <c r="AY77" i="12"/>
  <c r="AH84" i="12"/>
  <c r="AH104" i="12" s="1"/>
  <c r="W68" i="12"/>
  <c r="Z68" i="12"/>
  <c r="Y68" i="12"/>
  <c r="P68" i="12"/>
  <c r="X68" i="12"/>
  <c r="P164" i="11"/>
  <c r="AH68" i="12"/>
  <c r="AH99" i="12" s="1"/>
  <c r="W69" i="12"/>
  <c r="Z69" i="12"/>
  <c r="AG69" i="12"/>
  <c r="Y69" i="12"/>
  <c r="X69" i="12"/>
  <c r="P69" i="12"/>
  <c r="BH83" i="12"/>
  <c r="BD83" i="12"/>
  <c r="AZ83" i="12"/>
  <c r="BG83" i="12"/>
  <c r="BC83" i="12"/>
  <c r="AY83" i="12"/>
  <c r="BJ83" i="12"/>
  <c r="BF83" i="12"/>
  <c r="BB83" i="12"/>
  <c r="AX83" i="12"/>
  <c r="AW83" i="12"/>
  <c r="BI83" i="12"/>
  <c r="BE83" i="12"/>
  <c r="BA83" i="12"/>
  <c r="AH69" i="12"/>
  <c r="R166" i="11"/>
  <c r="N164" i="11"/>
  <c r="AX8" i="11"/>
  <c r="Q22" i="11"/>
  <c r="BB11" i="11"/>
  <c r="U9" i="11"/>
  <c r="AI9" i="11" s="1"/>
  <c r="BB7" i="11" s="1"/>
  <c r="BF11" i="11"/>
  <c r="BA11" i="11"/>
  <c r="Y9" i="11"/>
  <c r="AM9" i="11" s="1"/>
  <c r="BF7" i="11" s="1"/>
  <c r="AF67" i="12"/>
  <c r="AC9" i="11"/>
  <c r="Q15" i="11"/>
  <c r="AE15" i="11" s="1"/>
  <c r="AC87" i="12"/>
  <c r="AD84" i="12"/>
  <c r="AE84" i="12" s="1"/>
  <c r="AT108" i="12"/>
  <c r="AP108" i="12"/>
  <c r="AL108" i="12"/>
  <c r="AH108" i="12"/>
  <c r="V108" i="12"/>
  <c r="R108" i="12"/>
  <c r="N108" i="12"/>
  <c r="AE108" i="12" s="1"/>
  <c r="AS107" i="12"/>
  <c r="AO107" i="12"/>
  <c r="AK107" i="12"/>
  <c r="AC107" i="12"/>
  <c r="U107" i="12"/>
  <c r="Q107" i="12"/>
  <c r="AV102" i="12"/>
  <c r="AR102" i="12"/>
  <c r="AN102" i="12"/>
  <c r="AJ102" i="12"/>
  <c r="AB102" i="12"/>
  <c r="T102" i="12"/>
  <c r="AS108" i="12"/>
  <c r="AO108" i="12"/>
  <c r="AK108" i="12"/>
  <c r="AC108" i="12"/>
  <c r="U108" i="12"/>
  <c r="Q108" i="12"/>
  <c r="AV107" i="12"/>
  <c r="AR107" i="12"/>
  <c r="AN107" i="12"/>
  <c r="AJ107" i="12"/>
  <c r="AB107" i="12"/>
  <c r="T107" i="12"/>
  <c r="AA107" i="12" s="1"/>
  <c r="P107" i="12"/>
  <c r="AG107" i="12" s="1"/>
  <c r="AU102" i="12"/>
  <c r="AQ102" i="12"/>
  <c r="AM102" i="12"/>
  <c r="AI102" i="12"/>
  <c r="S102" i="12"/>
  <c r="O102" i="12"/>
  <c r="AV108" i="12"/>
  <c r="AR108" i="12"/>
  <c r="AN108" i="12"/>
  <c r="AJ108" i="12"/>
  <c r="AB108" i="12"/>
  <c r="T108" i="12"/>
  <c r="AA108" i="12" s="1"/>
  <c r="P108" i="12"/>
  <c r="AG108" i="12" s="1"/>
  <c r="AU107" i="12"/>
  <c r="AQ107" i="12"/>
  <c r="AM107" i="12"/>
  <c r="AI107" i="12"/>
  <c r="S107" i="12"/>
  <c r="O107" i="12"/>
  <c r="AT102" i="12"/>
  <c r="AP102" i="12"/>
  <c r="AL102" i="12"/>
  <c r="AH102" i="12"/>
  <c r="V102" i="12"/>
  <c r="R102" i="12"/>
  <c r="N102" i="12"/>
  <c r="AI108" i="12"/>
  <c r="S108" i="12"/>
  <c r="AH107" i="12"/>
  <c r="R107" i="12"/>
  <c r="AK102" i="12"/>
  <c r="U102" i="12"/>
  <c r="AU108" i="12"/>
  <c r="O108" i="12"/>
  <c r="AT107" i="12"/>
  <c r="N107" i="12"/>
  <c r="AE107" i="12" s="1"/>
  <c r="Q102" i="12"/>
  <c r="AQ108" i="12"/>
  <c r="AP107" i="12"/>
  <c r="AS102" i="12"/>
  <c r="AM108" i="12"/>
  <c r="AL107" i="12"/>
  <c r="V107" i="12"/>
  <c r="AO102" i="12"/>
  <c r="I70" i="11"/>
  <c r="H40" i="11"/>
  <c r="L40" i="11" s="1"/>
  <c r="I40" i="11"/>
  <c r="Q9" i="11"/>
  <c r="AE9" i="11" s="1"/>
  <c r="AX7" i="11" s="1"/>
  <c r="T14" i="11"/>
  <c r="AH14" i="11" s="1"/>
  <c r="H44" i="11"/>
  <c r="L44" i="11" s="1"/>
  <c r="Z76" i="11"/>
  <c r="V76" i="11"/>
  <c r="R76" i="11"/>
  <c r="Y76" i="11"/>
  <c r="U76" i="11"/>
  <c r="Q76" i="11"/>
  <c r="X76" i="11"/>
  <c r="T76" i="11"/>
  <c r="P76" i="11"/>
  <c r="W76" i="11"/>
  <c r="S76" i="11"/>
  <c r="N76" i="11"/>
  <c r="I39" i="11"/>
  <c r="H39" i="11"/>
  <c r="AF68" i="12"/>
  <c r="AG68" i="12" s="1"/>
  <c r="AV112" i="12"/>
  <c r="AU112" i="12"/>
  <c r="AQ112" i="12"/>
  <c r="AM112" i="12"/>
  <c r="AI112" i="12"/>
  <c r="S112" i="12"/>
  <c r="O112" i="12"/>
  <c r="AT111" i="12"/>
  <c r="AP111" i="12"/>
  <c r="AL111" i="12"/>
  <c r="AH111" i="12"/>
  <c r="V111" i="12"/>
  <c r="R111" i="12"/>
  <c r="N111" i="12"/>
  <c r="AE111" i="12" s="1"/>
  <c r="AT112" i="12"/>
  <c r="AP112" i="12"/>
  <c r="AL112" i="12"/>
  <c r="AH112" i="12"/>
  <c r="V112" i="12"/>
  <c r="R112" i="12"/>
  <c r="N112" i="12"/>
  <c r="AE112" i="12" s="1"/>
  <c r="AS111" i="12"/>
  <c r="AO111" i="12"/>
  <c r="AK111" i="12"/>
  <c r="AC111" i="12"/>
  <c r="U111" i="12"/>
  <c r="Q111" i="12"/>
  <c r="AS112" i="12"/>
  <c r="AO112" i="12"/>
  <c r="AK112" i="12"/>
  <c r="AC112" i="12"/>
  <c r="U112" i="12"/>
  <c r="Q112" i="12"/>
  <c r="AV111" i="12"/>
  <c r="AR111" i="12"/>
  <c r="AN111" i="12"/>
  <c r="AJ111" i="12"/>
  <c r="AB111" i="12"/>
  <c r="T111" i="12"/>
  <c r="AA111" i="12" s="1"/>
  <c r="P111" i="12"/>
  <c r="AG111" i="12" s="1"/>
  <c r="AN112" i="12"/>
  <c r="AM111" i="12"/>
  <c r="AT104" i="12"/>
  <c r="AP104" i="12"/>
  <c r="AL104" i="12"/>
  <c r="V104" i="12"/>
  <c r="R104" i="12"/>
  <c r="N104" i="12"/>
  <c r="AJ112" i="12"/>
  <c r="T112" i="12"/>
  <c r="AA112" i="12" s="1"/>
  <c r="AI111" i="12"/>
  <c r="S111" i="12"/>
  <c r="AS104" i="12"/>
  <c r="AO104" i="12"/>
  <c r="AK104" i="12"/>
  <c r="U104" i="12"/>
  <c r="Q104" i="12"/>
  <c r="P112" i="12"/>
  <c r="AG112" i="12" s="1"/>
  <c r="AU111" i="12"/>
  <c r="O111" i="12"/>
  <c r="AV104" i="12"/>
  <c r="AR104" i="12"/>
  <c r="AN104" i="12"/>
  <c r="AJ104" i="12"/>
  <c r="AB104" i="12"/>
  <c r="T104" i="12"/>
  <c r="AB112" i="12"/>
  <c r="AM104" i="12"/>
  <c r="AI104" i="12"/>
  <c r="S104" i="12"/>
  <c r="AU104" i="12"/>
  <c r="O104" i="12"/>
  <c r="AQ111" i="12"/>
  <c r="AQ104" i="12"/>
  <c r="AR112" i="12"/>
  <c r="I57" i="11"/>
  <c r="AW6" i="11"/>
  <c r="AC80" i="12"/>
  <c r="AF80" i="12"/>
  <c r="AG80" i="12" s="1"/>
  <c r="AD80" i="12"/>
  <c r="AE80" i="12" s="1"/>
  <c r="AP18" i="11"/>
  <c r="K166" i="3"/>
  <c r="G111" i="3"/>
  <c r="J166" i="3"/>
  <c r="K158" i="3"/>
  <c r="J158" i="3"/>
  <c r="B4" i="6" a="1"/>
  <c r="C8" i="5" a="1"/>
  <c r="AK32" i="1" a="1"/>
  <c r="G82" i="11"/>
  <c r="L52" i="11"/>
  <c r="AU8" i="11"/>
  <c r="J167" i="3"/>
  <c r="K167" i="3"/>
  <c r="K159" i="3"/>
  <c r="J159" i="3"/>
  <c r="I64" i="11"/>
  <c r="AP12" i="11"/>
  <c r="I45" i="11"/>
  <c r="J168" i="3"/>
  <c r="K168" i="3"/>
  <c r="J160" i="3"/>
  <c r="K160" i="3"/>
  <c r="K137" i="3"/>
  <c r="K135" i="3"/>
  <c r="K122" i="3"/>
  <c r="K121" i="3"/>
  <c r="H110" i="3"/>
  <c r="J110" i="3" s="1"/>
  <c r="I110" i="3"/>
  <c r="AP25" i="11"/>
  <c r="E15" i="9"/>
  <c r="E15" i="8"/>
  <c r="P32" i="9"/>
  <c r="R36" i="9" s="1"/>
  <c r="E9" i="9"/>
  <c r="E10" i="9" s="1"/>
  <c r="DU24" i="13"/>
  <c r="DU26" i="13"/>
  <c r="DU22" i="13"/>
  <c r="DU25" i="13"/>
  <c r="DU23" i="13"/>
  <c r="DU27" i="13"/>
  <c r="AY18" i="13"/>
  <c r="AY20" i="13"/>
  <c r="AY19" i="13"/>
  <c r="AO56" i="13"/>
  <c r="AT12" i="13"/>
  <c r="BJ67" i="12"/>
  <c r="BF67" i="12"/>
  <c r="BB67" i="12"/>
  <c r="AX67" i="12"/>
  <c r="BI67" i="12"/>
  <c r="BE67" i="12"/>
  <c r="BA67" i="12"/>
  <c r="AW67" i="12"/>
  <c r="BH67" i="12"/>
  <c r="BD67" i="12"/>
  <c r="AZ67" i="12"/>
  <c r="BC67" i="12"/>
  <c r="AY67" i="12"/>
  <c r="BG67" i="12"/>
  <c r="X164" i="11"/>
  <c r="O164" i="11"/>
  <c r="AC23" i="11"/>
  <c r="AD15" i="11"/>
  <c r="AP15" i="11" s="1"/>
  <c r="AB15" i="11"/>
  <c r="AD77" i="12"/>
  <c r="AE77" i="12" s="1"/>
  <c r="AF77" i="12"/>
  <c r="AG77" i="12" s="1"/>
  <c r="AC77" i="12"/>
  <c r="P36" i="9"/>
  <c r="K125" i="3"/>
  <c r="F125" i="3"/>
  <c r="E55" i="3"/>
  <c r="J171" i="3"/>
  <c r="K171" i="3"/>
  <c r="D13" i="13"/>
  <c r="R17" i="13" s="1"/>
  <c r="D15" i="13"/>
  <c r="R21" i="13" s="1"/>
  <c r="D10" i="13"/>
  <c r="R11" i="13" s="1"/>
  <c r="D14" i="13"/>
  <c r="R19" i="13" s="1"/>
  <c r="D9" i="13"/>
  <c r="R9" i="13" s="1"/>
  <c r="D12" i="13"/>
  <c r="R15" i="13" s="1"/>
  <c r="D11" i="13"/>
  <c r="R13" i="13" s="1"/>
  <c r="J164" i="3"/>
  <c r="K164" i="3"/>
  <c r="E13" i="9"/>
  <c r="E13" i="8"/>
  <c r="L36" i="15"/>
  <c r="L37" i="15" s="1"/>
  <c r="K36" i="15"/>
  <c r="K37" i="15" s="1"/>
  <c r="M36" i="15"/>
  <c r="M37" i="15" s="1"/>
  <c r="J36" i="15"/>
  <c r="J37" i="15" s="1"/>
  <c r="AY24" i="13"/>
  <c r="AY25" i="13"/>
  <c r="AY26" i="13"/>
  <c r="AO43" i="13"/>
  <c r="AT9" i="13"/>
  <c r="AH105" i="12"/>
  <c r="AK20" i="13" s="1"/>
  <c r="AK21" i="13" s="1"/>
  <c r="BH87" i="12"/>
  <c r="BD87" i="12"/>
  <c r="AZ87" i="12"/>
  <c r="BG87" i="12"/>
  <c r="BC87" i="12"/>
  <c r="AY87" i="12"/>
  <c r="BJ87" i="12"/>
  <c r="BF87" i="12"/>
  <c r="BB87" i="12"/>
  <c r="AX87" i="12"/>
  <c r="BE87" i="12"/>
  <c r="BA87" i="12"/>
  <c r="AW87" i="12"/>
  <c r="BI87" i="12"/>
  <c r="BG80" i="12"/>
  <c r="BC80" i="12"/>
  <c r="AY80" i="12"/>
  <c r="BJ80" i="12"/>
  <c r="BF80" i="12"/>
  <c r="BB80" i="12"/>
  <c r="AX80" i="12"/>
  <c r="BI80" i="12"/>
  <c r="BE80" i="12"/>
  <c r="BA80" i="12"/>
  <c r="AW80" i="12"/>
  <c r="BD80" i="12"/>
  <c r="AZ80" i="12"/>
  <c r="BH80" i="12"/>
  <c r="BI73" i="12"/>
  <c r="BE73" i="12"/>
  <c r="BA73" i="12"/>
  <c r="AW73" i="12"/>
  <c r="BH73" i="12"/>
  <c r="BD73" i="12"/>
  <c r="AZ73" i="12"/>
  <c r="BF73" i="12"/>
  <c r="AX73" i="12"/>
  <c r="BC73" i="12"/>
  <c r="BJ73" i="12"/>
  <c r="BB73" i="12"/>
  <c r="BG73" i="12"/>
  <c r="AY73" i="12"/>
  <c r="BG71" i="12"/>
  <c r="BC71" i="12"/>
  <c r="AY71" i="12"/>
  <c r="BJ71" i="12"/>
  <c r="BF71" i="12"/>
  <c r="BB71" i="12"/>
  <c r="AX71" i="12"/>
  <c r="BD71" i="12"/>
  <c r="BI71" i="12"/>
  <c r="BA71" i="12"/>
  <c r="BH71" i="12"/>
  <c r="AZ71" i="12"/>
  <c r="BE71" i="12"/>
  <c r="AW71" i="12"/>
  <c r="W86" i="12"/>
  <c r="Z86" i="12"/>
  <c r="AG86" i="12"/>
  <c r="Y86" i="12"/>
  <c r="P86" i="12"/>
  <c r="X86" i="12"/>
  <c r="T166" i="11"/>
  <c r="AC28" i="11"/>
  <c r="AP28" i="11" s="1"/>
  <c r="AB28" i="11"/>
  <c r="AB21" i="11"/>
  <c r="AC21" i="11"/>
  <c r="AP21" i="11" s="1"/>
  <c r="BG81" i="12"/>
  <c r="BC81" i="12"/>
  <c r="AY81" i="12"/>
  <c r="BJ81" i="12"/>
  <c r="BF81" i="12"/>
  <c r="BB81" i="12"/>
  <c r="AX81" i="12"/>
  <c r="BI81" i="12"/>
  <c r="BE81" i="12"/>
  <c r="BA81" i="12"/>
  <c r="AW81" i="12"/>
  <c r="AZ81" i="12"/>
  <c r="BH81" i="12"/>
  <c r="BD81" i="12"/>
  <c r="BJ76" i="12"/>
  <c r="BF76" i="12"/>
  <c r="BB76" i="12"/>
  <c r="AX76" i="12"/>
  <c r="BI76" i="12"/>
  <c r="BE76" i="12"/>
  <c r="BA76" i="12"/>
  <c r="AW76" i="12"/>
  <c r="BC76" i="12"/>
  <c r="BH76" i="12"/>
  <c r="AZ76" i="12"/>
  <c r="BG76" i="12"/>
  <c r="AY76" i="12"/>
  <c r="BD76" i="12"/>
  <c r="BJ72" i="12"/>
  <c r="BF72" i="12"/>
  <c r="BB72" i="12"/>
  <c r="AX72" i="12"/>
  <c r="BI72" i="12"/>
  <c r="BE72" i="12"/>
  <c r="BA72" i="12"/>
  <c r="AW72" i="12"/>
  <c r="BC72" i="12"/>
  <c r="BH72" i="12"/>
  <c r="AZ72" i="12"/>
  <c r="BG72" i="12"/>
  <c r="AY72" i="12"/>
  <c r="BD72" i="12"/>
  <c r="AG71" i="12"/>
  <c r="Y71" i="12"/>
  <c r="X71" i="12"/>
  <c r="P71" i="12"/>
  <c r="Z71" i="12"/>
  <c r="W71" i="12"/>
  <c r="BJ85" i="12"/>
  <c r="BF85" i="12"/>
  <c r="BB85" i="12"/>
  <c r="AX85" i="12"/>
  <c r="BI85" i="12"/>
  <c r="BE85" i="12"/>
  <c r="BA85" i="12"/>
  <c r="AW85" i="12"/>
  <c r="BH85" i="12"/>
  <c r="BD85" i="12"/>
  <c r="AZ85" i="12"/>
  <c r="BC85" i="12"/>
  <c r="AY85" i="12"/>
  <c r="BG85" i="12"/>
  <c r="S166" i="11"/>
  <c r="N166" i="11"/>
  <c r="Z164" i="11"/>
  <c r="AG82" i="12"/>
  <c r="Y82" i="12"/>
  <c r="X82" i="12"/>
  <c r="P82" i="12"/>
  <c r="W82" i="12"/>
  <c r="Z82" i="12"/>
  <c r="AX11" i="11"/>
  <c r="R23" i="11"/>
  <c r="AF23" i="11" s="1"/>
  <c r="AY11" i="11" s="1"/>
  <c r="P9" i="11"/>
  <c r="AD9" i="11" s="1"/>
  <c r="AW7" i="11" s="1"/>
  <c r="AD69" i="12"/>
  <c r="AS110" i="12"/>
  <c r="AO110" i="12"/>
  <c r="AK110" i="12"/>
  <c r="AV110" i="12"/>
  <c r="AU110" i="12"/>
  <c r="AQ110" i="12"/>
  <c r="AP110" i="12"/>
  <c r="AJ110" i="12"/>
  <c r="AB110" i="12"/>
  <c r="T110" i="12"/>
  <c r="AA110" i="12" s="1"/>
  <c r="P110" i="12"/>
  <c r="AU109" i="12"/>
  <c r="AQ109" i="12"/>
  <c r="AM109" i="12"/>
  <c r="AI109" i="12"/>
  <c r="S109" i="12"/>
  <c r="O109" i="12"/>
  <c r="AS103" i="12"/>
  <c r="AO103" i="12"/>
  <c r="AK103" i="12"/>
  <c r="U103" i="12"/>
  <c r="Q103" i="12"/>
  <c r="AN110" i="12"/>
  <c r="AI110" i="12"/>
  <c r="S110" i="12"/>
  <c r="O110" i="12"/>
  <c r="AT109" i="12"/>
  <c r="AP109" i="12"/>
  <c r="AL109" i="12"/>
  <c r="AH109" i="12"/>
  <c r="V109" i="12"/>
  <c r="R109" i="12"/>
  <c r="N109" i="12"/>
  <c r="AE109" i="12" s="1"/>
  <c r="AV103" i="12"/>
  <c r="AR103" i="12"/>
  <c r="AN103" i="12"/>
  <c r="AJ103" i="12"/>
  <c r="AB103" i="12"/>
  <c r="T103" i="12"/>
  <c r="AT110" i="12"/>
  <c r="AM110" i="12"/>
  <c r="AH110" i="12"/>
  <c r="V110" i="12"/>
  <c r="R110" i="12"/>
  <c r="N110" i="12"/>
  <c r="AS109" i="12"/>
  <c r="AO109" i="12"/>
  <c r="AK109" i="12"/>
  <c r="AC109" i="12"/>
  <c r="U109" i="12"/>
  <c r="Q109" i="12"/>
  <c r="AU103" i="12"/>
  <c r="AQ103" i="12"/>
  <c r="AM103" i="12"/>
  <c r="AI103" i="12"/>
  <c r="S103" i="12"/>
  <c r="O103" i="12"/>
  <c r="AL110" i="12"/>
  <c r="U110" i="12"/>
  <c r="AJ109" i="12"/>
  <c r="T109" i="12"/>
  <c r="AA109" i="12" s="1"/>
  <c r="AL103" i="12"/>
  <c r="V103" i="12"/>
  <c r="Q110" i="12"/>
  <c r="AV109" i="12"/>
  <c r="P109" i="12"/>
  <c r="AG109" i="12" s="1"/>
  <c r="AH103" i="12"/>
  <c r="R103" i="12"/>
  <c r="AC110" i="12"/>
  <c r="AR109" i="12"/>
  <c r="AB109" i="12"/>
  <c r="AT103" i="12"/>
  <c r="N103" i="12"/>
  <c r="AR110" i="12"/>
  <c r="AN109" i="12"/>
  <c r="AP103" i="12"/>
  <c r="AV99" i="12"/>
  <c r="AR99" i="12"/>
  <c r="AN99" i="12"/>
  <c r="AJ99" i="12"/>
  <c r="AB99" i="12"/>
  <c r="T99" i="12"/>
  <c r="AA99" i="12" s="1"/>
  <c r="R156" i="12" s="1"/>
  <c r="BW10" i="13" s="1"/>
  <c r="BW9" i="13" s="1"/>
  <c r="AU99" i="12"/>
  <c r="AQ99" i="12"/>
  <c r="AM99" i="12"/>
  <c r="AI99" i="12"/>
  <c r="S99" i="12"/>
  <c r="O99" i="12"/>
  <c r="AT99" i="12"/>
  <c r="AP99" i="12"/>
  <c r="AL99" i="12"/>
  <c r="V99" i="12"/>
  <c r="R99" i="12"/>
  <c r="N99" i="12"/>
  <c r="AK99" i="12"/>
  <c r="U99" i="12"/>
  <c r="Q99" i="12"/>
  <c r="Z121" i="12" s="1" a="1"/>
  <c r="AS99" i="12"/>
  <c r="AO99" i="12"/>
  <c r="P63" i="8"/>
  <c r="P72" i="8"/>
  <c r="P79" i="8" s="1"/>
  <c r="AY8" i="11"/>
  <c r="V9" i="11"/>
  <c r="AJ9" i="11" s="1"/>
  <c r="BC7" i="11" s="1"/>
  <c r="H48" i="11"/>
  <c r="L48" i="11" s="1"/>
  <c r="I48" i="11"/>
  <c r="V14" i="11"/>
  <c r="AJ14" i="11" s="1"/>
  <c r="BC8" i="11" s="1"/>
  <c r="AD83" i="12"/>
  <c r="AE83" i="12" s="1"/>
  <c r="AC83" i="12"/>
  <c r="AF83" i="12"/>
  <c r="AG83" i="12" s="1"/>
  <c r="AB18" i="11"/>
  <c r="U14" i="11"/>
  <c r="AI14" i="11" s="1"/>
  <c r="M30" i="11"/>
  <c r="AD82" i="12"/>
  <c r="AE82" i="12" s="1"/>
  <c r="R9" i="11"/>
  <c r="AF9" i="11" s="1"/>
  <c r="AY7" i="11" s="1"/>
  <c r="P14" i="11"/>
  <c r="AD14" i="11" s="1"/>
  <c r="AW8" i="11" s="1"/>
  <c r="BA10" i="11"/>
  <c r="AP11" i="11"/>
  <c r="G81" i="11"/>
  <c r="L51" i="11"/>
  <c r="BI9" i="11"/>
  <c r="J21" i="4" a="1"/>
  <c r="J8" i="4" a="1"/>
  <c r="AD75" i="12"/>
  <c r="AE75" i="12" s="1"/>
  <c r="AC75" i="12"/>
  <c r="AF75" i="12"/>
  <c r="AB16" i="11"/>
  <c r="AB12" i="11"/>
  <c r="H128" i="3"/>
  <c r="I128" i="3"/>
  <c r="F109" i="3"/>
  <c r="K109" i="3"/>
  <c r="DG28" i="13"/>
  <c r="AB25" i="11"/>
  <c r="G116" i="3"/>
  <c r="E9" i="8"/>
  <c r="E10" i="8" s="1"/>
  <c r="O68" i="7"/>
  <c r="P32" i="8"/>
  <c r="Q1" i="11"/>
  <c r="Q2" i="11" s="1"/>
  <c r="BC9" i="13" l="1" a="1"/>
  <c r="Y11" i="13"/>
  <c r="BG9" i="13"/>
  <c r="BG12" i="13"/>
  <c r="BG21" i="13"/>
  <c r="BG22" i="13"/>
  <c r="DA13" i="13"/>
  <c r="DA28" i="13"/>
  <c r="DA9" i="13"/>
  <c r="DA26" i="13"/>
  <c r="Y14" i="13"/>
  <c r="Y13" i="13"/>
  <c r="DA15" i="13"/>
  <c r="DA29" i="13"/>
  <c r="DA17" i="13"/>
  <c r="DA30" i="13"/>
  <c r="DA19" i="13"/>
  <c r="DA31" i="13"/>
  <c r="Y10" i="13"/>
  <c r="BG15" i="13"/>
  <c r="BG11" i="13"/>
  <c r="BG13" i="13"/>
  <c r="DA21" i="13"/>
  <c r="DA32" i="13"/>
  <c r="DA11" i="13"/>
  <c r="DA27" i="13"/>
  <c r="AI9" i="13"/>
  <c r="AE26" i="13" a="1"/>
  <c r="AE26" i="13" s="1"/>
  <c r="P128" i="3"/>
  <c r="Q128" i="3" s="1"/>
  <c r="J128" i="3"/>
  <c r="BF109" i="12"/>
  <c r="BT109" i="12"/>
  <c r="AZ110" i="12"/>
  <c r="BN110" i="12"/>
  <c r="BG109" i="12"/>
  <c r="BU109" i="12"/>
  <c r="I109" i="3"/>
  <c r="H109" i="3"/>
  <c r="BX99" i="12"/>
  <c r="AE110" i="12"/>
  <c r="BN109" i="12"/>
  <c r="AZ109" i="12"/>
  <c r="BS109" i="12"/>
  <c r="BE109" i="12"/>
  <c r="BI110" i="12"/>
  <c r="BW110" i="12"/>
  <c r="D19" i="6"/>
  <c r="F14" i="6" s="1"/>
  <c r="C18" i="6"/>
  <c r="B17" i="6"/>
  <c r="D15" i="6"/>
  <c r="C14" i="6"/>
  <c r="B13" i="6"/>
  <c r="D11" i="6"/>
  <c r="C10" i="6"/>
  <c r="B9" i="6"/>
  <c r="D7" i="6"/>
  <c r="C6" i="6"/>
  <c r="B5" i="6"/>
  <c r="B4" i="6"/>
  <c r="C19" i="6"/>
  <c r="B18" i="6"/>
  <c r="D16" i="6"/>
  <c r="C15" i="6"/>
  <c r="B14" i="6"/>
  <c r="D12" i="6"/>
  <c r="C11" i="6"/>
  <c r="B10" i="6"/>
  <c r="D8" i="6"/>
  <c r="C7" i="6"/>
  <c r="B6" i="6"/>
  <c r="D4" i="6"/>
  <c r="B19" i="6"/>
  <c r="D17" i="6"/>
  <c r="C16" i="6"/>
  <c r="B15" i="6"/>
  <c r="D13" i="6"/>
  <c r="C12" i="6"/>
  <c r="B11" i="6"/>
  <c r="D9" i="6"/>
  <c r="C8" i="6"/>
  <c r="B7" i="6"/>
  <c r="D5" i="6"/>
  <c r="C4" i="6"/>
  <c r="D18" i="6"/>
  <c r="C17" i="6"/>
  <c r="B16" i="6"/>
  <c r="D14" i="6"/>
  <c r="C13" i="6"/>
  <c r="B12" i="6"/>
  <c r="D10" i="6"/>
  <c r="C9" i="6"/>
  <c r="B8" i="6"/>
  <c r="D6" i="6"/>
  <c r="C5" i="6"/>
  <c r="BT112" i="12"/>
  <c r="BF112" i="12"/>
  <c r="AD112" i="12"/>
  <c r="AF112" i="12"/>
  <c r="BI111" i="12"/>
  <c r="BW111" i="12"/>
  <c r="AW111" i="12"/>
  <c r="BK111" i="12"/>
  <c r="BB111" i="12"/>
  <c r="BP111" i="12"/>
  <c r="BG112" i="12"/>
  <c r="BU112" i="12"/>
  <c r="BO112" i="12"/>
  <c r="BA112" i="12"/>
  <c r="AZ107" i="12"/>
  <c r="BN107" i="12"/>
  <c r="Z108" i="12"/>
  <c r="Y108" i="12"/>
  <c r="X108" i="12"/>
  <c r="W108" i="12"/>
  <c r="AC102" i="12"/>
  <c r="AX108" i="12"/>
  <c r="BL108" i="12"/>
  <c r="BE102" i="12"/>
  <c r="BX107" i="12"/>
  <c r="BJ107" i="12"/>
  <c r="AD102" i="12"/>
  <c r="AE102" i="12" s="1"/>
  <c r="BM107" i="12"/>
  <c r="AY107" i="12"/>
  <c r="BR108" i="12"/>
  <c r="BD108" i="12"/>
  <c r="AZ106" i="12"/>
  <c r="BN106" i="12"/>
  <c r="AC101" i="12"/>
  <c r="BW106" i="12"/>
  <c r="BI106" i="12"/>
  <c r="BL106" i="12"/>
  <c r="AX106" i="12"/>
  <c r="I124" i="3"/>
  <c r="H124" i="3"/>
  <c r="J124" i="3" s="1"/>
  <c r="J117" i="3"/>
  <c r="V31" i="13"/>
  <c r="V27" i="13"/>
  <c r="AN53" i="13" s="1"/>
  <c r="V30" i="13"/>
  <c r="AN65" i="13" s="1"/>
  <c r="V26" i="13"/>
  <c r="AN49" i="13" s="1"/>
  <c r="V29" i="13"/>
  <c r="AN61" i="13" s="1"/>
  <c r="V28" i="13"/>
  <c r="AN57" i="13" s="1"/>
  <c r="V25" i="13"/>
  <c r="AB14" i="11"/>
  <c r="P85" i="8"/>
  <c r="P84" i="8"/>
  <c r="Q98" i="8" s="1"/>
  <c r="BU19" i="13"/>
  <c r="BU11" i="13"/>
  <c r="BU17" i="13"/>
  <c r="BU15" i="13"/>
  <c r="BU13" i="13"/>
  <c r="BU9" i="13"/>
  <c r="BU21" i="13"/>
  <c r="BQ99" i="12"/>
  <c r="AK9" i="13"/>
  <c r="X99" i="12"/>
  <c r="P99" i="12"/>
  <c r="BO99" i="12" s="1"/>
  <c r="W99" i="12"/>
  <c r="Z99" i="12"/>
  <c r="Y99" i="12"/>
  <c r="BE99" i="12"/>
  <c r="BL99" i="12"/>
  <c r="BH103" i="12"/>
  <c r="AX109" i="12"/>
  <c r="BL109" i="12"/>
  <c r="BI103" i="12"/>
  <c r="AY109" i="12"/>
  <c r="BM109" i="12"/>
  <c r="BH110" i="12"/>
  <c r="BV110" i="12"/>
  <c r="BR109" i="12"/>
  <c r="BD109" i="12"/>
  <c r="AW110" i="12"/>
  <c r="BK110" i="12"/>
  <c r="BM103" i="12"/>
  <c r="BW109" i="12"/>
  <c r="BI109" i="12"/>
  <c r="BL110" i="12"/>
  <c r="AX110" i="12"/>
  <c r="BX110" i="12"/>
  <c r="BJ110" i="12"/>
  <c r="AP23" i="11"/>
  <c r="AV11" i="11"/>
  <c r="P85" i="9"/>
  <c r="Q97" i="9" s="1"/>
  <c r="P84" i="9"/>
  <c r="Q98" i="9" s="1"/>
  <c r="BE104" i="12"/>
  <c r="AA104" i="12"/>
  <c r="R161" i="12" s="1"/>
  <c r="BT104" i="12"/>
  <c r="BH104" i="12"/>
  <c r="BF111" i="12"/>
  <c r="BT111" i="12"/>
  <c r="BQ111" i="12"/>
  <c r="BC111" i="12"/>
  <c r="BH112" i="12"/>
  <c r="BV112" i="12"/>
  <c r="W112" i="12"/>
  <c r="Z112" i="12"/>
  <c r="Y112" i="12"/>
  <c r="X112" i="12"/>
  <c r="BS112" i="12"/>
  <c r="BE112" i="12"/>
  <c r="Z77" i="11"/>
  <c r="V77" i="11"/>
  <c r="R77" i="11"/>
  <c r="Y77" i="11"/>
  <c r="U77" i="11"/>
  <c r="Q77" i="11"/>
  <c r="X77" i="11"/>
  <c r="T77" i="11"/>
  <c r="P77" i="11"/>
  <c r="P78" i="11" s="1"/>
  <c r="W77" i="11"/>
  <c r="S77" i="11"/>
  <c r="N77" i="11"/>
  <c r="N78" i="11" s="1"/>
  <c r="L39" i="11"/>
  <c r="BA108" i="12"/>
  <c r="BO108" i="12"/>
  <c r="BI108" i="12"/>
  <c r="BW108" i="12"/>
  <c r="AW107" i="12"/>
  <c r="BK107" i="12"/>
  <c r="BB108" i="12"/>
  <c r="BP108" i="12"/>
  <c r="BW102" i="12"/>
  <c r="BL107" i="12"/>
  <c r="AX107" i="12"/>
  <c r="BQ108" i="12"/>
  <c r="BC108" i="12"/>
  <c r="BQ107" i="12"/>
  <c r="BC107" i="12"/>
  <c r="BV108" i="12"/>
  <c r="BH108" i="12"/>
  <c r="E11" i="8"/>
  <c r="O64" i="7" s="1"/>
  <c r="Q66" i="7" s="1"/>
  <c r="E11" i="9"/>
  <c r="AY106" i="12"/>
  <c r="BM106" i="12"/>
  <c r="AD101" i="12"/>
  <c r="AE101" i="12" s="1"/>
  <c r="O23" i="13" a="1"/>
  <c r="AA100" i="12"/>
  <c r="R157" i="12" s="1"/>
  <c r="BF100" i="12"/>
  <c r="BD106" i="12"/>
  <c r="BR106" i="12"/>
  <c r="BR101" i="12"/>
  <c r="BK106" i="12"/>
  <c r="AW106" i="12"/>
  <c r="BR100" i="12"/>
  <c r="O37" i="13" a="1"/>
  <c r="AW101" i="12"/>
  <c r="BP106" i="12"/>
  <c r="BB106" i="12"/>
  <c r="BI8" i="11"/>
  <c r="BI105" i="12"/>
  <c r="BH105" i="12"/>
  <c r="BD105" i="12"/>
  <c r="AZ105" i="12"/>
  <c r="BP105" i="12"/>
  <c r="BX105" i="12"/>
  <c r="BG105" i="12"/>
  <c r="AW105" i="12"/>
  <c r="AX105" i="12"/>
  <c r="BL105" i="12"/>
  <c r="BQ105" i="12"/>
  <c r="BK105" i="12"/>
  <c r="BV105" i="12"/>
  <c r="BJ105" i="12"/>
  <c r="BN105" i="12"/>
  <c r="BO105" i="12"/>
  <c r="BB105" i="12"/>
  <c r="BA105" i="12"/>
  <c r="BU105" i="12"/>
  <c r="BT105" i="12"/>
  <c r="AY105" i="12"/>
  <c r="BR105" i="12"/>
  <c r="BS105" i="12"/>
  <c r="BF105" i="12"/>
  <c r="BE105" i="12"/>
  <c r="BC105" i="12"/>
  <c r="BW105" i="12"/>
  <c r="BM105" i="12"/>
  <c r="AP14" i="11"/>
  <c r="DP24" i="13"/>
  <c r="DP23" i="13"/>
  <c r="DP27" i="13"/>
  <c r="DP26" i="13"/>
  <c r="DP22" i="13"/>
  <c r="DP25" i="13"/>
  <c r="AP19" i="11"/>
  <c r="AV10" i="11"/>
  <c r="R33" i="8"/>
  <c r="R34" i="8"/>
  <c r="Z127" i="12"/>
  <c r="Z123" i="12"/>
  <c r="Z126" i="12"/>
  <c r="Z122" i="12"/>
  <c r="Z125" i="12"/>
  <c r="Z124" i="12"/>
  <c r="Z121" i="12"/>
  <c r="O9" i="13" a="1"/>
  <c r="AW99" i="12"/>
  <c r="BK99" i="12"/>
  <c r="BT110" i="12"/>
  <c r="BF110" i="12"/>
  <c r="BN103" i="12"/>
  <c r="AD103" i="12"/>
  <c r="AE103" i="12" s="1"/>
  <c r="X110" i="12"/>
  <c r="W110" i="12"/>
  <c r="Z110" i="12"/>
  <c r="Y110" i="12"/>
  <c r="BO109" i="12"/>
  <c r="BA109" i="12"/>
  <c r="BE110" i="12"/>
  <c r="BS110" i="12"/>
  <c r="BH99" i="12"/>
  <c r="BV99" i="12"/>
  <c r="F9" i="13" a="1"/>
  <c r="AF99" i="12"/>
  <c r="AD99" i="12"/>
  <c r="AC103" i="12"/>
  <c r="BJ109" i="12"/>
  <c r="BX109" i="12"/>
  <c r="AK16" i="13"/>
  <c r="AK17" i="13" s="1"/>
  <c r="Y103" i="12"/>
  <c r="X103" i="12"/>
  <c r="P103" i="12"/>
  <c r="W103" i="12"/>
  <c r="Z103" i="12"/>
  <c r="BA110" i="12"/>
  <c r="BO110" i="12"/>
  <c r="W109" i="12"/>
  <c r="Z109" i="12"/>
  <c r="Y109" i="12"/>
  <c r="X109" i="12"/>
  <c r="AF110" i="12"/>
  <c r="AG110" i="12" s="1"/>
  <c r="AD110" i="12"/>
  <c r="BU110" i="12"/>
  <c r="BG110" i="12"/>
  <c r="BC23" i="13"/>
  <c r="BC19" i="13"/>
  <c r="BC15" i="13"/>
  <c r="BC11" i="13"/>
  <c r="BC22" i="13"/>
  <c r="BC18" i="13"/>
  <c r="BC14" i="13"/>
  <c r="BC10" i="13"/>
  <c r="BC21" i="13"/>
  <c r="BC13" i="13"/>
  <c r="BC20" i="13"/>
  <c r="BC12" i="13"/>
  <c r="BC17" i="13"/>
  <c r="BC16" i="13"/>
  <c r="BC9" i="13"/>
  <c r="AB23" i="11"/>
  <c r="E45" i="3"/>
  <c r="F6" i="3" s="1"/>
  <c r="K111" i="3"/>
  <c r="F111" i="3"/>
  <c r="BW104" i="12"/>
  <c r="AY104" i="12"/>
  <c r="BM111" i="12"/>
  <c r="AY111" i="12"/>
  <c r="BD112" i="12"/>
  <c r="BR112" i="12"/>
  <c r="BV111" i="12"/>
  <c r="BH111" i="12"/>
  <c r="I44" i="11"/>
  <c r="BE108" i="12"/>
  <c r="BS108" i="12"/>
  <c r="AZ102" i="12"/>
  <c r="BI107" i="12"/>
  <c r="BW107" i="12"/>
  <c r="AK14" i="13"/>
  <c r="AK15" i="13"/>
  <c r="X102" i="12"/>
  <c r="P102" i="12"/>
  <c r="BD102" i="12" s="1"/>
  <c r="W102" i="12"/>
  <c r="Z102" i="12"/>
  <c r="Y102" i="12"/>
  <c r="AF107" i="12"/>
  <c r="AD107" i="12"/>
  <c r="BM108" i="12"/>
  <c r="AY108" i="12"/>
  <c r="BX102" i="12"/>
  <c r="BJ102" i="12"/>
  <c r="AG91" i="12"/>
  <c r="AG92" i="12"/>
  <c r="AH92" i="12"/>
  <c r="I118" i="3"/>
  <c r="H118" i="3"/>
  <c r="J118" i="3" s="1"/>
  <c r="BE100" i="12"/>
  <c r="BN101" i="12"/>
  <c r="BW101" i="12"/>
  <c r="J17" i="4"/>
  <c r="I49" i="4" s="1"/>
  <c r="J49" i="4" s="1"/>
  <c r="J13" i="4"/>
  <c r="I45" i="4" s="1"/>
  <c r="J45" i="4" s="1"/>
  <c r="J9" i="4"/>
  <c r="I41" i="4" s="1"/>
  <c r="J41" i="4" s="1"/>
  <c r="J16" i="4"/>
  <c r="I48" i="4" s="1"/>
  <c r="J48" i="4" s="1"/>
  <c r="J11" i="4"/>
  <c r="I43" i="4" s="1"/>
  <c r="J43" i="4" s="1"/>
  <c r="J12" i="4"/>
  <c r="I44" i="4" s="1"/>
  <c r="J44" i="4" s="1"/>
  <c r="J15" i="4"/>
  <c r="I47" i="4" s="1"/>
  <c r="J47" i="4" s="1"/>
  <c r="J10" i="4"/>
  <c r="I42" i="4" s="1"/>
  <c r="J42" i="4" s="1"/>
  <c r="J18" i="4"/>
  <c r="I50" i="4" s="1"/>
  <c r="J50" i="4" s="1"/>
  <c r="J14" i="4"/>
  <c r="I46" i="4" s="1"/>
  <c r="J46" i="4" s="1"/>
  <c r="J8" i="4"/>
  <c r="I40" i="4" s="1"/>
  <c r="J40" i="4" s="1"/>
  <c r="BG99" i="12"/>
  <c r="BU99" i="12"/>
  <c r="AE99" i="12"/>
  <c r="AC99" i="12"/>
  <c r="AZ99" i="12"/>
  <c r="BN99" i="12"/>
  <c r="BW99" i="12"/>
  <c r="BI99" i="12"/>
  <c r="BP99" i="12"/>
  <c r="BB99" i="12"/>
  <c r="BB109" i="12"/>
  <c r="BP109" i="12"/>
  <c r="AD109" i="12"/>
  <c r="AF109" i="12"/>
  <c r="O65" i="13" a="1"/>
  <c r="AW103" i="12"/>
  <c r="BK103" i="12"/>
  <c r="BC109" i="12"/>
  <c r="BQ109" i="12"/>
  <c r="AA103" i="12"/>
  <c r="R160" i="12" s="1"/>
  <c r="BW18" i="13" s="1"/>
  <c r="BW17" i="13" s="1"/>
  <c r="BT103" i="12"/>
  <c r="BF103" i="12"/>
  <c r="BV109" i="12"/>
  <c r="BH109" i="12"/>
  <c r="BP110" i="12"/>
  <c r="BB110" i="12"/>
  <c r="BQ103" i="12"/>
  <c r="BC103" i="12"/>
  <c r="BK109" i="12"/>
  <c r="AW109" i="12"/>
  <c r="BD110" i="12"/>
  <c r="BR110" i="12"/>
  <c r="BM110" i="12"/>
  <c r="AY110" i="12"/>
  <c r="E57" i="3"/>
  <c r="F16" i="3"/>
  <c r="D61" i="3"/>
  <c r="F57" i="3" s="1"/>
  <c r="O32" i="9"/>
  <c r="R34" i="9"/>
  <c r="P42" i="9" s="1"/>
  <c r="R33" i="9"/>
  <c r="AK38" i="1"/>
  <c r="AK34" i="1"/>
  <c r="AK37" i="1"/>
  <c r="AK33" i="1"/>
  <c r="AK39" i="1"/>
  <c r="AK35" i="1"/>
  <c r="AK32" i="1"/>
  <c r="AK40" i="1"/>
  <c r="AK36" i="1"/>
  <c r="BE111" i="12"/>
  <c r="BS111" i="12"/>
  <c r="O79" i="13" a="1"/>
  <c r="AD104" i="12"/>
  <c r="AE104" i="12" s="1"/>
  <c r="BU104" i="12"/>
  <c r="BL112" i="12"/>
  <c r="AX112" i="12"/>
  <c r="BA111" i="12"/>
  <c r="BO111" i="12"/>
  <c r="AD111" i="12"/>
  <c r="AF111" i="12"/>
  <c r="BJ111" i="12"/>
  <c r="BX111" i="12"/>
  <c r="AY112" i="12"/>
  <c r="BM112" i="12"/>
  <c r="BU111" i="12"/>
  <c r="BG111" i="12"/>
  <c r="BN111" i="12"/>
  <c r="AZ111" i="12"/>
  <c r="BW112" i="12"/>
  <c r="BI112" i="12"/>
  <c r="BC102" i="12"/>
  <c r="BQ102" i="12"/>
  <c r="BG102" i="12"/>
  <c r="BU102" i="12"/>
  <c r="BH102" i="12"/>
  <c r="BV102" i="12"/>
  <c r="BA107" i="12"/>
  <c r="BO107" i="12"/>
  <c r="BF108" i="12"/>
  <c r="BT108" i="12"/>
  <c r="O51" i="13" a="1"/>
  <c r="BK102" i="12"/>
  <c r="AW102" i="12"/>
  <c r="BP107" i="12"/>
  <c r="BB107" i="12"/>
  <c r="BU108" i="12"/>
  <c r="BG108" i="12"/>
  <c r="BP102" i="12"/>
  <c r="BB102" i="12"/>
  <c r="BU107" i="12"/>
  <c r="BG107" i="12"/>
  <c r="AP9" i="11"/>
  <c r="AV7" i="11"/>
  <c r="BI7" i="11" s="1"/>
  <c r="AE22" i="11"/>
  <c r="AB22" i="11"/>
  <c r="BI69" i="12"/>
  <c r="BE69" i="12"/>
  <c r="BA69" i="12"/>
  <c r="AW69" i="12"/>
  <c r="BH69" i="12"/>
  <c r="BD69" i="12"/>
  <c r="AZ69" i="12"/>
  <c r="BG69" i="12"/>
  <c r="BC69" i="12"/>
  <c r="AY69" i="12"/>
  <c r="BF69" i="12"/>
  <c r="BB69" i="12"/>
  <c r="AX69" i="12"/>
  <c r="BJ69" i="12"/>
  <c r="AC100" i="12"/>
  <c r="AA101" i="12"/>
  <c r="R158" i="12" s="1"/>
  <c r="AD100" i="12"/>
  <c r="AE100" i="12" s="1"/>
  <c r="BC101" i="12"/>
  <c r="BH106" i="12"/>
  <c r="BV106" i="12"/>
  <c r="BQ100" i="12"/>
  <c r="BO106" i="12"/>
  <c r="BA106" i="12"/>
  <c r="BO101" i="12"/>
  <c r="BT106" i="12"/>
  <c r="BF106" i="12"/>
  <c r="AB17" i="11"/>
  <c r="AG67" i="12"/>
  <c r="I116" i="3"/>
  <c r="AP7" i="11"/>
  <c r="AV6" i="11"/>
  <c r="AO30" i="11"/>
  <c r="AX23" i="13"/>
  <c r="AX19" i="13"/>
  <c r="AX15" i="13"/>
  <c r="AX11" i="13"/>
  <c r="AX22" i="13"/>
  <c r="AX18" i="13"/>
  <c r="AX14" i="13"/>
  <c r="AX10" i="13"/>
  <c r="AX17" i="13"/>
  <c r="AX16" i="13"/>
  <c r="AX9" i="13"/>
  <c r="AX21" i="13"/>
  <c r="AX13" i="13"/>
  <c r="AX20" i="13"/>
  <c r="AX12" i="13"/>
  <c r="E14" i="9"/>
  <c r="E14" i="8"/>
  <c r="I13" i="3"/>
  <c r="AF105" i="12"/>
  <c r="AG105" i="12" s="1"/>
  <c r="J31" i="4"/>
  <c r="I63" i="4" s="1"/>
  <c r="K63" i="4" s="1"/>
  <c r="J27" i="4"/>
  <c r="I59" i="4" s="1"/>
  <c r="K59" i="4" s="1"/>
  <c r="J23" i="4"/>
  <c r="I55" i="4" s="1"/>
  <c r="K55" i="4" s="1"/>
  <c r="J29" i="4"/>
  <c r="I61" i="4" s="1"/>
  <c r="K61" i="4" s="1"/>
  <c r="J24" i="4"/>
  <c r="I56" i="4" s="1"/>
  <c r="K56" i="4" s="1"/>
  <c r="J28" i="4"/>
  <c r="I60" i="4" s="1"/>
  <c r="K60" i="4" s="1"/>
  <c r="J22" i="4"/>
  <c r="I54" i="4" s="1"/>
  <c r="K54" i="4" s="1"/>
  <c r="J30" i="4"/>
  <c r="I62" i="4" s="1"/>
  <c r="K62" i="4" s="1"/>
  <c r="J21" i="4"/>
  <c r="I53" i="4" s="1"/>
  <c r="K53" i="4" s="1"/>
  <c r="J26" i="4"/>
  <c r="I58" i="4" s="1"/>
  <c r="K58" i="4" s="1"/>
  <c r="J25" i="4"/>
  <c r="I57" i="4" s="1"/>
  <c r="K57" i="4" s="1"/>
  <c r="BD99" i="12"/>
  <c r="BR99" i="12"/>
  <c r="BT99" i="12"/>
  <c r="BF99" i="12"/>
  <c r="BA103" i="12"/>
  <c r="BO103" i="12"/>
  <c r="BU103" i="12"/>
  <c r="BG103" i="12"/>
  <c r="BQ110" i="12"/>
  <c r="BC110" i="12"/>
  <c r="H125" i="3"/>
  <c r="J125" i="3" s="1"/>
  <c r="I125" i="3"/>
  <c r="C11" i="5"/>
  <c r="J7" i="5" s="1"/>
  <c r="H7" i="5" s="1"/>
  <c r="P7" i="5" s="1"/>
  <c r="C8" i="5"/>
  <c r="J24" i="5" s="1"/>
  <c r="C14" i="5"/>
  <c r="J10" i="5" s="1"/>
  <c r="H10" i="5" s="1"/>
  <c r="P10" i="5" s="1"/>
  <c r="C10" i="5"/>
  <c r="J6" i="5" s="1"/>
  <c r="H6" i="5" s="1"/>
  <c r="P6" i="5" s="1"/>
  <c r="C13" i="5"/>
  <c r="J9" i="5" s="1"/>
  <c r="H9" i="5" s="1"/>
  <c r="P9" i="5" s="1"/>
  <c r="C9" i="5"/>
  <c r="J25" i="5" s="1"/>
  <c r="C12" i="5"/>
  <c r="J8" i="5" s="1"/>
  <c r="H8" i="5" s="1"/>
  <c r="P8" i="5" s="1"/>
  <c r="AK18" i="13"/>
  <c r="AK19" i="13" s="1"/>
  <c r="Z104" i="12"/>
  <c r="Y104" i="12"/>
  <c r="X104" i="12"/>
  <c r="P104" i="12"/>
  <c r="W104" i="12"/>
  <c r="BO104" i="12"/>
  <c r="AX104" i="12"/>
  <c r="BL104" i="12"/>
  <c r="Z111" i="12"/>
  <c r="Y111" i="12"/>
  <c r="X111" i="12"/>
  <c r="W111" i="12"/>
  <c r="AC104" i="12"/>
  <c r="BN104" i="12"/>
  <c r="AZ104" i="12"/>
  <c r="BP112" i="12"/>
  <c r="BB112" i="12"/>
  <c r="AX111" i="12"/>
  <c r="BL111" i="12"/>
  <c r="BC112" i="12"/>
  <c r="BQ112" i="12"/>
  <c r="AZ112" i="12"/>
  <c r="BN112" i="12"/>
  <c r="BR111" i="12"/>
  <c r="BD111" i="12"/>
  <c r="BK112" i="12"/>
  <c r="AW112" i="12"/>
  <c r="BX112" i="12"/>
  <c r="BJ112" i="12"/>
  <c r="BD107" i="12"/>
  <c r="BR107" i="12"/>
  <c r="BH107" i="12"/>
  <c r="BV107" i="12"/>
  <c r="AY102" i="12"/>
  <c r="BM102" i="12"/>
  <c r="AW108" i="12"/>
  <c r="BK108" i="12"/>
  <c r="Y107" i="12"/>
  <c r="X107" i="12"/>
  <c r="W107" i="12"/>
  <c r="Z107" i="12"/>
  <c r="BE107" i="12"/>
  <c r="BS107" i="12"/>
  <c r="AD108" i="12"/>
  <c r="AF108" i="12"/>
  <c r="BJ108" i="12"/>
  <c r="BX108" i="12"/>
  <c r="BO102" i="12"/>
  <c r="BA102" i="12"/>
  <c r="BT107" i="12"/>
  <c r="BF107" i="12"/>
  <c r="N159" i="12"/>
  <c r="P159" i="12" s="1"/>
  <c r="AA102" i="12"/>
  <c r="R159" i="12" s="1"/>
  <c r="BW16" i="13" s="1"/>
  <c r="BW15" i="13" s="1"/>
  <c r="BT102" i="12"/>
  <c r="BF102" i="12"/>
  <c r="BN108" i="12"/>
  <c r="AZ108" i="12"/>
  <c r="AB9" i="11"/>
  <c r="BI68" i="12"/>
  <c r="BE68" i="12"/>
  <c r="BA68" i="12"/>
  <c r="AW68" i="12"/>
  <c r="BH68" i="12"/>
  <c r="BD68" i="12"/>
  <c r="AZ68" i="12"/>
  <c r="BG68" i="12"/>
  <c r="BC68" i="12"/>
  <c r="AY68" i="12"/>
  <c r="AX68" i="12"/>
  <c r="BJ68" i="12"/>
  <c r="BF68" i="12"/>
  <c r="BB68" i="12"/>
  <c r="BH84" i="12"/>
  <c r="BD84" i="12"/>
  <c r="AZ84" i="12"/>
  <c r="BG84" i="12"/>
  <c r="BC84" i="12"/>
  <c r="AY84" i="12"/>
  <c r="BJ84" i="12"/>
  <c r="BF84" i="12"/>
  <c r="BB84" i="12"/>
  <c r="AX84" i="12"/>
  <c r="BE84" i="12"/>
  <c r="BA84" i="12"/>
  <c r="AW84" i="12"/>
  <c r="BI84" i="12"/>
  <c r="BC34" i="13"/>
  <c r="BC30" i="13"/>
  <c r="BC33" i="13"/>
  <c r="BC32" i="13"/>
  <c r="BC29" i="13"/>
  <c r="BC31" i="13"/>
  <c r="I134" i="3"/>
  <c r="H134" i="3"/>
  <c r="BB101" i="12"/>
  <c r="AK10" i="13"/>
  <c r="AK11" i="13" s="1"/>
  <c r="Z100" i="12"/>
  <c r="Y100" i="12"/>
  <c r="X100" i="12"/>
  <c r="P100" i="12"/>
  <c r="BW100" i="12" s="1"/>
  <c r="W100" i="12"/>
  <c r="BC106" i="12"/>
  <c r="BQ106" i="12"/>
  <c r="BG106" i="12"/>
  <c r="BU106" i="12"/>
  <c r="AX101" i="12"/>
  <c r="AX100" i="12"/>
  <c r="BG101" i="12"/>
  <c r="BU100" i="12"/>
  <c r="X106" i="12"/>
  <c r="W106" i="12"/>
  <c r="Z106" i="12"/>
  <c r="Y106" i="12"/>
  <c r="BS106" i="12"/>
  <c r="BE106" i="12"/>
  <c r="AK12" i="13"/>
  <c r="AK13" i="13" s="1"/>
  <c r="W101" i="12"/>
  <c r="Z101" i="12"/>
  <c r="Y101" i="12"/>
  <c r="P101" i="12"/>
  <c r="BJ101" i="12" s="1"/>
  <c r="X101" i="12"/>
  <c r="BS101" i="12"/>
  <c r="AF106" i="12"/>
  <c r="AD106" i="12"/>
  <c r="BX106" i="12"/>
  <c r="BJ106" i="12"/>
  <c r="AP17" i="11"/>
  <c r="F15" i="3"/>
  <c r="C61" i="3"/>
  <c r="E56" i="3" s="1"/>
  <c r="F116" i="3"/>
  <c r="I133" i="3"/>
  <c r="H133" i="3"/>
  <c r="J133" i="3" s="1"/>
  <c r="AD105" i="12"/>
  <c r="AE105" i="12" s="1"/>
  <c r="W15" i="13"/>
  <c r="W31" i="13" s="1"/>
  <c r="AF26" i="13" l="1" a="1"/>
  <c r="AF26" i="13" s="1"/>
  <c r="BK117" i="12"/>
  <c r="BK118" i="12" s="1"/>
  <c r="O36" i="13"/>
  <c r="O32" i="13"/>
  <c r="O28" i="13"/>
  <c r="O24" i="13"/>
  <c r="O34" i="13"/>
  <c r="O29" i="13"/>
  <c r="O33" i="13"/>
  <c r="O27" i="13"/>
  <c r="O23" i="13"/>
  <c r="O31" i="13"/>
  <c r="O26" i="13"/>
  <c r="O35" i="13"/>
  <c r="O30" i="13"/>
  <c r="O25" i="13"/>
  <c r="C32" i="3"/>
  <c r="G28" i="3" s="1"/>
  <c r="C22" i="3"/>
  <c r="F17" i="3" s="1"/>
  <c r="BG100" i="12"/>
  <c r="BG117" i="12" s="1"/>
  <c r="BG118" i="12" s="1"/>
  <c r="BL100" i="12"/>
  <c r="J134" i="3"/>
  <c r="P134" i="3"/>
  <c r="W14" i="13"/>
  <c r="W30" i="13" s="1"/>
  <c r="BH100" i="12"/>
  <c r="BH101" i="12"/>
  <c r="BH117" i="12" s="1"/>
  <c r="BH118" i="12" s="1"/>
  <c r="BX100" i="12"/>
  <c r="BX117" i="12" s="1"/>
  <c r="BX118" i="12" s="1"/>
  <c r="BW14" i="13"/>
  <c r="BW13" i="13" s="1"/>
  <c r="S158" i="12"/>
  <c r="BX104" i="12"/>
  <c r="BK104" i="12"/>
  <c r="N51" i="9"/>
  <c r="S33" i="9"/>
  <c r="S34" i="9"/>
  <c r="O77" i="13"/>
  <c r="O73" i="13"/>
  <c r="O69" i="13"/>
  <c r="O76" i="13"/>
  <c r="O72" i="13"/>
  <c r="O68" i="13"/>
  <c r="O65" i="13"/>
  <c r="O75" i="13"/>
  <c r="O71" i="13"/>
  <c r="O67" i="13"/>
  <c r="O78" i="13"/>
  <c r="O74" i="13"/>
  <c r="O70" i="13"/>
  <c r="O66" i="13"/>
  <c r="AZ100" i="12"/>
  <c r="AZ117" i="12" s="1"/>
  <c r="AZ118" i="12" s="1"/>
  <c r="BP100" i="12"/>
  <c r="BN102" i="12"/>
  <c r="BM104" i="12"/>
  <c r="BI104" i="12"/>
  <c r="W13" i="13"/>
  <c r="W29" i="13" s="1"/>
  <c r="AZ103" i="12"/>
  <c r="BK101" i="12"/>
  <c r="AY100" i="12"/>
  <c r="BM101" i="12"/>
  <c r="BW12" i="13"/>
  <c r="BW11" i="13" s="1"/>
  <c r="S157" i="12"/>
  <c r="BX101" i="12"/>
  <c r="AX102" i="12"/>
  <c r="BR102" i="12"/>
  <c r="BV104" i="12"/>
  <c r="BF104" i="12"/>
  <c r="BB103" i="12"/>
  <c r="BR103" i="12"/>
  <c r="BS99" i="12"/>
  <c r="AY99" i="12"/>
  <c r="Q97" i="8"/>
  <c r="R36" i="8"/>
  <c r="P44" i="8" s="1"/>
  <c r="AF102" i="12"/>
  <c r="BS102" i="12"/>
  <c r="BS103" i="12"/>
  <c r="BJ103" i="12"/>
  <c r="O63" i="13"/>
  <c r="O59" i="13"/>
  <c r="O55" i="13"/>
  <c r="O62" i="13"/>
  <c r="O58" i="13"/>
  <c r="O54" i="13"/>
  <c r="O51" i="13"/>
  <c r="O61" i="13"/>
  <c r="O57" i="13"/>
  <c r="O53" i="13"/>
  <c r="O52" i="13"/>
  <c r="O64" i="13"/>
  <c r="O60" i="13"/>
  <c r="O56" i="13"/>
  <c r="BV117" i="12"/>
  <c r="BV118" i="12" s="1"/>
  <c r="BV100" i="12"/>
  <c r="BV101" i="12"/>
  <c r="BJ100" i="12"/>
  <c r="BT101" i="12"/>
  <c r="BT117" i="12" s="1"/>
  <c r="BT118" i="12" s="1"/>
  <c r="BO100" i="12"/>
  <c r="BO117" i="12" s="1"/>
  <c r="BO118" i="12" s="1"/>
  <c r="BJ104" i="12"/>
  <c r="AW104" i="12"/>
  <c r="BN100" i="12"/>
  <c r="BN117" i="12" s="1"/>
  <c r="BN118" i="12" s="1"/>
  <c r="BB100" i="12"/>
  <c r="BB117" i="12" s="1"/>
  <c r="BB118" i="12" s="1"/>
  <c r="BP104" i="12"/>
  <c r="H111" i="3"/>
  <c r="I111" i="3"/>
  <c r="L48" i="15"/>
  <c r="AG99" i="12"/>
  <c r="O20" i="13"/>
  <c r="O16" i="13"/>
  <c r="O12" i="13"/>
  <c r="O9" i="13"/>
  <c r="O19" i="13"/>
  <c r="O14" i="13"/>
  <c r="O18" i="13"/>
  <c r="O13" i="13"/>
  <c r="O22" i="13"/>
  <c r="O17" i="13"/>
  <c r="O11" i="13"/>
  <c r="O21" i="13"/>
  <c r="O15" i="13"/>
  <c r="O10" i="13"/>
  <c r="P42" i="8"/>
  <c r="O49" i="13"/>
  <c r="O45" i="13"/>
  <c r="O41" i="13"/>
  <c r="O48" i="13"/>
  <c r="O44" i="13"/>
  <c r="O40" i="13"/>
  <c r="O37" i="13"/>
  <c r="O47" i="13"/>
  <c r="O43" i="13"/>
  <c r="O39" i="13"/>
  <c r="O50" i="13"/>
  <c r="O46" i="13"/>
  <c r="O42" i="13"/>
  <c r="O38" i="13"/>
  <c r="BM100" i="12"/>
  <c r="AY101" i="12"/>
  <c r="BK100" i="12"/>
  <c r="BL102" i="12"/>
  <c r="BC104" i="12"/>
  <c r="BW20" i="13"/>
  <c r="BW19" i="13" s="1"/>
  <c r="S161" i="12"/>
  <c r="BP103" i="12"/>
  <c r="BD103" i="12"/>
  <c r="Y121" i="12" a="1"/>
  <c r="W9" i="13"/>
  <c r="W25" i="13" s="1"/>
  <c r="BM99" i="12"/>
  <c r="J116" i="3"/>
  <c r="BD104" i="12"/>
  <c r="AX103" i="12"/>
  <c r="BE103" i="12"/>
  <c r="BA99" i="12"/>
  <c r="BX103" i="12"/>
  <c r="BI6" i="11"/>
  <c r="E7" i="8"/>
  <c r="O131" i="8" s="1"/>
  <c r="Q131" i="8" s="1"/>
  <c r="E7" i="9"/>
  <c r="AN34" i="3"/>
  <c r="AP34" i="3" s="1"/>
  <c r="AN31" i="3"/>
  <c r="AN35" i="3"/>
  <c r="AP35" i="3" s="1"/>
  <c r="AN30" i="3"/>
  <c r="AP30" i="3" s="1"/>
  <c r="W11" i="13"/>
  <c r="W27" i="13" s="1"/>
  <c r="W10" i="13"/>
  <c r="W26" i="13" s="1"/>
  <c r="BE101" i="12"/>
  <c r="BE117" i="12" s="1"/>
  <c r="BE118" i="12" s="1"/>
  <c r="BU101" i="12"/>
  <c r="BU117" i="12" s="1"/>
  <c r="BU118" i="12" s="1"/>
  <c r="BL101" i="12"/>
  <c r="BL117" i="12" s="1"/>
  <c r="BL118" i="12" s="1"/>
  <c r="BP101" i="12"/>
  <c r="BA104" i="12"/>
  <c r="BA101" i="12"/>
  <c r="BC100" i="12"/>
  <c r="BQ101" i="12"/>
  <c r="BQ117" i="12" s="1"/>
  <c r="BQ118" i="12" s="1"/>
  <c r="AF100" i="12"/>
  <c r="BF101" i="12"/>
  <c r="BF117" i="12" s="1"/>
  <c r="BF118" i="12" s="1"/>
  <c r="BA100" i="12"/>
  <c r="AX10" i="11"/>
  <c r="BI10" i="11" s="1"/>
  <c r="AP22" i="11"/>
  <c r="BG104" i="12"/>
  <c r="AF104" i="12"/>
  <c r="O92" i="13"/>
  <c r="O88" i="13"/>
  <c r="O84" i="13"/>
  <c r="O80" i="13"/>
  <c r="O91" i="13"/>
  <c r="O87" i="13"/>
  <c r="O83" i="13"/>
  <c r="O90" i="13"/>
  <c r="O86" i="13"/>
  <c r="O82" i="13"/>
  <c r="O79" i="13"/>
  <c r="O89" i="13"/>
  <c r="O85" i="13"/>
  <c r="O81" i="13"/>
  <c r="P43" i="9"/>
  <c r="P41" i="9"/>
  <c r="F29" i="3"/>
  <c r="F18" i="3"/>
  <c r="D32" i="3"/>
  <c r="G29" i="3" s="1"/>
  <c r="D22" i="3"/>
  <c r="BP117" i="12"/>
  <c r="BP118" i="12" s="1"/>
  <c r="BI101" i="12"/>
  <c r="AZ101" i="12"/>
  <c r="BS100" i="12"/>
  <c r="W12" i="13"/>
  <c r="W28" i="13" s="1"/>
  <c r="BB104" i="12"/>
  <c r="F13" i="13"/>
  <c r="F12" i="13"/>
  <c r="F11" i="13"/>
  <c r="F15" i="13"/>
  <c r="F10" i="13"/>
  <c r="F9" i="13"/>
  <c r="F14" i="13"/>
  <c r="AF103" i="12"/>
  <c r="P43" i="8"/>
  <c r="P41" i="8"/>
  <c r="BD100" i="12"/>
  <c r="BD117" i="12" s="1"/>
  <c r="BD118" i="12" s="1"/>
  <c r="BD101" i="12"/>
  <c r="BT100" i="12"/>
  <c r="AW100" i="12"/>
  <c r="AW117" i="12" s="1"/>
  <c r="AW118" i="12" s="1"/>
  <c r="AF101" i="12"/>
  <c r="AG101" i="12" s="1"/>
  <c r="BI102" i="12"/>
  <c r="BQ104" i="12"/>
  <c r="BS104" i="12"/>
  <c r="BI11" i="11"/>
  <c r="BI15" i="11" s="1"/>
  <c r="BI16" i="11" s="1"/>
  <c r="AY103" i="12"/>
  <c r="BW103" i="12"/>
  <c r="BW117" i="12" s="1"/>
  <c r="BW118" i="12" s="1"/>
  <c r="BV103" i="12"/>
  <c r="AX99" i="12"/>
  <c r="AX117" i="12" s="1"/>
  <c r="AX118" i="12" s="1"/>
  <c r="BC99" i="12"/>
  <c r="H116" i="3"/>
  <c r="BI100" i="12"/>
  <c r="BI117" i="12" s="1"/>
  <c r="BI118" i="12" s="1"/>
  <c r="BR104" i="12"/>
  <c r="BR117" i="12" s="1"/>
  <c r="BR118" i="12" s="1"/>
  <c r="BL103" i="12"/>
  <c r="BJ99" i="12"/>
  <c r="BJ117" i="12" s="1"/>
  <c r="BJ118" i="12" s="1"/>
  <c r="J109" i="3"/>
  <c r="E101" i="3"/>
  <c r="P44" i="9"/>
  <c r="N101" i="3" l="1"/>
  <c r="N102" i="3" s="1"/>
  <c r="I103" i="3"/>
  <c r="I104" i="3" s="1"/>
  <c r="O109" i="3"/>
  <c r="D74" i="5"/>
  <c r="K19" i="5"/>
  <c r="R99" i="9"/>
  <c r="P46" i="9"/>
  <c r="L51" i="15"/>
  <c r="AG104" i="12"/>
  <c r="AY117" i="12"/>
  <c r="AY118" i="12" s="1"/>
  <c r="L49" i="15"/>
  <c r="AG103" i="12"/>
  <c r="P46" i="8"/>
  <c r="R99" i="8"/>
  <c r="P152" i="8"/>
  <c r="X130" i="8"/>
  <c r="X132" i="8" s="1"/>
  <c r="Q133" i="8"/>
  <c r="P151" i="8" s="1"/>
  <c r="BA117" i="12"/>
  <c r="BA118" i="12" s="1"/>
  <c r="Y127" i="12"/>
  <c r="Y123" i="12"/>
  <c r="Y126" i="12"/>
  <c r="Y122" i="12"/>
  <c r="Y125" i="12"/>
  <c r="Y124" i="12"/>
  <c r="Y121" i="12"/>
  <c r="P111" i="3"/>
  <c r="J111" i="3"/>
  <c r="L52" i="15"/>
  <c r="AG102" i="12"/>
  <c r="BS117" i="12"/>
  <c r="BS118" i="12" s="1"/>
  <c r="BO9" i="13" a="1"/>
  <c r="K17" i="5"/>
  <c r="D73" i="5"/>
  <c r="G18" i="3"/>
  <c r="BC117" i="12"/>
  <c r="BC118" i="12" s="1"/>
  <c r="L46" i="15"/>
  <c r="AG100" i="12"/>
  <c r="AR31" i="3"/>
  <c r="AP31" i="3"/>
  <c r="AP37" i="3" s="1"/>
  <c r="AV13" i="11"/>
  <c r="BM117" i="12"/>
  <c r="BM118" i="12" s="1"/>
  <c r="AF117" i="12"/>
  <c r="AF118" i="12" s="1"/>
  <c r="F28" i="3"/>
  <c r="T89" i="5" l="1"/>
  <c r="P89" i="5"/>
  <c r="T79" i="5"/>
  <c r="P79" i="5"/>
  <c r="R70" i="5"/>
  <c r="N70" i="5"/>
  <c r="S89" i="5"/>
  <c r="O89" i="5"/>
  <c r="S79" i="5"/>
  <c r="O79" i="5"/>
  <c r="Q70" i="5"/>
  <c r="M70" i="5"/>
  <c r="R89" i="5"/>
  <c r="N89" i="5"/>
  <c r="R79" i="5"/>
  <c r="N79" i="5"/>
  <c r="T70" i="5"/>
  <c r="P70" i="5"/>
  <c r="Q89" i="5"/>
  <c r="M89" i="5"/>
  <c r="Q79" i="5"/>
  <c r="M79" i="5"/>
  <c r="S70" i="5"/>
  <c r="O70" i="5"/>
  <c r="L53" i="15"/>
  <c r="BO14" i="13"/>
  <c r="BO10" i="13"/>
  <c r="BO13" i="13"/>
  <c r="BO12" i="13"/>
  <c r="BO11" i="13"/>
  <c r="BO9" i="13"/>
  <c r="BO15" i="13"/>
  <c r="T87" i="5"/>
  <c r="P87" i="5"/>
  <c r="T77" i="5"/>
  <c r="P77" i="5"/>
  <c r="R68" i="5"/>
  <c r="N68" i="5"/>
  <c r="S87" i="5"/>
  <c r="O87" i="5"/>
  <c r="S77" i="5"/>
  <c r="O77" i="5"/>
  <c r="Q68" i="5"/>
  <c r="M68" i="5"/>
  <c r="R87" i="5"/>
  <c r="N87" i="5"/>
  <c r="R77" i="5"/>
  <c r="N77" i="5"/>
  <c r="T68" i="5"/>
  <c r="P68" i="5"/>
  <c r="Q87" i="5"/>
  <c r="M87" i="5"/>
  <c r="Q77" i="5"/>
  <c r="M77" i="5"/>
  <c r="S68" i="5"/>
  <c r="O68" i="5"/>
  <c r="P50" i="15" l="1"/>
  <c r="P48" i="15"/>
  <c r="P51" i="15"/>
  <c r="P52" i="15"/>
  <c r="P46" i="15"/>
  <c r="P49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8" authorId="0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G18" authorId="0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H18" authorId="0" shapeId="0" xr:uid="{00000000-0006-0000-0000-00000F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I18" authorId="0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J18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M18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R18" authorId="0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S18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T18" authorId="0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U18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X18" authorId="0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C18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D18" authorId="0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E18" authorId="0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F18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AI18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N18" authorId="0" shapeId="0" xr:uid="{00000000-0006-0000-0000-00000D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O18" authorId="0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P18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Q18" authorId="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I2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J21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R21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S2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T21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AB21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AC21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AD21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B22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L22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V22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7" authorId="0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K42" authorId="0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Se tomo estacionaria por defecto IPCC
	-JULIAN</t>
        </r>
      </text>
    </comment>
    <comment ref="K43" authorId="0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JULIAN: Es GWP para 100 time horizon.
	-JULIAN</t>
        </r>
      </text>
    </comment>
    <comment ref="I45" authorId="0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También es 35,6522 MJ/m3. Corroborado en calculadora.
	-JULIAN</t>
        </r>
      </text>
    </comment>
    <comment ref="J46" authorId="0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C126" authorId="0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leña.
	-SubDemanda-UPME</t>
        </r>
      </text>
    </comment>
    <comment ref="C127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carbón mineral.
	-SubDemanda-UPME</t>
        </r>
      </text>
    </comment>
    <comment ref="C132" authorId="0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No existen datos disponibles de consumo y demanda de este energético.
	-SubDemanda-UPME</t>
        </r>
      </text>
    </comment>
    <comment ref="C133" authorId="0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Energético caracterizado en FECOC, pero se asume densidad teórica de fase liíquida de 2,1kg/gal
	-SubDemanda-UPME</t>
        </r>
      </text>
    </comment>
    <comment ref="C135" authorId="0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De acuerdo con las refinerias este gas es el mismo GLP, en una proxima versión se verá su consumo.
	-SubDemanda-UPME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6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Plan de Abastecimiento de Combustibles Líquidos, UPME-2019, pg.: 158 –162.
	-JULIAN</t>
        </r>
      </text>
    </comment>
    <comment ref="D25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Ellos asumen 90% y 84%, esto quiere decir 209,500 como carga máxima de bpd
	-JULIAN</t>
        </r>
      </text>
    </comment>
    <comment ref="C40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Hoy en día se importa 5% de la capacidad operativa de barrancabermeja. (Livianos)
	-JULIAN</t>
        </r>
      </text>
    </comment>
    <comment ref="C45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
	-tc={A5C3C82D-00EF-402F-9D9F-9B485154169C}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33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Reficar 2020.
	-JULIAN</t>
        </r>
      </text>
    </comment>
    <comment ref="N34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
	-tc={C3D33A80-FBA2-49ED-9F56-A08EC0925B50}</t>
        </r>
      </text>
    </comment>
    <comment ref="A35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4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800-00000C000000}">
      <text>
        <r>
          <rPr>
            <sz val="11"/>
            <color theme="1"/>
            <rFont val="Calibri"/>
            <family val="2"/>
            <scheme val="minor"/>
          </rPr>
          <t>Yañez et al. (2020)
	-JULIAN</t>
        </r>
      </text>
    </comment>
    <comment ref="N33" authorId="0" shapeId="0" xr:uid="{00000000-0006-0000-0800-00000B000000}">
      <text>
        <r>
          <rPr>
            <sz val="11"/>
            <color theme="1"/>
            <rFont val="Calibri"/>
            <family val="2"/>
            <scheme val="minor"/>
          </rPr>
          <t>Yañez et al (2020)
	-JULIAN</t>
        </r>
      </text>
    </comment>
    <comment ref="A35" authorId="0" shapeId="0" xr:uid="{00000000-0006-0000-0800-000006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800-00000E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Q54" authorId="0" shapeId="0" xr:uid="{00000000-0006-0000-0800-000010000000}">
      <text>
        <r>
          <rPr>
            <sz val="11"/>
            <color theme="1"/>
            <rFont val="Calibri"/>
            <family val="2"/>
            <scheme val="minor"/>
          </rPr>
          <t>LEAP
	-JULIAN</t>
        </r>
      </text>
    </comment>
    <comment ref="N84" authorId="0" shapeId="0" xr:uid="{00000000-0006-0000-0800-000008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800-000007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800-000009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800-00000A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800-00000D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800-000011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800-00000F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3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H24" authorId="0" shapeId="0" xr:uid="{00000000-0006-0000-0900-00000B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H25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H27" authorId="0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H30" authorId="0" shapeId="0" xr:uid="{00000000-0006-0000-0900-000008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F31" authorId="0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H31" authorId="0" shapeId="0" xr:uid="{00000000-0006-0000-0900-000007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H32" authorId="0" shapeId="0" xr:uid="{00000000-0006-0000-0900-000006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V34" authorId="0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Son 6.1 Barriles por dia, que se suman como cero.
	-JULIAN</t>
        </r>
      </text>
    </comment>
    <comment ref="V35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>Son 27,6 Barriles por día, que se asumen como cero
	-JULIAN</t>
        </r>
      </text>
    </comment>
    <comment ref="F65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24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106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5" authorId="0" shapeId="0" xr:uid="{00000000-0006-0000-0B00-000011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6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7" authorId="0" shapeId="0" xr:uid="{00000000-0006-0000-0B00-000008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AF17" authorId="0" shapeId="0" xr:uid="{00000000-0006-0000-0B00-000012000000}">
      <text>
        <r>
          <rPr>
            <sz val="11"/>
            <color theme="1"/>
            <rFont val="Calibri"/>
            <family val="2"/>
            <scheme val="minor"/>
          </rPr>
          <t>Puede ser la diferencia 23% de ANH y 10% en Global Data de GOR
	-JULIAN</t>
        </r>
      </text>
    </comment>
    <comment ref="K19" authorId="0" shapeId="0" xr:uid="{00000000-0006-0000-0B00-000009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2" authorId="0" shapeId="0" xr:uid="{00000000-0006-0000-0B00-00000D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23" authorId="0" shapeId="0" xr:uid="{00000000-0006-0000-0B00-00001E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23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4" authorId="0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27" authorId="0" shapeId="0" xr:uid="{00000000-0006-0000-0B00-00001F000000}">
      <text>
        <r>
          <rPr>
            <sz val="11"/>
            <color theme="1"/>
            <rFont val="Calibri"/>
            <family val="2"/>
            <scheme val="minor"/>
          </rPr>
          <t>Las producciones son de 0, 6 y 24 Bpd respectivamente, por eso no se incluyen.
	-JULIAN</t>
        </r>
      </text>
    </comment>
    <comment ref="K45" authorId="0" shapeId="0" xr:uid="{00000000-0006-0000-0B00-000019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46" authorId="0" shapeId="0" xr:uid="{00000000-0006-0000-0B00-00002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47" authorId="0" shapeId="0" xr:uid="{00000000-0006-0000-0B00-00000C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49" authorId="0" shapeId="0" xr:uid="{00000000-0006-0000-0B00-000010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52" authorId="0" shapeId="0" xr:uid="{00000000-0006-0000-0B00-00000F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53" authorId="0" shapeId="0" xr:uid="{00000000-0006-0000-0B00-00002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53" authorId="0" shapeId="0" xr:uid="{00000000-0006-0000-0B00-000006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54" authorId="0" shapeId="0" xr:uid="{00000000-0006-0000-0B00-000007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K77" authorId="0" shapeId="0" xr:uid="{00000000-0006-0000-0B00-000017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78" authorId="0" shapeId="0" xr:uid="{00000000-0006-0000-0B00-00001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79" authorId="0" shapeId="0" xr:uid="{00000000-0006-0000-0B00-000016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P79" authorId="0" shapeId="0" xr:uid="{00000000-0006-0000-0B00-00001B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Según GlobalData es 10%
	-tc={D0885B34-4AE8-4094-B4E9-2688FE72BF6A}</t>
        </r>
      </text>
    </comment>
    <comment ref="K81" authorId="0" shapeId="0" xr:uid="{00000000-0006-0000-0B00-000018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84" authorId="0" shapeId="0" xr:uid="{00000000-0006-0000-0B00-000014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85" authorId="0" shapeId="0" xr:uid="{00000000-0006-0000-0B00-00000A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85" authorId="0" shapeId="0" xr:uid="{00000000-0006-0000-0B00-00001C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86" authorId="0" shapeId="0" xr:uid="{00000000-0006-0000-0B00-00001D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164" authorId="0" shapeId="0" xr:uid="{00000000-0006-0000-0B00-000020000000}">
      <text>
        <r>
          <rPr>
            <sz val="11"/>
            <color theme="1"/>
            <rFont val="Calibri"/>
            <family val="2"/>
            <scheme val="minor"/>
          </rPr>
          <t>YP23252/
	-JULIAN</t>
        </r>
      </text>
    </comment>
    <comment ref="Z164" authorId="0" shapeId="0" xr:uid="{00000000-0006-0000-0B00-00001A000000}">
      <text>
        <r>
          <rPr>
            <sz val="11"/>
            <color theme="1"/>
            <rFont val="Calibri"/>
            <family val="2"/>
            <scheme val="minor"/>
          </rPr>
          <t>https://www.bnamericas.com/es/noticias/ecopetrol-pone-en-marcha-nueva-planta-de-glp-en-cupiagua-casanare
	-JULIAN</t>
        </r>
      </text>
    </comment>
    <comment ref="AA164" authorId="0" shapeId="0" xr:uid="{00000000-0006-0000-0B00-000022000000}">
      <text>
        <r>
          <rPr>
            <sz val="11"/>
            <color theme="1"/>
            <rFont val="Calibri"/>
            <family val="2"/>
            <scheme val="minor"/>
          </rPr>
          <t>https://www.portafolio.co/negocios/empresas/comenzo-operar-nueva-planta-glp-cusiana-152324
	-JULIAN</t>
        </r>
      </text>
    </comment>
    <comment ref="AC164" authorId="0" shapeId="0" xr:uid="{00000000-0006-0000-0B00-000021000000}">
      <text>
        <r>
          <rPr>
            <sz val="11"/>
            <color theme="1"/>
            <rFont val="Calibri"/>
            <family val="2"/>
            <scheme val="minor"/>
          </rPr>
          <t>TY-GAS S.A.
file:///C:/Users/JULIAN/OneDrive%20-%20UNIVERSIDAD%20INDUSTRIAL%20DE%20SANTANDER/0%20T%20E%20S%20I%20S%20%20%20%20D%20E%20%20%20%20M%20A%20E%20S%20T%20R%20I%20A/0%20Documentacion%20Modelo/BAS%201%20Petroleo%20Y%20Gas/1%20Tecnologias%20Produccion/Gasfield/Florena/FLO%204%20-%20TESIS%202014%20Liquid%20hydrocarbons.pdf
	-JULIAN</t>
        </r>
      </text>
    </comment>
    <comment ref="N183" authorId="0" shapeId="0" xr:uid="{00000000-0006-0000-0B00-00000B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=(1,8+((2,7-1,8)/2))/1000
TGI 2020 Cartilla de emisiones
	-JULIAN</t>
        </r>
      </text>
    </comment>
    <comment ref="U183" authorId="0" shapeId="0" xr:uid="{00000000-0006-0000-0B00-000024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N184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Edgar, Tesis, p. 45.
Unravelling the…
Unidades, MJ/GJ oil
R1: 4,6 Orinoquia
R2: 3,9 Central
R3: 1,1 Sur
Alrededor de 5, según https://iea-etsap.org/E-TechDS/PDF/P03_oilgaslogistics_PS_revised_GSOK2.pdf
	-JULIAN</t>
        </r>
      </text>
    </comment>
    <comment ref="U184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>Cenit, 0,00211 PJ/PJ
1,53 Kwh/bl
Electricidad 0,00211
1,24667 Kwh/bl
Edgar, Tesis, p. 45.
Unravelling the…
Unidades, MJ/GJ oil
R1: 4,6 Orinoquia
R2: 3,9 Central
R3: 1,1 Sur
Alrededor de 5, según https://iea-etsap.org/E-TechDS/PDF/P03_oilgaslogistics_PS_revised_GSOK2.pdf
	-JULIAN</t>
        </r>
      </text>
    </comment>
    <comment ref="N189" authorId="0" shapeId="0" xr:uid="{00000000-0006-0000-0B00-000015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U189" authorId="0" shapeId="0" xr:uid="{00000000-0006-0000-0B00-000026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Q193" authorId="0" shapeId="0" xr:uid="{00000000-0006-0000-0B00-00000E000000}">
      <text>
        <r>
          <rPr>
            <sz val="11"/>
            <color theme="1"/>
            <rFont val="Calibri"/>
            <family val="2"/>
            <scheme val="minor"/>
          </rPr>
          <t>Edgar tesis
	-JULIAN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Q6" authorId="0" shapeId="0" xr:uid="{00000000-0006-0000-0C00-000003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G9" authorId="0" shapeId="0" xr:uid="{00000000-0006-0000-0C00-000002000000}">
      <text>
        <r>
          <rPr>
            <sz val="11"/>
            <color theme="1"/>
            <rFont val="Calibri"/>
            <family val="2"/>
            <scheme val="minor"/>
          </rPr>
          <t>JULIAN
Valor ficticio, ayuda a que el modelo no produzca todas las reservas en el primer año.
Esto sucede porque es una commodity importante que no tendría ningún costo.
	-JULIAN</t>
        </r>
      </text>
    </comment>
    <comment ref="W25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>GOR*%Flaring * Share-I-(Rcam)*FE(gas)/EFF(proceso)
	-JULIAN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4" authorId="0" shapeId="0" xr:uid="{00000000-0006-0000-0D00-000001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Diesel 60%, Oil 32%
Respuesta:
    Asumir que la otra parte es gas
	-tc={868AF7DB-440D-4B5E-A29F-3497F786B337}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6" authorId="0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file:///C:/Users/JULIAN/Desktop/El+Grupo+Ecopetrol+increment%C3%B3+sus+reservas+probadas+de+hidrocarburos+a+1.727+millones+de+barriles+equivalentes+al+cierre+de+2018.pdf
	-JULIAN</t>
        </r>
      </text>
    </comment>
    <comment ref="O6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file:///C:/Users/JULIAN/Desktop/El+Grupo+Ecopetrol+increment%C3%B3+sus+reservas+probadas+de+hidrocarburos+a+1,893+millones+de+barriles+equivalentes+al+cierre+de+2019.pdf
	-JULIAN</t>
        </r>
      </text>
    </comment>
    <comment ref="P6" authorId="0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Q6" authorId="0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I44" authorId="0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Abastecimiento de Gas Natural, 2020
	-JULIAN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<sst xmlns="http://schemas.openxmlformats.org/spreadsheetml/2006/main" count="5049" uniqueCount="1644">
  <si>
    <t>Campos</t>
  </si>
  <si>
    <t>Primary Energy</t>
  </si>
  <si>
    <t>Secondary Energy</t>
  </si>
  <si>
    <t>Electricidad</t>
  </si>
  <si>
    <t>Emisiones eq</t>
  </si>
  <si>
    <t>Sectores</t>
  </si>
  <si>
    <t>CAM1</t>
  </si>
  <si>
    <t>GAS</t>
  </si>
  <si>
    <t>GSL</t>
  </si>
  <si>
    <t>ELC</t>
  </si>
  <si>
    <t>CO2e</t>
  </si>
  <si>
    <t>AGR</t>
  </si>
  <si>
    <t>CAM2</t>
  </si>
  <si>
    <t>LOIL</t>
  </si>
  <si>
    <t>DSL</t>
  </si>
  <si>
    <t>TER</t>
  </si>
  <si>
    <t>CAM3</t>
  </si>
  <si>
    <t>MOIL</t>
  </si>
  <si>
    <t>KER</t>
  </si>
  <si>
    <t>RSD</t>
  </si>
  <si>
    <t>CAM4</t>
  </si>
  <si>
    <t>HOIL</t>
  </si>
  <si>
    <t>LPG</t>
  </si>
  <si>
    <t>IND</t>
  </si>
  <si>
    <t>CAM5</t>
  </si>
  <si>
    <t>FLU</t>
  </si>
  <si>
    <t>HFO</t>
  </si>
  <si>
    <t>TRA</t>
  </si>
  <si>
    <t>CAM6</t>
  </si>
  <si>
    <t>GAS-plt</t>
  </si>
  <si>
    <t>ETH</t>
  </si>
  <si>
    <t>CAM7</t>
  </si>
  <si>
    <t>BDSL</t>
  </si>
  <si>
    <t>CAM8</t>
  </si>
  <si>
    <t>CAM9</t>
  </si>
  <si>
    <t>CAM10</t>
  </si>
  <si>
    <t>DEMANDAS</t>
  </si>
  <si>
    <t>FLUIDOS EN CAMPOS</t>
  </si>
  <si>
    <t>FLUIDOS EN REFINERIA Y DEMANDA</t>
  </si>
  <si>
    <t>EMISIONES</t>
  </si>
  <si>
    <t>~FI_Comm</t>
  </si>
  <si>
    <t>Csets</t>
  </si>
  <si>
    <t>Region</t>
  </si>
  <si>
    <t>CommName</t>
  </si>
  <si>
    <t>CommDesc</t>
  </si>
  <si>
    <t>Unit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</si>
  <si>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</si>
  <si>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</si>
  <si>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</si>
  <si>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</si>
  <si>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</si>
  <si>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</si>
  <si>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</si>
  <si>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</si>
  <si>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</si>
  <si>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</si>
  <si>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</si>
  <si>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</si>
  <si>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NRG</t>
  </si>
  <si>
    <t>PJ</t>
  </si>
  <si>
    <t>Gasolina</t>
  </si>
  <si>
    <t>ENV</t>
  </si>
  <si>
    <t>kt</t>
  </si>
  <si>
    <t>Diesel</t>
  </si>
  <si>
    <t>DDSL</t>
  </si>
  <si>
    <t>Keroseno-Jet</t>
  </si>
  <si>
    <t>DKER</t>
  </si>
  <si>
    <t>DLPG</t>
  </si>
  <si>
    <t>CO2e-CAM4</t>
  </si>
  <si>
    <t>Combustoleo</t>
  </si>
  <si>
    <t>DHFO</t>
  </si>
  <si>
    <t>CO2e-CAM5</t>
  </si>
  <si>
    <t>Etanol</t>
  </si>
  <si>
    <t>CO2e-CAM6</t>
  </si>
  <si>
    <t>Biodiesel</t>
  </si>
  <si>
    <t>DLOIL</t>
  </si>
  <si>
    <t>CO2e-CAM7</t>
  </si>
  <si>
    <t>Gasolina natural</t>
  </si>
  <si>
    <t>DMOIL</t>
  </si>
  <si>
    <t>Petroleo liviano</t>
  </si>
  <si>
    <t>DHOIL</t>
  </si>
  <si>
    <t>Petroleo mediano</t>
  </si>
  <si>
    <t>DH2</t>
  </si>
  <si>
    <t>Demanda del Hidrogeno</t>
  </si>
  <si>
    <t>Petroleo pesado</t>
  </si>
  <si>
    <t>DEM</t>
  </si>
  <si>
    <t>Demanda del sector Agricultura, Construccion y Mineria</t>
  </si>
  <si>
    <t>CO2e-CAM2-CAM3</t>
  </si>
  <si>
    <t>CO2eq del CAM2-CAM3</t>
  </si>
  <si>
    <t>GAS-CAM2</t>
  </si>
  <si>
    <t>GSL-E10</t>
  </si>
  <si>
    <t>Gasolina mezclada con etanol E10</t>
  </si>
  <si>
    <t>DTER</t>
  </si>
  <si>
    <t>Demanda de sector Terciario</t>
  </si>
  <si>
    <t>CO2e-SIN</t>
  </si>
  <si>
    <t>CO2eq de SIN</t>
  </si>
  <si>
    <t>GAS-CAM3</t>
  </si>
  <si>
    <t>DSL-B10</t>
  </si>
  <si>
    <t>Diesel mezclada con biodiesel B10</t>
  </si>
  <si>
    <t>DRSD</t>
  </si>
  <si>
    <t>Demanda del sector residencial</t>
  </si>
  <si>
    <t>GAS-CAM4</t>
  </si>
  <si>
    <t>AVG</t>
  </si>
  <si>
    <t>Aviation gasoline</t>
  </si>
  <si>
    <t>DIND</t>
  </si>
  <si>
    <t>Demanda del sector Industrial</t>
  </si>
  <si>
    <t>GAS-CAM5</t>
  </si>
  <si>
    <t>RFG</t>
  </si>
  <si>
    <t>Refinery Gas</t>
  </si>
  <si>
    <t>DTRA</t>
  </si>
  <si>
    <t>Demanda del sector Transporte</t>
  </si>
  <si>
    <t>GAS-CAM6</t>
  </si>
  <si>
    <t>GSL-E15</t>
  </si>
  <si>
    <t>Gasolina mezclada con etanol E15</t>
  </si>
  <si>
    <t>DAVG</t>
  </si>
  <si>
    <t>Demanda de AVG</t>
  </si>
  <si>
    <t>GAS-CAM7</t>
  </si>
  <si>
    <t>GSL-B10</t>
  </si>
  <si>
    <t>Diesel mezclada con biodiesel B15</t>
  </si>
  <si>
    <t>DBDSL</t>
  </si>
  <si>
    <t>Demanda de Biodiesel</t>
  </si>
  <si>
    <t>RFG1</t>
  </si>
  <si>
    <t>Refinery Gas de la refineria 1</t>
  </si>
  <si>
    <t>DETH</t>
  </si>
  <si>
    <t>Demanda de Ethanol</t>
  </si>
  <si>
    <t>RFG2</t>
  </si>
  <si>
    <t>Refinery Gas de la refineria 2</t>
  </si>
  <si>
    <t>LOIL-CAM2</t>
  </si>
  <si>
    <t>CO2e-DAVG</t>
  </si>
  <si>
    <t>CO2eq de Demanda de AVGAS</t>
  </si>
  <si>
    <t>CO2e-RFG</t>
  </si>
  <si>
    <t>CO2eq de Demanda de RFG</t>
  </si>
  <si>
    <t>LOIL-CAM4</t>
  </si>
  <si>
    <t>CO2e-Scope3</t>
  </si>
  <si>
    <t>CO2eq de Demande del Scope 3</t>
  </si>
  <si>
    <t>CO2e-REF1</t>
  </si>
  <si>
    <t>CO2eq en Refineria 1</t>
  </si>
  <si>
    <t>CO2e-REF2</t>
  </si>
  <si>
    <t>LOIL-CAM7</t>
  </si>
  <si>
    <t>MOIL-CAM5</t>
  </si>
  <si>
    <t>MOIL-CAM6</t>
  </si>
  <si>
    <t>HOIL-CAM3</t>
  </si>
  <si>
    <t>GAS-plt-CAM2</t>
  </si>
  <si>
    <t>GAS-plt-CAM3</t>
  </si>
  <si>
    <t>GAS-plt-CAM4</t>
  </si>
  <si>
    <t>GAS-plt-CAM5</t>
  </si>
  <si>
    <t>GAS-plt-CAM7</t>
  </si>
  <si>
    <t>Fluidos del campo 1</t>
  </si>
  <si>
    <t>Fluidos del campo 2</t>
  </si>
  <si>
    <t>Fluidos del campo 3</t>
  </si>
  <si>
    <t>Fluidos del campo 4</t>
  </si>
  <si>
    <t>Fluidos del campo 5</t>
  </si>
  <si>
    <t>Fluidos del campo 6</t>
  </si>
  <si>
    <t>Fluidos del campo 7</t>
  </si>
  <si>
    <t>Fluidos del campo 8</t>
  </si>
  <si>
    <t>Fluidos del campo 9</t>
  </si>
  <si>
    <t>Fluidos del campo 10</t>
  </si>
  <si>
    <t>ELC-CAM1</t>
  </si>
  <si>
    <t>Electricidad en el campo 1</t>
  </si>
  <si>
    <t>ELC-CAM2</t>
  </si>
  <si>
    <t>Electricidad en el campo 2</t>
  </si>
  <si>
    <t>ELC-CAM3</t>
  </si>
  <si>
    <t>Electricidad en el campo 3</t>
  </si>
  <si>
    <t>ELC-CAM4</t>
  </si>
  <si>
    <t>Electricidad en el campo 4</t>
  </si>
  <si>
    <t>ELC-CAM5</t>
  </si>
  <si>
    <t>Electricidad en el campo 5</t>
  </si>
  <si>
    <t>ELC-CAM6</t>
  </si>
  <si>
    <t>Electricidad en el campo 6</t>
  </si>
  <si>
    <t>ELC-CAM7</t>
  </si>
  <si>
    <t>Electricidad en el campo 7</t>
  </si>
  <si>
    <t>ELC-CAM8</t>
  </si>
  <si>
    <t>Electricidad en el campo 8</t>
  </si>
  <si>
    <t>ELC-CAM9</t>
  </si>
  <si>
    <t>Electricidad en el campo 9</t>
  </si>
  <si>
    <t>ELC-CAM10</t>
  </si>
  <si>
    <t>Electricidad en el campo 10</t>
  </si>
  <si>
    <t>FUEL-COLOIL-CAM1</t>
  </si>
  <si>
    <t>Combustible para transporte petroleo Campo 1</t>
  </si>
  <si>
    <t>FUEL-COLOIL-CAM2</t>
  </si>
  <si>
    <t>Combustible para transporte petroleo Campo 2</t>
  </si>
  <si>
    <t>FUEL-COLOIL-CAM3</t>
  </si>
  <si>
    <t>Combustible para transporte petroleo Campo 3</t>
  </si>
  <si>
    <t>FUEL-COLOIL-CAM4</t>
  </si>
  <si>
    <t>Combustible para transporte petroleo Campo 4</t>
  </si>
  <si>
    <t>FUEL-COLOIL-CAM5</t>
  </si>
  <si>
    <t>Combustible para transporte petroleo Campo 5</t>
  </si>
  <si>
    <t>FUEL-COLOIL-CAM6</t>
  </si>
  <si>
    <t>Combustible para transporte petroleo Campo 6</t>
  </si>
  <si>
    <t>FUEL-COLOIL-CAM7</t>
  </si>
  <si>
    <t>Combustible para transporte petroleo Campo 7</t>
  </si>
  <si>
    <t>FUEL-COLGAS-CAM1</t>
  </si>
  <si>
    <t>Combustible para transporte gas Campo 1</t>
  </si>
  <si>
    <t>FUEL-COLGAS-CAM2</t>
  </si>
  <si>
    <t>Combustible para transporte gas Campo 2</t>
  </si>
  <si>
    <t>FUEL-COLGAS-CAM3</t>
  </si>
  <si>
    <t>Combustible para transporte gas Campo 3</t>
  </si>
  <si>
    <t>FUEL-COLGAS-CAM4</t>
  </si>
  <si>
    <t>Combustible para transporte gas Campo 4</t>
  </si>
  <si>
    <t>FUEL-COLGAS-CAM5</t>
  </si>
  <si>
    <t>Combustible para transporte gas Campo 5</t>
  </si>
  <si>
    <t>FUEL-COLGAS-CAM6</t>
  </si>
  <si>
    <t>Combustible para transporte gas Campo 6</t>
  </si>
  <si>
    <t>FUEL-COLGAS-CAM7</t>
  </si>
  <si>
    <t>Combustible para transporte gas Campo 7</t>
  </si>
  <si>
    <t>FUEL-GAS-CAM1</t>
  </si>
  <si>
    <t>Gas usado como combustible en Campo 1</t>
  </si>
  <si>
    <t>FUEL-GAS-CAM2</t>
  </si>
  <si>
    <t>Gas usado como combustible en Campo 2</t>
  </si>
  <si>
    <t>FUEL-GAS-CAM3</t>
  </si>
  <si>
    <t>Gas usado como combustible en Campo 3</t>
  </si>
  <si>
    <t>FUEL-GAS-CAM4</t>
  </si>
  <si>
    <t>Gas usado como combustible en Campo 4</t>
  </si>
  <si>
    <t>FUEL-GAS-CAM5</t>
  </si>
  <si>
    <t>Gas usado como combustible en Campo 5</t>
  </si>
  <si>
    <t>FUEL-GAS-CAM6</t>
  </si>
  <si>
    <t>Gas usado como combustible en Campo 6</t>
  </si>
  <si>
    <t>FUEL-GAS-CAM7</t>
  </si>
  <si>
    <t>Gas usado como combustible en Campo 7</t>
  </si>
  <si>
    <t>FUEL-OIL-CAM1</t>
  </si>
  <si>
    <t>OIL usado como combustible en Campo 1</t>
  </si>
  <si>
    <t>FUEL-OIL-CAM2</t>
  </si>
  <si>
    <t>OIL usado como combustible en Campo 2</t>
  </si>
  <si>
    <t>FUEL-OIL-CAM3</t>
  </si>
  <si>
    <t>OIL usado como combustible en Campo 3</t>
  </si>
  <si>
    <t>FUEL-OIL-CAM4</t>
  </si>
  <si>
    <t>OIL usado como combustible en Campo 4</t>
  </si>
  <si>
    <t>FUEL-OIL-CAM5</t>
  </si>
  <si>
    <t>OIL usado como combustible en Campo 5</t>
  </si>
  <si>
    <t>FUEL-OIL-CAM6</t>
  </si>
  <si>
    <t>OIL usado como combustible en Campo 6</t>
  </si>
  <si>
    <t>FUEL-OIL-CAM7</t>
  </si>
  <si>
    <t>OIL usado como combustible en Campo 7</t>
  </si>
  <si>
    <t>DSL usado en transporte del campo 1</t>
  </si>
  <si>
    <t>DSL usado en transporte del campo 2</t>
  </si>
  <si>
    <t>DSL usado en transporte del campo 3</t>
  </si>
  <si>
    <t>DSL usado en transporte del campo 4</t>
  </si>
  <si>
    <t>DSL usado en transporte del campo 5</t>
  </si>
  <si>
    <t>DSL usado en transporte del campo 6</t>
  </si>
  <si>
    <t>DSL usado en transporte del campo 7</t>
  </si>
  <si>
    <t>FUEL-LPG-CAM2</t>
  </si>
  <si>
    <t>LPG usado en el campo 2</t>
  </si>
  <si>
    <t>Electricidad comprada al SIN</t>
  </si>
  <si>
    <t>ELC-CAM2-CAM3</t>
  </si>
  <si>
    <t>Electricidad usada en el campo 23</t>
  </si>
  <si>
    <t>ELC-COL-CAM1</t>
  </si>
  <si>
    <t>Electricidad para colectores del campo 1</t>
  </si>
  <si>
    <t>ELC-COL-CAM2-CAM3</t>
  </si>
  <si>
    <t>Electricidad para colectores del campo 2</t>
  </si>
  <si>
    <t>ELC-COL-CAM3</t>
  </si>
  <si>
    <t>Electricidad para colectores del campo 3</t>
  </si>
  <si>
    <t>ELC-COL-CAM4</t>
  </si>
  <si>
    <t>Electricidad para colectores del campo 4</t>
  </si>
  <si>
    <t>ELC-COL-CAM5</t>
  </si>
  <si>
    <t>Electricidad para colectores del campo 5</t>
  </si>
  <si>
    <t>ELC-COL-CAM6</t>
  </si>
  <si>
    <t>Electricidad para colectores del campo 6</t>
  </si>
  <si>
    <t>ELC-COL-CAM7</t>
  </si>
  <si>
    <t>Electricidad para colectores del campo 7</t>
  </si>
  <si>
    <t>ELC-COLOIL-CAM1</t>
  </si>
  <si>
    <t>Energia para colectores de petroleo en campo 1</t>
  </si>
  <si>
    <t>ELC-COLOIL-CAM2</t>
  </si>
  <si>
    <t>Energia para colectores de petroleo en campo 2</t>
  </si>
  <si>
    <t>ELC-COLOIL-CAM4</t>
  </si>
  <si>
    <t>Energia para colectores de petroleo en campo 4</t>
  </si>
  <si>
    <t>ELC-COLOIL-CAM5</t>
  </si>
  <si>
    <t>Energia para colectores de petroleo en campo 5</t>
  </si>
  <si>
    <t>ELC-COLOIL-CAM6</t>
  </si>
  <si>
    <t>Energia para colectores de petroleo en campo 6</t>
  </si>
  <si>
    <t>ELC-COLOIL-CAM7</t>
  </si>
  <si>
    <t>Energia para colectores de petroleo en campo 7</t>
  </si>
  <si>
    <t>ELC-O-COL-CAM1</t>
  </si>
  <si>
    <t>Electricidad compradapara colectores OIL de CAM1</t>
  </si>
  <si>
    <t>ELC-O-COL-CAM2-CAM3</t>
  </si>
  <si>
    <t>Electricidad compradapara colectores OIL de CAM2-CAM3</t>
  </si>
  <si>
    <t>ELC-O-COL-CAM4</t>
  </si>
  <si>
    <t>Electricidad compradapara colectores OIL de CAM4</t>
  </si>
  <si>
    <t>ELC-O-COL-CAM5</t>
  </si>
  <si>
    <t>Electricidad compradapara colectores OIL de CAM5</t>
  </si>
  <si>
    <t>ELC-O-COL-CAM6</t>
  </si>
  <si>
    <t>Electricidad compradapara colectores OIL de CAM6</t>
  </si>
  <si>
    <t>ELC-O-COL-CAM7</t>
  </si>
  <si>
    <t>Electricidad compradapara colectores OIL de CAM7</t>
  </si>
  <si>
    <t>ELC-G-COL-CAM1</t>
  </si>
  <si>
    <t>Electricidad compradapara colectores GAS de CAM1</t>
  </si>
  <si>
    <t>ELC-G-COL-CAM2-CAM3</t>
  </si>
  <si>
    <t>Electricidad compradapara colectores GAS de CAM2-CAM3</t>
  </si>
  <si>
    <t>ELC-G-COL-CAM4</t>
  </si>
  <si>
    <t>Electricidad compradapara colectores GAS de CAM4</t>
  </si>
  <si>
    <t>ELC-G-COL-CAM5</t>
  </si>
  <si>
    <t>Electricidad compradapara colectores GAS de CAM5</t>
  </si>
  <si>
    <t>ELC-G-COL-CAM6</t>
  </si>
  <si>
    <t>Electricidad compradapara colectores GAS de CAM6</t>
  </si>
  <si>
    <t>ELC-G-COL-CAM7</t>
  </si>
  <si>
    <t>Electricidad compradapara colectores GAS de CAM7</t>
  </si>
  <si>
    <t>Procesos</t>
  </si>
  <si>
    <t>Fluidos</t>
  </si>
  <si>
    <t>Ventas/Compras</t>
  </si>
  <si>
    <t>MIN</t>
  </si>
  <si>
    <t>IMP</t>
  </si>
  <si>
    <t>PROF</t>
  </si>
  <si>
    <t>EXP</t>
  </si>
  <si>
    <t>COL</t>
  </si>
  <si>
    <t>REF</t>
  </si>
  <si>
    <t>AUTO-G</t>
  </si>
  <si>
    <t>PROSF</t>
  </si>
  <si>
    <t>AUTO-O</t>
  </si>
  <si>
    <t>MINAS</t>
  </si>
  <si>
    <t>PRODUCCION, COLECTORES, Y AUTOGENERACION</t>
  </si>
  <si>
    <t>REFINERIA</t>
  </si>
  <si>
    <t>~FI_Process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</si>
  <si>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</si>
  <si>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</si>
  <si>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</si>
  <si>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</si>
  <si>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</si>
  <si>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</si>
  <si>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</si>
  <si>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</si>
  <si>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</si>
  <si>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</si>
  <si>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Technology Description</t>
  </si>
  <si>
    <t>Activity Unit</t>
  </si>
  <si>
    <t>Capacity Unit</t>
  </si>
  <si>
    <t>TimeSlice level of Process Activity</t>
  </si>
  <si>
    <t>Primary Commodity Group</t>
  </si>
  <si>
    <t>Vintage Tracking</t>
  </si>
  <si>
    <t>*</t>
  </si>
  <si>
    <t>Pja</t>
  </si>
  <si>
    <t>PRE</t>
  </si>
  <si>
    <t>Separador del campo 1</t>
  </si>
  <si>
    <t>Separador del campo 2</t>
  </si>
  <si>
    <t>Separador del campo 3</t>
  </si>
  <si>
    <t>Separador del campo 4</t>
  </si>
  <si>
    <t>Separador del campo 5</t>
  </si>
  <si>
    <t>Separador del campo 6</t>
  </si>
  <si>
    <t>Separador del campo 7</t>
  </si>
  <si>
    <t>Separador del campo 8</t>
  </si>
  <si>
    <t>Separador del campo 9</t>
  </si>
  <si>
    <t>Separador del campo 10</t>
  </si>
  <si>
    <t>COL-GAS</t>
  </si>
  <si>
    <t>Colector de Gas</t>
  </si>
  <si>
    <t>COL-LOIL</t>
  </si>
  <si>
    <t>Colector de Loil</t>
  </si>
  <si>
    <t>COL-MOIL</t>
  </si>
  <si>
    <t>Colector de Moil</t>
  </si>
  <si>
    <t>COL-HOIL</t>
  </si>
  <si>
    <t>Colector de Hoil</t>
  </si>
  <si>
    <t>Planta del campo 1</t>
  </si>
  <si>
    <t>Planta del campo 2</t>
  </si>
  <si>
    <t>Planta del campo 3</t>
  </si>
  <si>
    <t>Planta del campo 4</t>
  </si>
  <si>
    <t>Planta del campo 5</t>
  </si>
  <si>
    <t>Planta del campo 6</t>
  </si>
  <si>
    <t>PLT-CAM7</t>
  </si>
  <si>
    <t>Planta del campo 7</t>
  </si>
  <si>
    <t>COMPRA-ELC-CAM1</t>
  </si>
  <si>
    <t>Compra de electricidad para campo 1</t>
  </si>
  <si>
    <t>COMPRA-ELC-CAM2-CAM3</t>
  </si>
  <si>
    <t>Compra de electricidad para CAM 2 y CAM3</t>
  </si>
  <si>
    <t>COMPRA-ELC-CAM4</t>
  </si>
  <si>
    <t>Compra de electricidad para campo 4</t>
  </si>
  <si>
    <t>COMPRA-ELC-CAM5</t>
  </si>
  <si>
    <t>Compra de electricidad para campo 5</t>
  </si>
  <si>
    <t>COMPRA-ELC-CAM6</t>
  </si>
  <si>
    <t>Compra de electricidad para campo 6</t>
  </si>
  <si>
    <t>COMPRA-ELC-CAM7</t>
  </si>
  <si>
    <t>Compra de electricidad para campo 7</t>
  </si>
  <si>
    <t>COMPRA-ELC-COLO-CAM1</t>
  </si>
  <si>
    <t>Compra de electricidad para transporte del campo 1</t>
  </si>
  <si>
    <t>COMPRA-ELC-COLO-CAM2-CAM3</t>
  </si>
  <si>
    <t>Compra de electricidad para transporte del CAM 2 y CAM3</t>
  </si>
  <si>
    <t>COMPRA-ELC-COLO-CAM4</t>
  </si>
  <si>
    <t>Compra de electricidad para transporte del campo 4</t>
  </si>
  <si>
    <t>COMPRA-ELC-COLO-CAM5</t>
  </si>
  <si>
    <t>Compra de electricidad para transporte del campo 5</t>
  </si>
  <si>
    <t>COMPRA-ELC-COLO-CAM6</t>
  </si>
  <si>
    <t>Compra de electricidad para transporte del campo 6</t>
  </si>
  <si>
    <t>COMPRA-ELC-COLO-CAM7</t>
  </si>
  <si>
    <t>Compra de electricidad para transporte del campo 7</t>
  </si>
  <si>
    <t>Colectores Fuel de Gas Natural para el campo 1</t>
  </si>
  <si>
    <t>PJa</t>
  </si>
  <si>
    <t>Colectores Fuel de Gas Natural para el campo 2</t>
  </si>
  <si>
    <t>Colectores Fuel de Gas Natural para el campo 3</t>
  </si>
  <si>
    <t>Colectores Fuel de Gas Natural para el campo 4</t>
  </si>
  <si>
    <t>Colectores Fuel de Gas Natural para el campo 5</t>
  </si>
  <si>
    <t>Colectores Fuel de Gas Natural para el campo 6</t>
  </si>
  <si>
    <t>Colectores Fuel de Gas Natural para el campo 7</t>
  </si>
  <si>
    <t>Colectores Elc de Gas Natural para el campo 1</t>
  </si>
  <si>
    <t>Colectores Elc de Gas Natural para el campo 2</t>
  </si>
  <si>
    <t>Colectores Elc de Gas Natural para el campo 3</t>
  </si>
  <si>
    <t>Colectores Elc de Gas Natural para el campo 4</t>
  </si>
  <si>
    <t>Colectores Elc de Gas Natural para el campo 5</t>
  </si>
  <si>
    <t>Colectores Elc de Gas Natural para el campo 6</t>
  </si>
  <si>
    <t>Colectores Elc de Gas Natural para el campo 7</t>
  </si>
  <si>
    <t>COLFUEL-LOIL-CAM2</t>
  </si>
  <si>
    <t>Colectores Fuel de Petroleo liviano para el campo 2</t>
  </si>
  <si>
    <t>COLFUEL-HOIL-CAM3</t>
  </si>
  <si>
    <t>Colectores Fuel de Petroleo liviano para el campo 3</t>
  </si>
  <si>
    <t>COLFUEL-LOIL-CAM4</t>
  </si>
  <si>
    <t>Colectores Fuel de Petroleo liviano para el campo 4</t>
  </si>
  <si>
    <t>COLFUEL-MOIL-CAM5</t>
  </si>
  <si>
    <t>Colectores Fuel de Petroleo liviano para el campo 5</t>
  </si>
  <si>
    <t>COLFUEL-MOIL-CAM6</t>
  </si>
  <si>
    <t>Colectores Fuel de Petroleo liviano para el campo 6</t>
  </si>
  <si>
    <t>COLELC-LOIL-CAM2</t>
  </si>
  <si>
    <t>Colectores ELC de Petroleo liviano para el campo 2</t>
  </si>
  <si>
    <t>COLELC-HOIL-CAM3</t>
  </si>
  <si>
    <t>Colectores ELC de Petroleo liviano para el campo 3</t>
  </si>
  <si>
    <t>COLELC-LOIL-CAM4</t>
  </si>
  <si>
    <t>Colectores ELC de Petroleo liviano para el campo 4</t>
  </si>
  <si>
    <t>COLELC-MOIL-CAM5</t>
  </si>
  <si>
    <t>Colectores ELC de Petroleo liviano para el campo 5</t>
  </si>
  <si>
    <t>COLELC-MOIL-CAM6</t>
  </si>
  <si>
    <t>Colectores ELC de Petroleo liviano para el campo 6</t>
  </si>
  <si>
    <t>MIXFUEL-COLOIL-CAM1</t>
  </si>
  <si>
    <t>Mezcla de combustibles para transporte de  petroleo en campo 1</t>
  </si>
  <si>
    <t>MIXFUEL-COLOIL-CAM2</t>
  </si>
  <si>
    <t>Mezcla de combustibles para transporte de  petroleo en campo 2</t>
  </si>
  <si>
    <t>MIXFUEL-COLOIL-CAM3</t>
  </si>
  <si>
    <t>Mezcla de combustibles para transporte de  petroleo en campo 3</t>
  </si>
  <si>
    <t>MIXFUEL-COLOIL-CAM4</t>
  </si>
  <si>
    <t>Mezcla de combustibles para transporte de  petroleo en campo 4</t>
  </si>
  <si>
    <t>MIXFUEL-COLOIL-CAM5</t>
  </si>
  <si>
    <t>Mezcla de combustibles para transporte de  petroleo en campo 5</t>
  </si>
  <si>
    <t>MIXFUEL-COLOIL-CAM6</t>
  </si>
  <si>
    <t>Mezcla de combustibles para transporte de  petroleo en campo 6</t>
  </si>
  <si>
    <t>MIXFUEL-COLOIL-CAM7</t>
  </si>
  <si>
    <t>Mezcla de combustibles para transporte de  petroleo en campo 7</t>
  </si>
  <si>
    <t>MIXFUEL-COLGAS-CAM1</t>
  </si>
  <si>
    <t>Mezcla de combustibles para transporte gas en campo 1</t>
  </si>
  <si>
    <t>MIXFUEL-COLGAS-CAM2</t>
  </si>
  <si>
    <t>Mezcla de combustibles para transporte gas en campo 2</t>
  </si>
  <si>
    <t>MIXFUEL-COLGAS-CAM3</t>
  </si>
  <si>
    <t>Mezcla de combustibles para transporte gas en campo 3</t>
  </si>
  <si>
    <t>MIXFUEL-COLGAS-CAM4</t>
  </si>
  <si>
    <t>Mezcla de combustibles para transporte gas en campo 4</t>
  </si>
  <si>
    <t>MIXFUEL-COLGAS-CAM5</t>
  </si>
  <si>
    <t>Mezcla de combustibles para transporte gas en campo 5</t>
  </si>
  <si>
    <t>MIXFUEL-COLGAS-CAM6</t>
  </si>
  <si>
    <t>Mezcla de combustibles para transporte gas en campo 6</t>
  </si>
  <si>
    <t>MIXFUEL-COLGAS-CAM7</t>
  </si>
  <si>
    <t>Mezcla de combustibles para transporte gas en campo 7</t>
  </si>
  <si>
    <t>Uso de GAS para el CAM1</t>
  </si>
  <si>
    <t>Uso de GAS para el CAM2</t>
  </si>
  <si>
    <t>Uso de GAS para el CAM3</t>
  </si>
  <si>
    <t>Uso de GAS para el CAM4</t>
  </si>
  <si>
    <t>Uso de GAS para el CAM5</t>
  </si>
  <si>
    <t>Uso de GAS para el CAM6</t>
  </si>
  <si>
    <t>Uso de GAS para el CAM7</t>
  </si>
  <si>
    <t>Uso de DSL para el CAM1</t>
  </si>
  <si>
    <t>Uso de DSL para el CAM2</t>
  </si>
  <si>
    <t>Uso de DSL para el CAM3</t>
  </si>
  <si>
    <t>Uso de DSL para el CAM4</t>
  </si>
  <si>
    <t>Uso de DSL para el CAM5</t>
  </si>
  <si>
    <t>Uso de DSL para el CAM6</t>
  </si>
  <si>
    <t>Uso de DSL para el CAM7</t>
  </si>
  <si>
    <t>Uso de OIL para el CAM1</t>
  </si>
  <si>
    <t>Uso de OIL para el CAM2</t>
  </si>
  <si>
    <t>Uso de OIL para el CAM3</t>
  </si>
  <si>
    <t>Uso de OIL para el CAM4</t>
  </si>
  <si>
    <t>Uso de OIL para el CAM5</t>
  </si>
  <si>
    <t>Uso de OIL para el CAM6</t>
  </si>
  <si>
    <t>Uso de OIL para el CAM7</t>
  </si>
  <si>
    <t>FTE-FUEL-LPG-CAM2</t>
  </si>
  <si>
    <t>Uso del LPG para el CAM2</t>
  </si>
  <si>
    <t>AUTO-GAS-CAM1</t>
  </si>
  <si>
    <t>Autogeneracion del CAM1 usando GAS</t>
  </si>
  <si>
    <t>AUTO-OIL-CAM1</t>
  </si>
  <si>
    <t>Autogeneracion del CAM1 usando OIL</t>
  </si>
  <si>
    <t>AUTO-DSL-CAM1</t>
  </si>
  <si>
    <t>Autogeneracion del CAM1 usando DSL</t>
  </si>
  <si>
    <t>AUTO-GAS-CAM2-CAM3</t>
  </si>
  <si>
    <t>Autogeneracion del CAM2 -CAM3 usando GAS</t>
  </si>
  <si>
    <t>AUTO-OIL-CAM2-CAM3</t>
  </si>
  <si>
    <t>Autogeneracion del CAM2 -CAM3 usando OIL</t>
  </si>
  <si>
    <t>AUTO-DSL-CAM2-CAM3</t>
  </si>
  <si>
    <t>Autogeneracion del CAM2-CAM3 usando DSL</t>
  </si>
  <si>
    <t>AUTO-LPG-CAM2-CAM3</t>
  </si>
  <si>
    <t>Autogeneracion del CAM2-CAM3 usando LPG</t>
  </si>
  <si>
    <t>AUTO-GAS-CAM4</t>
  </si>
  <si>
    <t>Autogeneracion del CAM4 usando GAS</t>
  </si>
  <si>
    <t>AUTO-OIL-CAM4</t>
  </si>
  <si>
    <t>Autogeneracion del CAM4 usando OIL</t>
  </si>
  <si>
    <t>AUTO-DSL-CAM4</t>
  </si>
  <si>
    <t>Autogeneracion del CAM4 usando DSL</t>
  </si>
  <si>
    <t>AUTO-GAS-CAM5</t>
  </si>
  <si>
    <t>Autogeneracion del CAM5 usando GAS</t>
  </si>
  <si>
    <t>AUTO-OIL-CAM5</t>
  </si>
  <si>
    <t>Autogeneracion del CAM5 usando OIL</t>
  </si>
  <si>
    <t>AUTO-DSL-CAM5</t>
  </si>
  <si>
    <t>Autogeneracion del CAM5 usando DSL</t>
  </si>
  <si>
    <t>AUTO-GAS-CAM6</t>
  </si>
  <si>
    <t>Autogeneracion del CAM6 usando GAS</t>
  </si>
  <si>
    <t>AUTO-OIL-CAM6</t>
  </si>
  <si>
    <t>Autogeneracion del CAM6 usando OIL</t>
  </si>
  <si>
    <t>AUTO-DSL-CAM6</t>
  </si>
  <si>
    <t>Autogeneracion del CAM6 usando DSL</t>
  </si>
  <si>
    <t>AUTO-GAS-CAM7</t>
  </si>
  <si>
    <t>Autogeneracion del CAM7 usando GAS</t>
  </si>
  <si>
    <t>AUTO-OIL-CAM7</t>
  </si>
  <si>
    <t>Autogeneracion del CAM7 usando OIL</t>
  </si>
  <si>
    <t>AUTO-DSL-CAM7</t>
  </si>
  <si>
    <t>Autogeneracion del CAM7 usando DSL</t>
  </si>
  <si>
    <t>AUTO-COL-GAS-CAM1</t>
  </si>
  <si>
    <t>Autogeneracion para Colectores CAM1 usando GAS</t>
  </si>
  <si>
    <t>AUTO-COL-OIL-CAM1</t>
  </si>
  <si>
    <t>Autogeneracion para Colectores CAM1 usando OIL</t>
  </si>
  <si>
    <t>AUTO-COL-DSL-CAM1</t>
  </si>
  <si>
    <t>Autogeneracion para Colectores CAM1 usando DSL</t>
  </si>
  <si>
    <t>AUTO-COL-GAS-CAM2-CAM3</t>
  </si>
  <si>
    <t>Autogeneracion para Colectores CAM2-CAM3 usando GAS</t>
  </si>
  <si>
    <t>AUTO-COL-OIL-CAM2-CAM3</t>
  </si>
  <si>
    <t>Autogeneracion para Colectores CAM2-CAM3 usando OIL</t>
  </si>
  <si>
    <t>AUTO-COL-DSL-CAM2-CAM3</t>
  </si>
  <si>
    <t>Autogeneracion para Colectores CAM2-CAM3 usando DSL</t>
  </si>
  <si>
    <t>AUTO-COL-GAS-CAM4</t>
  </si>
  <si>
    <t>Autogeneracion para Colectores CAM4 usando GAS</t>
  </si>
  <si>
    <t>AUTO-COL-OIL-CAM4</t>
  </si>
  <si>
    <t>Autogeneracion para Colectores CAM4 usando OIL</t>
  </si>
  <si>
    <t>AUTO-COL-DSL-CAM4</t>
  </si>
  <si>
    <t>Autogeneracion para Colectores CAM4 usando DSL</t>
  </si>
  <si>
    <t>AUTO-COL-GAS-CAM5</t>
  </si>
  <si>
    <t>Autogeneracion para Colectores CAM5 usando GAS</t>
  </si>
  <si>
    <t>AUTO-COL-OIL-CAM5</t>
  </si>
  <si>
    <t>Autogeneracion para Colectores CAM5 usando OIL</t>
  </si>
  <si>
    <t>AUTO-COL-DSL-CAM5</t>
  </si>
  <si>
    <t>Autogeneracion para Colectores CAM5 usando DSL</t>
  </si>
  <si>
    <t>AUTO-COL-GAS-CAM6</t>
  </si>
  <si>
    <t>Autogeneracion para Colectores CAM6 usando GAS</t>
  </si>
  <si>
    <t>AUTO-COL-OIL-CAM6</t>
  </si>
  <si>
    <t>Autogeneracion para Colectores CAM6 usando OIL</t>
  </si>
  <si>
    <t>AUTO-COL-DSL-CAM6</t>
  </si>
  <si>
    <t>Autogeneracion para Colectores CAM6 usando DSL</t>
  </si>
  <si>
    <t>AUTO-COL-GAS-CAM7</t>
  </si>
  <si>
    <t>Autogeneracion para Colectores CAM7 usando GAS</t>
  </si>
  <si>
    <t>AUTO-COL-OIL-CAM7</t>
  </si>
  <si>
    <t>Autogeneracion para Colectores CAM7 usando OIL</t>
  </si>
  <si>
    <t>AUTO-COL-DSL-CAM7</t>
  </si>
  <si>
    <t>Autogeneracion para Colectores CAM7 usando DSL</t>
  </si>
  <si>
    <t>COMPRA-ELC-COLG-CAM1</t>
  </si>
  <si>
    <t>Compra de electricidad para Colectores de GAS de CAM1</t>
  </si>
  <si>
    <t>COMPRA-ELC-COLG-CAM2-CAM3</t>
  </si>
  <si>
    <t>Compra de electricidad para Colectores de GAS de CAM2</t>
  </si>
  <si>
    <t>COMPRA-ELC-COLG-CAM4</t>
  </si>
  <si>
    <t>Compra de electricidad para Colectores de GAS de CAM4</t>
  </si>
  <si>
    <t>COMPRA-ELC-COLG-CAM5</t>
  </si>
  <si>
    <t>Compra de electricidad para Colectores de GAS de CAM5</t>
  </si>
  <si>
    <t>COMPRA-ELC-COLG-CAM6</t>
  </si>
  <si>
    <t>Compra de electricidad para Colectores de GAS de CAM6</t>
  </si>
  <si>
    <t>COMPRA-ELC-COLG-CAM7</t>
  </si>
  <si>
    <t>Compra de electricidad para Colectores de GAS de CAM7</t>
  </si>
  <si>
    <t>BECO</t>
  </si>
  <si>
    <t>PCI</t>
  </si>
  <si>
    <t>F.E. CO2eq</t>
  </si>
  <si>
    <t>PJ/bl*</t>
  </si>
  <si>
    <t>kt/PJ</t>
  </si>
  <si>
    <t>Energético</t>
  </si>
  <si>
    <t>Referencia exacta en BECO</t>
  </si>
  <si>
    <t>Referencia exacta en FECOC</t>
  </si>
  <si>
    <t>COMM</t>
  </si>
  <si>
    <t>TJ/kbl*</t>
  </si>
  <si>
    <t>t/TJ</t>
  </si>
  <si>
    <t>Gas Natural</t>
  </si>
  <si>
    <t>Sí: GN: Gas natural</t>
  </si>
  <si>
    <t>Sí: Gas natural generico</t>
  </si>
  <si>
    <t>Petróleo liviano</t>
  </si>
  <si>
    <t>Sí: BECO: PT: Petróleo</t>
  </si>
  <si>
    <t>Sí: Crudo castilla</t>
  </si>
  <si>
    <t>Petróleo mediano</t>
  </si>
  <si>
    <t>Sí: PT: Petróleo</t>
  </si>
  <si>
    <t>Petróleo pesado</t>
  </si>
  <si>
    <t>KBL</t>
  </si>
  <si>
    <t>Gasolina antes de blending</t>
  </si>
  <si>
    <t>Sí: GM: Gasolina Motor</t>
  </si>
  <si>
    <t>Sí: Gasolina motor</t>
  </si>
  <si>
    <t>Diesel antes de blending</t>
  </si>
  <si>
    <t>Sí: DO: Diesel</t>
  </si>
  <si>
    <t>No: cercano a Biesel B2</t>
  </si>
  <si>
    <t>Sí: KER: Keroseno y Jet Fuel</t>
  </si>
  <si>
    <t>No: cercano a Jet A1</t>
  </si>
  <si>
    <t>Gas licuado de Petróleo</t>
  </si>
  <si>
    <t>Sí: GL: Gas licuado del Petróleo</t>
  </si>
  <si>
    <t>Sí: GLP generico usado</t>
  </si>
  <si>
    <t>Produccion crudo</t>
  </si>
  <si>
    <t>bpd</t>
  </si>
  <si>
    <t>Fuel Oil (Combustoleo</t>
  </si>
  <si>
    <t>Sí: FO: Fuel Oil</t>
  </si>
  <si>
    <t>Sí: Fuel Oil N4 - ECP</t>
  </si>
  <si>
    <t>kbpd</t>
  </si>
  <si>
    <t>Sí: AC: Alcohol Carburante</t>
  </si>
  <si>
    <t>Sí: Etanol anhidro</t>
  </si>
  <si>
    <t xml:space="preserve">Sí: BI: Biodiesel </t>
  </si>
  <si>
    <t xml:space="preserve">Sí: Biodiesel palma </t>
  </si>
  <si>
    <t>Gasolina-Etanol, 10%vol,</t>
  </si>
  <si>
    <t>No: Calculo Teorico</t>
  </si>
  <si>
    <t>No: calculo teorico</t>
  </si>
  <si>
    <t>Diesel-Biodiese, 10% vol</t>
  </si>
  <si>
    <t>Electricidad Produccion</t>
  </si>
  <si>
    <t>Gwh</t>
  </si>
  <si>
    <t>*Para todos, menos gas natural, las unidades son TJ/Mpc; PJ/kpc</t>
  </si>
  <si>
    <t>Volumen en mezcla en volumen</t>
  </si>
  <si>
    <t>Volumen en la mezcla en energía**</t>
  </si>
  <si>
    <t>Produccion</t>
  </si>
  <si>
    <t>Gasolina de aviación</t>
  </si>
  <si>
    <t>Sí: avgas</t>
  </si>
  <si>
    <t>Sí: GR: Gas de Refinería</t>
  </si>
  <si>
    <t>No</t>
  </si>
  <si>
    <t>Electricidad %</t>
  </si>
  <si>
    <t>PJ/PJ</t>
  </si>
  <si>
    <t>Gasolina-Etanol, 15% vol</t>
  </si>
  <si>
    <t>Diesel-Biodiesel, 15% vol</t>
  </si>
  <si>
    <t>Emisiones</t>
  </si>
  <si>
    <t>Gas utilizada para consumo</t>
  </si>
  <si>
    <t>Mpc/d</t>
  </si>
  <si>
    <t>Mpc</t>
  </si>
  <si>
    <t>kg/m3</t>
  </si>
  <si>
    <t>Gas quemado</t>
  </si>
  <si>
    <t>CALCULADORA</t>
  </si>
  <si>
    <t>kg/TJ</t>
  </si>
  <si>
    <t>Referencia</t>
  </si>
  <si>
    <t>kJ/kg</t>
  </si>
  <si>
    <t>Refrencia en Calculadora</t>
  </si>
  <si>
    <t>CO2</t>
  </si>
  <si>
    <t>CH4</t>
  </si>
  <si>
    <t>NO2</t>
  </si>
  <si>
    <t>kt/TJ</t>
  </si>
  <si>
    <t>BECO: GN: Gas natural</t>
  </si>
  <si>
    <t>si</t>
  </si>
  <si>
    <t>Gas natural generico</t>
  </si>
  <si>
    <t>BECO: PT: Petróleo</t>
  </si>
  <si>
    <t>Crudo castilla</t>
  </si>
  <si>
    <t>BECO: GM: Gasolina Motor</t>
  </si>
  <si>
    <t>Gasolina motor</t>
  </si>
  <si>
    <t>BECO: DO: Diesel</t>
  </si>
  <si>
    <t>no</t>
  </si>
  <si>
    <t>Biesel B2</t>
  </si>
  <si>
    <t>BECO: KER: Keroseno y Jet Fuel</t>
  </si>
  <si>
    <t>Jet A1</t>
  </si>
  <si>
    <t>BECO: GL: Gas licuado del Petróleo</t>
  </si>
  <si>
    <t>GLP generico usado</t>
  </si>
  <si>
    <t>BECO: FO: Fuel Oil</t>
  </si>
  <si>
    <t>Fuel Oil N4 - ECP</t>
  </si>
  <si>
    <t>BECO: AC: Alcohol Carburante</t>
  </si>
  <si>
    <t>Etanol anhidro</t>
  </si>
  <si>
    <t xml:space="preserve">BECO: BI: Biodiesel </t>
  </si>
  <si>
    <t xml:space="preserve">Biodiesel palma </t>
  </si>
  <si>
    <t>Calculo Teorico</t>
  </si>
  <si>
    <t>Gasolina E10 (Mezcla Comercial)</t>
  </si>
  <si>
    <t>t</t>
  </si>
  <si>
    <t>1000 BTU/lbm</t>
  </si>
  <si>
    <t>BTU</t>
  </si>
  <si>
    <t>Vapor, 2019</t>
  </si>
  <si>
    <t>lbm</t>
  </si>
  <si>
    <t>GBTU</t>
  </si>
  <si>
    <t>TJ</t>
  </si>
  <si>
    <t>Bases de cálculo</t>
  </si>
  <si>
    <t>Tabla 1. Energéticos y poderes caloríficos (BEN &amp; EAM)</t>
  </si>
  <si>
    <t>PRIMARIOS</t>
  </si>
  <si>
    <t>Sigla</t>
  </si>
  <si>
    <t>Poderes caloríficos</t>
  </si>
  <si>
    <t>Factores de emisión</t>
  </si>
  <si>
    <t>UO</t>
  </si>
  <si>
    <t>TCal</t>
  </si>
  <si>
    <t>GWh</t>
  </si>
  <si>
    <t>KTEP</t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</si>
  <si>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/UO</t>
    </r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</si>
  <si>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/TJ</t>
    </r>
  </si>
  <si>
    <t>FECO2eq_CH4</t>
  </si>
  <si>
    <t>FECO2eq_N2O</t>
  </si>
  <si>
    <t>BZ</t>
  </si>
  <si>
    <t>BAGAZO</t>
  </si>
  <si>
    <t>kTon</t>
  </si>
  <si>
    <t>Primario</t>
  </si>
  <si>
    <t>Renovable</t>
  </si>
  <si>
    <t>CM</t>
  </si>
  <si>
    <t>CARBÓN MINERAL</t>
  </si>
  <si>
    <t>No Renovable</t>
  </si>
  <si>
    <t>GN</t>
  </si>
  <si>
    <t>GAS NATURAL</t>
  </si>
  <si>
    <t>m3</t>
  </si>
  <si>
    <t>HE</t>
  </si>
  <si>
    <t>HIDROENERGÍA</t>
  </si>
  <si>
    <t>LE</t>
  </si>
  <si>
    <t>LEÑA</t>
  </si>
  <si>
    <t>PT</t>
  </si>
  <si>
    <t>PETROLEO</t>
  </si>
  <si>
    <t>kBL</t>
  </si>
  <si>
    <t>RC</t>
  </si>
  <si>
    <t>RECUPERACIÓN / RESIDUOS</t>
  </si>
  <si>
    <t>RCB</t>
  </si>
  <si>
    <t>Cascarilla de café</t>
  </si>
  <si>
    <t>Cascarilla de arroz</t>
  </si>
  <si>
    <t>Residuos de palma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</si>
  <si>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</si>
  <si>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</si>
  <si>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</si>
  <si>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</si>
  <si>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</si>
  <si>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</si>
  <si>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</si>
  <si>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</si>
  <si>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kWh</t>
  </si>
  <si>
    <t>AC</t>
  </si>
  <si>
    <t>ALCOHOL CARBURANTE</t>
  </si>
  <si>
    <t>Secundario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</si>
  <si>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</si>
  <si>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</si>
  <si>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</si>
  <si>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</si>
  <si>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</si>
  <si>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</si>
  <si>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</si>
  <si>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</si>
  <si>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Gal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</si>
  <si>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</si>
  <si>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</si>
  <si>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</si>
  <si>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</si>
  <si>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</si>
  <si>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</si>
  <si>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</si>
  <si>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</si>
  <si>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</si>
  <si>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</si>
  <si>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</si>
  <si>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</si>
  <si>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</si>
  <si>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</si>
  <si>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</si>
  <si>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</si>
  <si>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</si>
  <si>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</si>
  <si>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</si>
  <si>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</si>
  <si>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kBl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</si>
  <si>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</si>
  <si>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</si>
  <si>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</si>
  <si>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</si>
  <si>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</si>
  <si>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</si>
  <si>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</si>
  <si>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</si>
  <si>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</si>
  <si>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</si>
  <si>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</si>
  <si>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</si>
  <si>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</si>
  <si>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</si>
  <si>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</si>
  <si>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</si>
  <si>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</si>
  <si>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</si>
  <si>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rPr>
        <sz val="8"/>
        <color theme="1"/>
        <rFont val="Calibri"/>
        <family val="2"/>
      </rPr>
      <t>kTon/CO</t>
    </r>
    <r>
      <rPr>
        <vertAlign val="subscript"/>
        <sz val="8"/>
        <color theme="1"/>
        <rFont val="Calibri"/>
        <family val="2"/>
      </rPr>
      <t>2</t>
    </r>
  </si>
  <si>
    <r>
      <rPr>
        <sz val="8"/>
        <color theme="1"/>
        <rFont val="Calibri"/>
        <family val="2"/>
      </rPr>
      <t>Miles de toneladas equivalentes de CO</t>
    </r>
    <r>
      <rPr>
        <vertAlign val="subscript"/>
        <sz val="8"/>
        <color theme="1"/>
        <rFont val="Calibri"/>
        <family val="2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</si>
  <si>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</si>
  <si>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</si>
  <si>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</si>
  <si>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</si>
  <si>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</si>
  <si>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</si>
  <si>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</si>
  <si>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1 Wh =</t>
  </si>
  <si>
    <t>Wh</t>
  </si>
  <si>
    <t>Densidad</t>
  </si>
  <si>
    <t>PCI Masa</t>
  </si>
  <si>
    <t>PCI Volumen</t>
  </si>
  <si>
    <t>FE</t>
  </si>
  <si>
    <t>FE CH4</t>
  </si>
  <si>
    <t>FECH4EQ</t>
  </si>
  <si>
    <t>N2O</t>
  </si>
  <si>
    <t>FEN2OxEQ</t>
  </si>
  <si>
    <t>Gaseosos</t>
  </si>
  <si>
    <t>MJ/kg</t>
  </si>
  <si>
    <t>TJ/MPC</t>
  </si>
  <si>
    <t>MJ/m3</t>
  </si>
  <si>
    <t>TJ/kBl</t>
  </si>
  <si>
    <t>MBTU/MPC</t>
  </si>
  <si>
    <t>GWh/MPC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</si>
  <si>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</si>
  <si>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</si>
  <si>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</si>
  <si>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</si>
  <si>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</si>
  <si>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</si>
  <si>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</si>
  <si>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</si>
  <si>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</si>
  <si>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</si>
  <si>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</si>
  <si>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</si>
  <si>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</si>
  <si>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</si>
  <si>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</si>
  <si>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</si>
  <si>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</si>
  <si>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</si>
  <si>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</si>
  <si>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kg/Gal</t>
  </si>
  <si>
    <t>kJ/lt</t>
  </si>
  <si>
    <t>MBTU/kBl</t>
  </si>
  <si>
    <t>GWh/kBl</t>
  </si>
  <si>
    <t>Kerosene</t>
  </si>
  <si>
    <t>Crudo de Castilla</t>
  </si>
  <si>
    <t>Avigas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</si>
  <si>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</si>
  <si>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</si>
  <si>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</si>
  <si>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</si>
  <si>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</si>
  <si>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</si>
  <si>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</si>
  <si>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</si>
  <si>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</si>
  <si>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</si>
  <si>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</si>
  <si>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</si>
  <si>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</si>
  <si>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</si>
  <si>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</si>
  <si>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</si>
  <si>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</si>
  <si>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</si>
  <si>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</si>
  <si>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</si>
  <si>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</si>
  <si>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</si>
  <si>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</si>
  <si>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</si>
  <si>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</si>
  <si>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</si>
  <si>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</si>
  <si>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</si>
  <si>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</si>
  <si>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</si>
  <si>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</si>
  <si>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</si>
  <si>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</si>
  <si>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</si>
  <si>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</si>
  <si>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</si>
  <si>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</si>
  <si>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</si>
  <si>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BTU/J</t>
  </si>
  <si>
    <t>MBTU/J</t>
  </si>
  <si>
    <t>MBTU/PJ</t>
  </si>
  <si>
    <t>PJ/MBTU</t>
  </si>
  <si>
    <t>PJ/mbtu</t>
  </si>
  <si>
    <t>MUSD/PJ</t>
  </si>
  <si>
    <t>usd/PJ</t>
  </si>
  <si>
    <t>usd/mbtu</t>
  </si>
  <si>
    <t>EXP-GSL</t>
  </si>
  <si>
    <t>EXP-DSL</t>
  </si>
  <si>
    <t>EXP-KER</t>
  </si>
  <si>
    <t>Keroseno</t>
  </si>
  <si>
    <t>EXP-LPG</t>
  </si>
  <si>
    <t>EXP-HFO</t>
  </si>
  <si>
    <t>Fuel Oil</t>
  </si>
  <si>
    <t>EXP-ETH</t>
  </si>
  <si>
    <t>Ethanol</t>
  </si>
  <si>
    <t>EXP-BDSL</t>
  </si>
  <si>
    <t>EXP-GAS</t>
  </si>
  <si>
    <t>Gas natural</t>
  </si>
  <si>
    <t>EXP-LOIL</t>
  </si>
  <si>
    <t>Petroleo</t>
  </si>
  <si>
    <t>EXP-MOIL</t>
  </si>
  <si>
    <t>EXP-HOIL</t>
  </si>
  <si>
    <t>EXP-SIN</t>
  </si>
  <si>
    <t>Venta al SIN</t>
  </si>
  <si>
    <t>EXP-AVG</t>
  </si>
  <si>
    <t>Exportación de AVGAS</t>
  </si>
  <si>
    <t>USD/COP promedio, 2019, investing https://es.investing.com/currencies/usd-cop-historical-data</t>
  </si>
  <si>
    <t>COP/USD</t>
  </si>
  <si>
    <t>IMP-SIN</t>
  </si>
  <si>
    <t>Compra al SIN</t>
  </si>
  <si>
    <t>IMP-AVG</t>
  </si>
  <si>
    <t>Importación de AVG</t>
  </si>
  <si>
    <t>cop/kwh</t>
  </si>
  <si>
    <t>USD/kwh</t>
  </si>
  <si>
    <t>~FI_T</t>
  </si>
  <si>
    <t>Comm-IN</t>
  </si>
  <si>
    <t>Comm-OUT</t>
  </si>
  <si>
    <t>COST~2019</t>
  </si>
  <si>
    <t>COST~2020</t>
  </si>
  <si>
    <t>COST~2025</t>
  </si>
  <si>
    <t>COST~2030</t>
  </si>
  <si>
    <t>COST~2035</t>
  </si>
  <si>
    <t>COST~2040</t>
  </si>
  <si>
    <t>COST~2045</t>
  </si>
  <si>
    <t>COST~2050</t>
  </si>
  <si>
    <t>*Technology Name</t>
  </si>
  <si>
    <t>Input Commodity</t>
  </si>
  <si>
    <t>Output Commodity</t>
  </si>
  <si>
    <t>Cost</t>
  </si>
  <si>
    <t>MUSD19/PJ</t>
  </si>
  <si>
    <t>Costo de electricidad Colombia, industrial, ANDI</t>
  </si>
  <si>
    <t>USD2019/kwh</t>
  </si>
  <si>
    <t>USD/Gwh</t>
  </si>
  <si>
    <t>MUSD/Gwh</t>
  </si>
  <si>
    <t>Restricción de Exportación / Importación</t>
  </si>
  <si>
    <t>ELC-SIN</t>
  </si>
  <si>
    <t>Combustible liquidos UPME, 2021</t>
  </si>
  <si>
    <t>WTI, 2019</t>
  </si>
  <si>
    <t>56 usd/bl</t>
  </si>
  <si>
    <t>MBTU/b</t>
  </si>
  <si>
    <t>Descuento</t>
  </si>
  <si>
    <t>Liviano</t>
  </si>
  <si>
    <t>WTI</t>
  </si>
  <si>
    <t>Mediano</t>
  </si>
  <si>
    <t>WTI - 4,5 USD/b</t>
  </si>
  <si>
    <t>Pesado</t>
  </si>
  <si>
    <t>WTI- 9 USD/b</t>
  </si>
  <si>
    <t>HHV del WTI</t>
  </si>
  <si>
    <t>WTI - 0,7949 USD/MBTU</t>
  </si>
  <si>
    <t>WTI - 1,5899USD/MBTU</t>
  </si>
  <si>
    <t>Proyeciones para escenario de referencia, AEO - US EIA, 2019, en USD/Millon de BTU</t>
  </si>
  <si>
    <t>POIL</t>
  </si>
  <si>
    <t>Proyeciones para escenario de referencia, AEO - US EIA, 2019, en MUSD/PJ</t>
  </si>
  <si>
    <t>Gasoline</t>
  </si>
  <si>
    <t>Kerosene-Jet</t>
  </si>
  <si>
    <t>Natural Gas</t>
  </si>
  <si>
    <t>Avgas</t>
  </si>
  <si>
    <t>Energetico</t>
  </si>
  <si>
    <t>High Oil Pruce</t>
  </si>
  <si>
    <t>Low Oil Price</t>
  </si>
  <si>
    <t>High Supply Oil and Gas</t>
  </si>
  <si>
    <t>Low Supply Oil and Gas</t>
  </si>
  <si>
    <t>Attribute</t>
  </si>
  <si>
    <t>*Unit</t>
  </si>
  <si>
    <t>EFF</t>
  </si>
  <si>
    <t>Demand Commodity Name</t>
  </si>
  <si>
    <t>Demand Unit</t>
  </si>
  <si>
    <t>Demand Value</t>
  </si>
  <si>
    <t>Tecnologia para que el Keroseno pueda suplir la demana</t>
  </si>
  <si>
    <t>*Units</t>
  </si>
  <si>
    <t>Tecnologia para que el LPG pueda suplir la demana</t>
  </si>
  <si>
    <t>Demand</t>
  </si>
  <si>
    <t>Tecnologia para que el Fuel Oil pueda suplir la demana</t>
  </si>
  <si>
    <t>Tecnologia para que el Gas Natural pueda suplir la demana</t>
  </si>
  <si>
    <t>Tecnologia para que el Petroleo pueda suplir la demana</t>
  </si>
  <si>
    <t>Tecnologia para que el AVGAS pueda suplir la demana</t>
  </si>
  <si>
    <t>DGAS</t>
  </si>
  <si>
    <t>Share-I~UP</t>
  </si>
  <si>
    <t>BLE-GSL-10</t>
  </si>
  <si>
    <t>Blending entre Gasolina y etanol</t>
  </si>
  <si>
    <t>BLE-DSL-10</t>
  </si>
  <si>
    <t>Blending entre Gasolina y biodiesel</t>
  </si>
  <si>
    <t>DGSL</t>
  </si>
  <si>
    <t>FTE-DGSL</t>
  </si>
  <si>
    <t>Tecnologia para que la gasolina pueda suplir la demana</t>
  </si>
  <si>
    <t>FTE-DDSL</t>
  </si>
  <si>
    <t>Tecnologia para que el diesel pueda suplir la demana</t>
  </si>
  <si>
    <t>FTE-ETH</t>
  </si>
  <si>
    <t>Tecnologia para que el Ethanol¡ pueda suplir la demana</t>
  </si>
  <si>
    <t>FTE-BDSL</t>
  </si>
  <si>
    <t>Tecnologia para que el Diesel pueda suplir la demana</t>
  </si>
  <si>
    <t>DMD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</si>
  <si>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</si>
  <si>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</si>
  <si>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</si>
  <si>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</si>
  <si>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</si>
  <si>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Share-I~2019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</si>
  <si>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</si>
  <si>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</si>
  <si>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</si>
  <si>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</si>
  <si>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</si>
  <si>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</si>
  <si>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</si>
  <si>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FTD-AGR</t>
  </si>
  <si>
    <t>DAGR</t>
  </si>
  <si>
    <t>UP</t>
  </si>
  <si>
    <t>FX</t>
  </si>
  <si>
    <t>FTD-TER</t>
  </si>
  <si>
    <t>%e de Ethanol en Gasolina</t>
  </si>
  <si>
    <t>%e de Biodiesel en Diesel</t>
  </si>
  <si>
    <t>FTD-RSD</t>
  </si>
  <si>
    <t>FTD-IND</t>
  </si>
  <si>
    <t>FTD-TRA</t>
  </si>
  <si>
    <t>SIN</t>
  </si>
  <si>
    <t>kgCO2/kwh</t>
  </si>
  <si>
    <t>kt CO2/Kwh</t>
  </si>
  <si>
    <t>kt CO2/Gwh</t>
  </si>
  <si>
    <t>kt CO2/PJ</t>
  </si>
  <si>
    <t>SCOPE 3</t>
  </si>
  <si>
    <t>~COMEMI</t>
  </si>
  <si>
    <t>Refinerias</t>
  </si>
  <si>
    <t>GAS-REF2</t>
  </si>
  <si>
    <t>HFO-REF2</t>
  </si>
  <si>
    <t>OIL-REF2</t>
  </si>
  <si>
    <t>MEZCLADOR DE CRUDO</t>
  </si>
  <si>
    <t>PICL21</t>
  </si>
  <si>
    <t>Carga a refineria, bpd</t>
  </si>
  <si>
    <t>BAR</t>
  </si>
  <si>
    <t>CAR</t>
  </si>
  <si>
    <t>Total</t>
  </si>
  <si>
    <t>Morillo, J (2020)</t>
  </si>
  <si>
    <t>Crudo pesado*</t>
  </si>
  <si>
    <t>Crudo liviano</t>
  </si>
  <si>
    <t>ECOPETROL a PICL-2019</t>
  </si>
  <si>
    <t>Crudo pesado</t>
  </si>
  <si>
    <t>Crudo medios</t>
  </si>
  <si>
    <t>Crudo livianos</t>
  </si>
  <si>
    <t>Carga de crudo liviano</t>
  </si>
  <si>
    <t>PICL2019</t>
  </si>
  <si>
    <t>carga de crudo liviano</t>
  </si>
  <si>
    <t>Capacidad de carga, kblpd</t>
  </si>
  <si>
    <t>PICL-2019</t>
  </si>
  <si>
    <t>Factor de Utilización</t>
  </si>
  <si>
    <t>Capacidad de conversión</t>
  </si>
  <si>
    <t>PICL-2021</t>
  </si>
  <si>
    <t>Producción</t>
  </si>
  <si>
    <t>Carga</t>
  </si>
  <si>
    <t>Eficiencia volumetrica</t>
  </si>
  <si>
    <t>Año que requiere importar liviano</t>
  </si>
  <si>
    <t>Año que requiere importar pesados</t>
  </si>
  <si>
    <t>Oferta principal de combustibles, volumetrica, bpd</t>
  </si>
  <si>
    <t>Refinación colombiana</t>
  </si>
  <si>
    <t>Jet-fuel</t>
  </si>
  <si>
    <t>Otros</t>
  </si>
  <si>
    <t>Entrada</t>
  </si>
  <si>
    <t>ECOPETROL A PICL2019</t>
  </si>
  <si>
    <t>Rendimientos, volumetricos</t>
  </si>
  <si>
    <t>Gasolina (incluye nafta)</t>
  </si>
  <si>
    <t>kbl</t>
  </si>
  <si>
    <t>Mi modelo</t>
  </si>
  <si>
    <t>JET</t>
  </si>
  <si>
    <t>PICL2021</t>
  </si>
  <si>
    <t>Otros (incluyendo combustoleo)</t>
  </si>
  <si>
    <t>Tipico en 2021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</si>
  <si>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</si>
  <si>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</si>
  <si>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</si>
  <si>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</si>
  <si>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</si>
  <si>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</si>
  <si>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</si>
  <si>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Demanda nacional</t>
  </si>
  <si>
    <t>Petroquimicos</t>
  </si>
  <si>
    <t>Hidrogeno</t>
  </si>
  <si>
    <t>J/kg</t>
  </si>
  <si>
    <t>PJ/t</t>
  </si>
  <si>
    <t>MEZCLADOR DE PETRÓLEO</t>
  </si>
  <si>
    <t>Carga a la refinería de Cartagena</t>
  </si>
  <si>
    <t>%voL</t>
  </si>
  <si>
    <t>%e</t>
  </si>
  <si>
    <t>%vol Petróleo pesado</t>
  </si>
  <si>
    <t>%vol Petróleo mediano</t>
  </si>
  <si>
    <t>%vol Petróleo liviano</t>
  </si>
  <si>
    <t>Share-I~FX</t>
  </si>
  <si>
    <t>~FI_T: INPUT</t>
  </si>
  <si>
    <t>MIX-OIL-REF1</t>
  </si>
  <si>
    <t>Mezcla de crudos para refineria 1</t>
  </si>
  <si>
    <t>OIL-REF1</t>
  </si>
  <si>
    <t>ENV_ACT</t>
  </si>
  <si>
    <t>REF1</t>
  </si>
  <si>
    <t>Refineria 1 - Reficar</t>
  </si>
  <si>
    <t>SMR-REF1</t>
  </si>
  <si>
    <t>SMR en la refineria 1</t>
  </si>
  <si>
    <t>AUTO-REF1</t>
  </si>
  <si>
    <t>Autogeneracion en refineria 1</t>
  </si>
  <si>
    <t>COMPRA-ELC-REF1</t>
  </si>
  <si>
    <t>Compra de electricidad en refineria 1</t>
  </si>
  <si>
    <t>FTE-GAS-REF1</t>
  </si>
  <si>
    <t>Proceso para que el gas se use en refineria 1</t>
  </si>
  <si>
    <t>FTE-HFO-REF1</t>
  </si>
  <si>
    <t>Proceso para que el HFO se use en refineria 1</t>
  </si>
  <si>
    <t>REFINERÍA: ENTRADAS</t>
  </si>
  <si>
    <t>Entrada de productos</t>
  </si>
  <si>
    <t>Energy</t>
  </si>
  <si>
    <t>Renergy, PJ por PJ oil</t>
  </si>
  <si>
    <t>R UO</t>
  </si>
  <si>
    <t>Entrada de petróleo, kbpd</t>
  </si>
  <si>
    <t>Consumo de electricidad, 2018, Gw-h/año</t>
  </si>
  <si>
    <t>Consumo de hidrogeno, kt/año</t>
  </si>
  <si>
    <t>Petroleo para refineria 1</t>
  </si>
  <si>
    <t>Consumo de vapor</t>
  </si>
  <si>
    <t>PJ steam/PJ de barril</t>
  </si>
  <si>
    <t>ELC-REF1</t>
  </si>
  <si>
    <t>Electricidad usada en refineria 1</t>
  </si>
  <si>
    <t>H2-REF1</t>
  </si>
  <si>
    <t>Hidrogeno usado en la refineria 1</t>
  </si>
  <si>
    <t>STEAM-DRM-REF1</t>
  </si>
  <si>
    <t>Vapor para refineria 1</t>
  </si>
  <si>
    <t>~FI_T: Share-I</t>
  </si>
  <si>
    <t>GAS-REF1</t>
  </si>
  <si>
    <t>Gas utilizado en refineria 1</t>
  </si>
  <si>
    <t>HFO-REF1</t>
  </si>
  <si>
    <t>HFO utilizado en refineria 1</t>
  </si>
  <si>
    <t>REFINERIA: SALIDAS</t>
  </si>
  <si>
    <t>Carga para las salidas</t>
  </si>
  <si>
    <t>Kbpd</t>
  </si>
  <si>
    <t>kton/d</t>
  </si>
  <si>
    <t>Salidas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</si>
  <si>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</si>
  <si>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%V</t>
    </r>
    <r>
      <rPr>
        <b/>
        <vertAlign val="subscript"/>
        <sz val="11"/>
        <color theme="1"/>
        <rFont val="Calibri"/>
        <family val="2"/>
      </rPr>
      <t>subtotal</t>
    </r>
  </si>
  <si>
    <t>Diésel</t>
  </si>
  <si>
    <t>Nafta</t>
  </si>
  <si>
    <t>Refinery Gas, MMPCSD</t>
  </si>
  <si>
    <t>-</t>
  </si>
  <si>
    <t>Subtotal</t>
  </si>
  <si>
    <t>~FI_T: Share-O</t>
  </si>
  <si>
    <t>LEAP</t>
  </si>
  <si>
    <t>REFINERIA: DATOS GENERALES</t>
  </si>
  <si>
    <t>U110 Hidrocraqueo</t>
  </si>
  <si>
    <t>Hidrotrtamiento nafta</t>
  </si>
  <si>
    <t>Capacidad nominal, kbpd</t>
  </si>
  <si>
    <t>Hidrotratamiento de diesel</t>
  </si>
  <si>
    <t>Carga en 2019, kbpd</t>
  </si>
  <si>
    <t>Factor de utilización, 2019</t>
  </si>
  <si>
    <t>Factor de utilización máximo, 2019-2020</t>
  </si>
  <si>
    <t>Eficiencia de conversión petróleo Total</t>
  </si>
  <si>
    <t>Eficiencia de conversión petróleo Subtotal</t>
  </si>
  <si>
    <t>OPEX (sin electricidad), USD2019</t>
  </si>
  <si>
    <t>Year</t>
  </si>
  <si>
    <t>ACT_BND</t>
  </si>
  <si>
    <t>ACT_COST</t>
  </si>
  <si>
    <t>REFINERIA: ENTRADA: PRODUCCION DE HIDROGENO GRIS (SMR)</t>
  </si>
  <si>
    <t>nm3 de gas natural</t>
  </si>
  <si>
    <t>kg</t>
  </si>
  <si>
    <t>Relación H2 por natural gas, MW / MW H2</t>
  </si>
  <si>
    <t>PJ/PJ H2</t>
  </si>
  <si>
    <t>Capacidad máxima</t>
  </si>
  <si>
    <t>nm3</t>
  </si>
  <si>
    <t>OPEX (MUSD/kg H2)</t>
  </si>
  <si>
    <t>scf</t>
  </si>
  <si>
    <t>Mscf</t>
  </si>
  <si>
    <t>REFINERIA: ENTRADA: PRODUCCION DE ELECTRICIDAD</t>
  </si>
  <si>
    <t>BC: 1</t>
  </si>
  <si>
    <t>Entradas</t>
  </si>
  <si>
    <t>Electricidad en refinerias</t>
  </si>
  <si>
    <t>UO*</t>
  </si>
  <si>
    <t xml:space="preserve">R: </t>
  </si>
  <si>
    <t>Electricidad en Reficar</t>
  </si>
  <si>
    <t>Gas Natural, MPCD</t>
  </si>
  <si>
    <t>PJ Natural Gas per PJ Electricity</t>
  </si>
  <si>
    <t>RG</t>
  </si>
  <si>
    <t>Electricidad en Barranca</t>
  </si>
  <si>
    <t>PJ RFG per PJ electricity</t>
  </si>
  <si>
    <t>Vapor, lbm</t>
  </si>
  <si>
    <t>PJ generated steam per PJ electricity</t>
  </si>
  <si>
    <t>Vapor</t>
  </si>
  <si>
    <t>Capacidad de generación</t>
  </si>
  <si>
    <t>MW</t>
  </si>
  <si>
    <t>Eficiencia combinada</t>
  </si>
  <si>
    <t>Eficiencia electrica</t>
  </si>
  <si>
    <t>Ef gas</t>
  </si>
  <si>
    <t>Ef vapor</t>
  </si>
  <si>
    <t>Ef comb</t>
  </si>
  <si>
    <t xml:space="preserve">POSIBILIDAD DE COMPRA DE ELC </t>
  </si>
  <si>
    <t>t/d</t>
  </si>
  <si>
    <t>t/año</t>
  </si>
  <si>
    <t>kt/año</t>
  </si>
  <si>
    <t>Carga a la refinería de Barrancabermeja</t>
  </si>
  <si>
    <t>%vol</t>
  </si>
  <si>
    <t>MIX-OIL-REF2</t>
  </si>
  <si>
    <t>Mezcla de crudos para refineria 2</t>
  </si>
  <si>
    <t>REF2</t>
  </si>
  <si>
    <t>Refineria 2</t>
  </si>
  <si>
    <t>SMR-REF2</t>
  </si>
  <si>
    <t>SMR en la refineria 2</t>
  </si>
  <si>
    <t>AUTO-REF2</t>
  </si>
  <si>
    <t>Autogeneracion en refineria 2</t>
  </si>
  <si>
    <t>COMPRA-ELC-REF2</t>
  </si>
  <si>
    <t>Compra de electricidad en refineria 2</t>
  </si>
  <si>
    <t>FTE-GAS-REF2</t>
  </si>
  <si>
    <t>Proceso para que el gas se use en refineria 2</t>
  </si>
  <si>
    <t>FTE-HFO-REF2</t>
  </si>
  <si>
    <t>Proceso para que el HFO se use en refineria 2</t>
  </si>
  <si>
    <t>Table Name:</t>
  </si>
  <si>
    <t>Unsaved_15215</t>
  </si>
  <si>
    <t>Commodity</t>
  </si>
  <si>
    <t>VAR_FIn</t>
  </si>
  <si>
    <t>ELC-REF2</t>
  </si>
  <si>
    <t>Petroleo para refineria 2</t>
  </si>
  <si>
    <t>H2-REF2</t>
  </si>
  <si>
    <t>Electricidad usada en refineria 2</t>
  </si>
  <si>
    <t>Hidrogeno usado en la refineria 2</t>
  </si>
  <si>
    <t>STEAM-DRM-REF2</t>
  </si>
  <si>
    <t>Vapor para refineria 2</t>
  </si>
  <si>
    <t>Gas utilizado en refineria 2</t>
  </si>
  <si>
    <t>HFO utilizado en refineria 2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</si>
  <si>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</si>
  <si>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</si>
  <si>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t>AVGAS</t>
  </si>
  <si>
    <t>Drumm gas</t>
  </si>
  <si>
    <t>NG</t>
  </si>
  <si>
    <t>Oil classification by API gravity</t>
  </si>
  <si>
    <t>Plan de Abastecimiento Liquido, 2021</t>
  </si>
  <si>
    <t>American Petroleum Institute</t>
  </si>
  <si>
    <t>Legislacion colombiana, API</t>
  </si>
  <si>
    <t>Lower limit</t>
  </si>
  <si>
    <t>Upper Limit</t>
  </si>
  <si>
    <t>Extra Heavy Oil</t>
  </si>
  <si>
    <t>Heavy Oil</t>
  </si>
  <si>
    <t>Medium Oil</t>
  </si>
  <si>
    <t>Light Oil</t>
  </si>
  <si>
    <t>2019, MPC/D</t>
  </si>
  <si>
    <t>offshore</t>
  </si>
  <si>
    <t>Deparment</t>
  </si>
  <si>
    <t>Company</t>
  </si>
  <si>
    <t>City-town-location</t>
  </si>
  <si>
    <t>Basin</t>
  </si>
  <si>
    <t>Oilfield</t>
  </si>
  <si>
    <t>API Gravity</t>
  </si>
  <si>
    <t>Type of Oil producing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</si>
  <si>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</si>
  <si>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</si>
  <si>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</si>
  <si>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</si>
  <si>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</si>
  <si>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</si>
  <si>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</si>
  <si>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</si>
  <si>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</si>
  <si>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</si>
  <si>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</si>
  <si>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</si>
  <si>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</si>
  <si>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#VALUE!</t>
  </si>
  <si>
    <t>ECP</t>
  </si>
  <si>
    <t>Manaure</t>
  </si>
  <si>
    <t>Guajira</t>
  </si>
  <si>
    <t>Chuchupa</t>
  </si>
  <si>
    <t>Ballena</t>
  </si>
  <si>
    <t>Toledo</t>
  </si>
  <si>
    <t>Llanos Orientales</t>
  </si>
  <si>
    <t>Gibraltar</t>
  </si>
  <si>
    <t>Aguazul</t>
  </si>
  <si>
    <t>Cupiagua (Cupiagua + Liria + Sur)</t>
  </si>
  <si>
    <t>Tauramena</t>
  </si>
  <si>
    <t>Cusiana (Cusiana + Norte)</t>
  </si>
  <si>
    <t>Yopal</t>
  </si>
  <si>
    <t>Pauto Sur (Sur + Recetor)</t>
  </si>
  <si>
    <t>Floreña (Floreña + Mirador)</t>
  </si>
  <si>
    <t>Puerto Gaitan</t>
  </si>
  <si>
    <t>Rubiales</t>
  </si>
  <si>
    <t>Acacias/Castilla Nueva</t>
  </si>
  <si>
    <t>Castilla (c, e, n, n)</t>
  </si>
  <si>
    <t>Acacias/Guamal</t>
  </si>
  <si>
    <t>Chichimene</t>
  </si>
  <si>
    <t>Akacias</t>
  </si>
  <si>
    <t>Villavicencio</t>
  </si>
  <si>
    <t>Apiay</t>
  </si>
  <si>
    <t>Orito</t>
  </si>
  <si>
    <t>Putumayo</t>
  </si>
  <si>
    <t>Yondo</t>
  </si>
  <si>
    <t>VMM</t>
  </si>
  <si>
    <t>Casabe</t>
  </si>
  <si>
    <t>Puerto Nare</t>
  </si>
  <si>
    <t>Area Teca-Corcona</t>
  </si>
  <si>
    <t>Puerto Wilches</t>
  </si>
  <si>
    <t>Yarigui-Cantagallo</t>
  </si>
  <si>
    <t>Barrancabermeja</t>
  </si>
  <si>
    <t>La Cira</t>
  </si>
  <si>
    <t>Aipe</t>
  </si>
  <si>
    <t>VSM</t>
  </si>
  <si>
    <t>Dina</t>
  </si>
  <si>
    <t>Neiva/Palermo</t>
  </si>
  <si>
    <t>San Francisco</t>
  </si>
  <si>
    <t>Neiva</t>
  </si>
  <si>
    <t>Tello</t>
  </si>
  <si>
    <t>Cesar Department</t>
  </si>
  <si>
    <t>Astrea</t>
  </si>
  <si>
    <t>VIM</t>
  </si>
  <si>
    <t>Arjona</t>
  </si>
  <si>
    <t>Sucre Department</t>
  </si>
  <si>
    <t>Ovejas</t>
  </si>
  <si>
    <t>Bonga</t>
  </si>
  <si>
    <t>Mamey</t>
  </si>
  <si>
    <t>Campos Nuevos de VIM</t>
  </si>
  <si>
    <t>Guajira, Norte de Santander</t>
  </si>
  <si>
    <t>Casanare, Meta</t>
  </si>
  <si>
    <t>Antioquia, Santander</t>
  </si>
  <si>
    <t>Huila</t>
  </si>
  <si>
    <t>MI MODELO</t>
  </si>
  <si>
    <t>ANTIOQUIA</t>
  </si>
  <si>
    <t>CASANARE</t>
  </si>
  <si>
    <t>CESAR</t>
  </si>
  <si>
    <t>CUNDINAMARCA</t>
  </si>
  <si>
    <t>HUILA</t>
  </si>
  <si>
    <t>META</t>
  </si>
  <si>
    <t>NORTE DE SANTANDER</t>
  </si>
  <si>
    <t>PUTUMAYO</t>
  </si>
  <si>
    <t>SANTANDER</t>
  </si>
  <si>
    <t>SUCRE</t>
  </si>
  <si>
    <t>TOLIMA</t>
  </si>
  <si>
    <t>BOLIVAR</t>
  </si>
  <si>
    <t>Campos de VIM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</si>
  <si>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</si>
  <si>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</si>
  <si>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</si>
  <si>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</si>
  <si>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</si>
  <si>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</si>
  <si>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</si>
  <si>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</si>
  <si>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PRODUCCIÓN DE CRUDO (Bl)</t>
  </si>
  <si>
    <t>Arianna</t>
  </si>
  <si>
    <t>NO</t>
  </si>
  <si>
    <t>SI, HC</t>
  </si>
  <si>
    <t>Bonga,</t>
  </si>
  <si>
    <t>Sí</t>
  </si>
  <si>
    <t>Clarinete</t>
  </si>
  <si>
    <t>El Dificil</t>
  </si>
  <si>
    <t>Katana</t>
  </si>
  <si>
    <t>La Creciente</t>
  </si>
  <si>
    <t>Nelson</t>
  </si>
  <si>
    <t>Cienaga de Oro</t>
  </si>
  <si>
    <t>Níspero</t>
  </si>
  <si>
    <t>Palmer</t>
  </si>
  <si>
    <t>Pandereta</t>
  </si>
  <si>
    <t>Pedernalito</t>
  </si>
  <si>
    <t>Toronja</t>
  </si>
  <si>
    <t>Trombon</t>
  </si>
  <si>
    <t>TJ/kbl</t>
  </si>
  <si>
    <t>GJ/bl</t>
  </si>
  <si>
    <t>TJ/bl</t>
  </si>
  <si>
    <t>Proyecciones, Boe/d</t>
  </si>
  <si>
    <t>Proyecciones, PJ/año</t>
  </si>
  <si>
    <t>Pendiente (Bpd/año)</t>
  </si>
  <si>
    <t>PENDIENTE (PJ/año)/año</t>
  </si>
  <si>
    <t>BASIN</t>
  </si>
  <si>
    <t>Mboe</t>
  </si>
  <si>
    <t xml:space="preserve">GU </t>
  </si>
  <si>
    <t>LLO - Liviano</t>
  </si>
  <si>
    <t>LLO - Pesado</t>
  </si>
  <si>
    <t>PU - Liviano</t>
  </si>
  <si>
    <t>VMM - Medio</t>
  </si>
  <si>
    <t>VSM - Medio</t>
  </si>
  <si>
    <t>GJ</t>
  </si>
  <si>
    <t>Boe</t>
  </si>
  <si>
    <t>Proyecciones, boepd</t>
  </si>
  <si>
    <t>Proyecciones</t>
  </si>
  <si>
    <t>RR Totales</t>
  </si>
  <si>
    <t>RR Modelo</t>
  </si>
  <si>
    <t>%O</t>
  </si>
  <si>
    <t>%G</t>
  </si>
  <si>
    <t>Tipo de campo</t>
  </si>
  <si>
    <t>O (Mmboe)</t>
  </si>
  <si>
    <t>G (bcf)</t>
  </si>
  <si>
    <t>G (1000 Mpc)</t>
  </si>
  <si>
    <t>M</t>
  </si>
  <si>
    <t>I</t>
  </si>
  <si>
    <t>EL</t>
  </si>
  <si>
    <t>Si</t>
  </si>
  <si>
    <t>Apiay Este</t>
  </si>
  <si>
    <t>Casabe Sur</t>
  </si>
  <si>
    <t>Castilla</t>
  </si>
  <si>
    <t>Castilla Este</t>
  </si>
  <si>
    <t>Castilla Norte</t>
  </si>
  <si>
    <t>Chichimene SW</t>
  </si>
  <si>
    <t>Cupiagua</t>
  </si>
  <si>
    <t>sis</t>
  </si>
  <si>
    <t>Cupiagua Liria</t>
  </si>
  <si>
    <t>Cupiagua Sur</t>
  </si>
  <si>
    <t>Cusiana</t>
  </si>
  <si>
    <t>Cusiana Norte</t>
  </si>
  <si>
    <t>Dina Cretaceos</t>
  </si>
  <si>
    <t>Dina Norte</t>
  </si>
  <si>
    <t>Dina Terciarios</t>
  </si>
  <si>
    <t>Florena</t>
  </si>
  <si>
    <t>Florena Mirador</t>
  </si>
  <si>
    <t>Infantas</t>
  </si>
  <si>
    <t>Pauto Sur</t>
  </si>
  <si>
    <t>Pauto Sur Recetor</t>
  </si>
  <si>
    <t>Teca</t>
  </si>
  <si>
    <t>Yarigui</t>
  </si>
  <si>
    <t>O, boe</t>
  </si>
  <si>
    <t>G, boe</t>
  </si>
  <si>
    <t>G, MPC</t>
  </si>
  <si>
    <t>G</t>
  </si>
  <si>
    <t>Pauto</t>
  </si>
  <si>
    <t xml:space="preserve">Cupiagua </t>
  </si>
  <si>
    <t>Mpcd</t>
  </si>
  <si>
    <t>Bpd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</si>
  <si>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</si>
  <si>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</si>
  <si>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</si>
  <si>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</si>
  <si>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</si>
  <si>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</si>
  <si>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</si>
  <si>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</si>
  <si>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</si>
  <si>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</si>
  <si>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</si>
  <si>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</si>
  <si>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</si>
  <si>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ANH, COM</t>
  </si>
  <si>
    <t>ANH, Fisc-Rei</t>
  </si>
  <si>
    <t>GlobalData</t>
  </si>
  <si>
    <t>E%, COM</t>
  </si>
  <si>
    <t>E%, FISC-REI</t>
  </si>
  <si>
    <t>J/bl</t>
  </si>
  <si>
    <t>Pc</t>
  </si>
  <si>
    <t>Doesn't Apply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</si>
  <si>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</si>
  <si>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</si>
  <si>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</si>
  <si>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</si>
  <si>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</si>
  <si>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</si>
  <si>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</si>
  <si>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</si>
  <si>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</si>
  <si>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</si>
  <si>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</si>
  <si>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</si>
  <si>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</si>
  <si>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Interpolar</t>
  </si>
  <si>
    <t>USES</t>
  </si>
  <si>
    <t>Relative to Gfisc - Grei</t>
  </si>
  <si>
    <t>Relative to Gplant</t>
  </si>
  <si>
    <t>General</t>
  </si>
  <si>
    <t>%</t>
  </si>
  <si>
    <t>years</t>
  </si>
  <si>
    <t>Projections, %, Global Data</t>
  </si>
  <si>
    <t>Projections, PJ, Global Data</t>
  </si>
  <si>
    <t>Interpolated Projections, PJ, Global Data</t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</si>
  <si>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</si>
  <si>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</si>
  <si>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"GOR"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</si>
  <si>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</si>
  <si>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</si>
  <si>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</si>
  <si>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</si>
  <si>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</si>
  <si>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</si>
  <si>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</si>
  <si>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</si>
  <si>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</si>
  <si>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</si>
  <si>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</si>
  <si>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</si>
  <si>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t>R/P</t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</si>
  <si>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</si>
  <si>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</si>
  <si>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</si>
  <si>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</si>
  <si>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</si>
  <si>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/>
  </si>
  <si>
    <t>Fiscal</t>
  </si>
  <si>
    <t>Comm</t>
  </si>
  <si>
    <t>Proyections, PJ, Global Data</t>
  </si>
  <si>
    <t>Oil Proyections, PJ, Global Data</t>
  </si>
  <si>
    <t>Gas Projections, PJ, Global Data</t>
  </si>
  <si>
    <t>Type Fluid</t>
  </si>
  <si>
    <t>CAM</t>
  </si>
  <si>
    <r>
      <rPr>
        <b/>
        <sz val="12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</si>
  <si>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2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</si>
  <si>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</si>
  <si>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</si>
  <si>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</si>
  <si>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</si>
  <si>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</si>
  <si>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</si>
  <si>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</si>
  <si>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</si>
  <si>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</si>
  <si>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</si>
  <si>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</si>
  <si>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</si>
  <si>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</si>
  <si>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</si>
  <si>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</si>
  <si>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</si>
  <si>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</si>
  <si>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>GU - Gas</t>
  </si>
  <si>
    <t>LLO - Ligth</t>
  </si>
  <si>
    <t>LLO - Heavy</t>
  </si>
  <si>
    <t>PU - Ligth</t>
  </si>
  <si>
    <t>VMM - Medium</t>
  </si>
  <si>
    <t>VSM - Medium</t>
  </si>
  <si>
    <t>VIM - GAS</t>
  </si>
  <si>
    <t>P</t>
  </si>
  <si>
    <t>Consumo de Electricidad de PRODUCCCIÓN                                           Consumo de Electricidad de PRODUCCCIÓN                                           Consumo de Electricidad de PRODUCCCIÓN                                           Consumo de Electricidad de PRODUCCCIÓN</t>
  </si>
  <si>
    <t>Comercial</t>
  </si>
  <si>
    <t>Mediano o Pesado</t>
  </si>
  <si>
    <t>&gt;10% el GOR</t>
  </si>
  <si>
    <t>&lt;90% GOR</t>
  </si>
  <si>
    <t>Consumo de electricidad para producción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</si>
  <si>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</si>
  <si>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t>Wells</t>
  </si>
  <si>
    <t>Gas treatment</t>
  </si>
  <si>
    <t>Crude Treatment</t>
  </si>
  <si>
    <t>PJ de electricidad/PJ de petróleo</t>
  </si>
  <si>
    <t>MJ/GJ</t>
  </si>
  <si>
    <t xml:space="preserve">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</t>
  </si>
  <si>
    <t>Emissions kt/PJ</t>
  </si>
  <si>
    <t>Electricity consumption</t>
  </si>
  <si>
    <t xml:space="preserve">Production </t>
  </si>
  <si>
    <t>Gras treatment</t>
  </si>
  <si>
    <t>PowerPlant</t>
  </si>
  <si>
    <t>CAPACIDAD DE PLANTAS DE LPG                                          CAPACIDAD DE PLANTAS DE LPG                                         CAPACIDAD DE PLANTAS DE LPG                                         CAPACIDAD DE PLANTAS DE LPG                                         CAPACIDAD DE PLANTAS DE LPG                                         CAPACIDAD DE PLANTAS DE LPG</t>
  </si>
  <si>
    <t>Capacidades de planta de procesamiento de gas natural</t>
  </si>
  <si>
    <t>PP, BARRILES POR DÍA</t>
  </si>
  <si>
    <t>PP, BARRILES, Consumido</t>
  </si>
  <si>
    <t>PP, BARRILES POR DIA, Oferta Final</t>
  </si>
  <si>
    <t>Procesamiento</t>
  </si>
  <si>
    <t>Gas transformado/Gas entrada</t>
  </si>
  <si>
    <t>Gas que entra máximo</t>
  </si>
  <si>
    <t>Reficar</t>
  </si>
  <si>
    <t>Barranca</t>
  </si>
  <si>
    <t>Floreña</t>
  </si>
  <si>
    <t>LITERATURA</t>
  </si>
  <si>
    <t xml:space="preserve">Consumo electrico DE TRANSPORTE DE HIDROCARBUROS                                    Consumo electrico DE TRANSPORTE DE HIDROCARBUROS                                    Consumo electrico DE TRANSPORTE DE HIDROCARBUROS </t>
  </si>
  <si>
    <t>Transporte de Hidrocarburos</t>
  </si>
  <si>
    <t>Consumo de energía</t>
  </si>
  <si>
    <t>MJ/GJ oil</t>
  </si>
  <si>
    <t>PJ/Pjoil</t>
  </si>
  <si>
    <t>R1</t>
  </si>
  <si>
    <t>kg CO2eq/GJ</t>
  </si>
  <si>
    <t>R2</t>
  </si>
  <si>
    <t>kg CO2eq/PJ</t>
  </si>
  <si>
    <t>R3</t>
  </si>
  <si>
    <t>kt co2EQ/PJ</t>
  </si>
  <si>
    <t xml:space="preserve">Fuel used </t>
  </si>
  <si>
    <t>OIL</t>
  </si>
  <si>
    <t>Fuel used</t>
  </si>
  <si>
    <t>pj/pj</t>
  </si>
  <si>
    <t>SEC PJ/PJ</t>
  </si>
  <si>
    <t>C</t>
  </si>
  <si>
    <t>Oil</t>
  </si>
  <si>
    <t>SEC, ELECTRICIDAD</t>
  </si>
  <si>
    <t>KWh/b</t>
  </si>
  <si>
    <t>COSTO SOLO PETRÓLEO</t>
  </si>
  <si>
    <t>NO APLICA</t>
  </si>
  <si>
    <t>Transporte</t>
  </si>
  <si>
    <t>USD/bl</t>
  </si>
  <si>
    <t>Dilución para transporte</t>
  </si>
  <si>
    <t>Conversion</t>
  </si>
  <si>
    <t>Capacidad de AUTOGENERACION                            Capacidad de AUTOGENERACION                            Capacidad de AUTOGENERACION                            Capacidad de AUTOGENERACION                            Capacidad de AUTOGENERACION</t>
  </si>
  <si>
    <t>Capacity MW</t>
  </si>
  <si>
    <t>Efficiency</t>
  </si>
  <si>
    <t>Capacity PJ</t>
  </si>
  <si>
    <t>Crudo</t>
  </si>
  <si>
    <t>Capacidad en MW</t>
  </si>
  <si>
    <t>Capacidad en PJ</t>
  </si>
  <si>
    <t>Reservas</t>
  </si>
  <si>
    <t>Producción con flaring</t>
  </si>
  <si>
    <t>Separacion de los fluidos</t>
  </si>
  <si>
    <t xml:space="preserve">Usos de combustibles en campo: AUTOGENERACION, PRODUCCIÓN LPG, </t>
  </si>
  <si>
    <t>Plantas de procesamiento de gas natural</t>
  </si>
  <si>
    <t>Colectores de petróleo                          Colectores de petróleo                          Colectores de petróleo                          Colectores de petróleo                          Colectores de petróleo</t>
  </si>
  <si>
    <t>Colectores de gas natural</t>
  </si>
  <si>
    <t>Compra de Electricidad</t>
  </si>
  <si>
    <t>Producción máxima de fluidos</t>
  </si>
  <si>
    <t>Consumo de electricidad</t>
  </si>
  <si>
    <t>Flaring</t>
  </si>
  <si>
    <t>Costos, MUSD2019/PJ</t>
  </si>
  <si>
    <t>Definicion del proceso</t>
  </si>
  <si>
    <t>Fluidos producidos, uso del "GOR", sin flaring</t>
  </si>
  <si>
    <t>Conversion de combustibles en campo para autogeneracion</t>
  </si>
  <si>
    <t>Generación de Electricidad para el campo</t>
  </si>
  <si>
    <t>Generación de Electricidad para el transporte</t>
  </si>
  <si>
    <t>Capacidad máxima de procesamiento</t>
  </si>
  <si>
    <t>Entrada a la planta de procesamiento</t>
  </si>
  <si>
    <t>Salida de la planta de procesamiento</t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</si>
  <si>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</si>
  <si>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</si>
  <si>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</si>
  <si>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</si>
  <si>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t xml:space="preserve">  </t>
  </si>
  <si>
    <t>Compra del SIN</t>
  </si>
  <si>
    <t>Compra del SIN para transporte</t>
  </si>
  <si>
    <t>CUM</t>
  </si>
  <si>
    <t>COST</t>
  </si>
  <si>
    <t>Share-O~UP</t>
  </si>
  <si>
    <t>GAS-CAM1</t>
  </si>
  <si>
    <t>GAS-plt-CAM1</t>
  </si>
  <si>
    <t>F.E. GAS</t>
  </si>
  <si>
    <t>CO2e-CAM1</t>
  </si>
  <si>
    <t>F.E., kt/PJ</t>
  </si>
  <si>
    <t>prueba</t>
  </si>
  <si>
    <t>SEC, MJ/GJ</t>
  </si>
  <si>
    <t>SGE, kg/GJ</t>
  </si>
  <si>
    <t>SEC, PJ/PJ</t>
  </si>
  <si>
    <t>SGE, t/PJ</t>
  </si>
  <si>
    <t xml:space="preserve">SEC </t>
  </si>
  <si>
    <t>% Electricity</t>
  </si>
  <si>
    <t>Other Primary Energy consumption</t>
  </si>
  <si>
    <t>Production (W + G + C)</t>
  </si>
  <si>
    <t>Power plant</t>
  </si>
  <si>
    <t>Transport</t>
  </si>
  <si>
    <t>R4</t>
  </si>
  <si>
    <t>Tansportation</t>
  </si>
  <si>
    <t>Z2</t>
  </si>
  <si>
    <t>Refinery</t>
  </si>
  <si>
    <t>Z3</t>
  </si>
  <si>
    <t>Z4</t>
  </si>
  <si>
    <t>Soda</t>
  </si>
  <si>
    <t>Pumping</t>
  </si>
  <si>
    <t>Reforming+Hydro</t>
  </si>
  <si>
    <t>Visbreaker+</t>
  </si>
  <si>
    <t>FCC</t>
  </si>
  <si>
    <t>Distillation</t>
  </si>
  <si>
    <t>Process of Refinery</t>
  </si>
  <si>
    <t>Power&amp;Steam</t>
  </si>
  <si>
    <t>Power &amp; Steam</t>
  </si>
  <si>
    <t>SGE, kg CO2eq/GJ</t>
  </si>
  <si>
    <t>Datos Historicos de Reportes de Reservas Probadas P1 de ECOPETROL, Todo en MBOE</t>
  </si>
  <si>
    <t>Reservas Iniciales</t>
  </si>
  <si>
    <t>Revisiones</t>
  </si>
  <si>
    <t>Recobro Mejorado</t>
  </si>
  <si>
    <t>Extensiones, Descrubrimientos</t>
  </si>
  <si>
    <t>Compras</t>
  </si>
  <si>
    <t>Reservas Finales</t>
  </si>
  <si>
    <t>Reservas Finales por tipo de Fluido</t>
  </si>
  <si>
    <t>% Reservas de Gas</t>
  </si>
  <si>
    <t>Reservas de O</t>
  </si>
  <si>
    <t>Reservas de G</t>
  </si>
  <si>
    <t>Relación de Incorporación</t>
  </si>
  <si>
    <t>I/R</t>
  </si>
  <si>
    <t>I/R Revisiones</t>
  </si>
  <si>
    <t>Pc/ bl</t>
  </si>
  <si>
    <t>I/R Recobro Mejorado</t>
  </si>
  <si>
    <t>I/R Extensiones</t>
  </si>
  <si>
    <t>I/R Compras</t>
  </si>
  <si>
    <t>Relación de reservas y producción, años</t>
  </si>
  <si>
    <t>Reservas de Gas Natural</t>
  </si>
  <si>
    <t>ECP, Mboe</t>
  </si>
  <si>
    <t>ECP, GPC</t>
  </si>
  <si>
    <t>ECP según ANH, GPC</t>
  </si>
  <si>
    <t>Reservas de Gas Natural de Colombia por cuenca, 2018</t>
  </si>
  <si>
    <t>ANH</t>
  </si>
  <si>
    <t>Modelo</t>
  </si>
  <si>
    <t>ANH, %</t>
  </si>
  <si>
    <t>LLO</t>
  </si>
  <si>
    <t>GPC</t>
  </si>
  <si>
    <t>CO</t>
  </si>
  <si>
    <t>PU</t>
  </si>
  <si>
    <t>Reservas de Gas Natural de Colombia por cuenca, 2018 ANH</t>
  </si>
  <si>
    <t>Probadas</t>
  </si>
  <si>
    <t>Probables</t>
  </si>
  <si>
    <t>Posibles</t>
  </si>
  <si>
    <t>Sinu San Jacinto</t>
  </si>
  <si>
    <t>Catatumbo</t>
  </si>
  <si>
    <t>Cesar Rancheria</t>
  </si>
  <si>
    <t>Total, 2018</t>
  </si>
  <si>
    <t>F.E. Edgar</t>
  </si>
  <si>
    <t>MPC/d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</si>
</sst>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164" formatCode="\Te\x\t"/>
    <numFmt numFmtId="165" formatCode="0.0%"/>
    <numFmt numFmtId="166" formatCode="_-* #,##0_-;\-* #,##0_-;_-* &quot;-&quot;??_-;_-@"/>
    <numFmt numFmtId="167" formatCode="0.0000"/>
    <numFmt numFmtId="168" formatCode="_-* #,##0.0000_-;\-* #,##0.0000_-;_-* &quot;-&quot;??_-;_-@"/>
    <numFmt numFmtId="169" formatCode="0.0"/>
    <numFmt numFmtId="170" formatCode="0.000"/>
    <numFmt numFmtId="171" formatCode="_-* #,##0.00_-;\-* #,##0.00_-;_-* &quot;-&quot;??_-;_-@"/>
    <numFmt numFmtId="172" formatCode="_-* #,##0.00000_-;\-* #,##0.00000_-;_-* &quot;-&quot;??_-;_-@"/>
    <numFmt numFmtId="173" formatCode="_-* #,##0.00\ _€_-;\-* #,##0.00\ _€_-;_-* &quot;-&quot;??\ _€_-;_-@"/>
    <numFmt numFmtId="174" formatCode="_-* #,##0.000_-;\-* #,##0.000_-;_-* &quot;-&quot;??_-;_-@"/>
    <numFmt numFmtId="175" formatCode="_-* #,##0.0_-;\-* #,##0.0_-;_-* &quot;-&quot;??_-;_-@"/>
    <numFmt numFmtId="176" formatCode="0.000000"/>
    <numFmt numFmtId="177" formatCode="_-* #,##0.000000_-;\-* #,##0.000000_-;_-* &quot;-&quot;??_-;_-@"/>
    <numFmt numFmtId="178" formatCode="0.000000000"/>
    <numFmt numFmtId="179" formatCode="0.0E+00"/>
    <numFmt numFmtId="180" formatCode="_-* #,##0.000_-;\-* #,##0.000_-;_-* &quot;-&quot;???_-;_-@"/>
    <numFmt numFmtId="181" formatCode="0.000%"/>
    <numFmt numFmtId="182" formatCode="_-* #,##0.0000000_-;\-* #,##0.0000000_-;_-* &quot;-&quot;??_-;_-@"/>
    <numFmt numFmtId="183" formatCode="0.0000%"/>
    <numFmt numFmtId="184" formatCode="0.00000"/>
  </numFmts>
  <fonts count="5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sz val="10"/>
      <color rgb="FF0000FF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8"/>
      <color theme="1"/>
      <name val="Calibri"/>
      <family val="2"/>
    </font>
    <font>
      <b/>
      <sz val="10"/>
      <color rgb="FFFF0000"/>
      <name val="Calibri"/>
      <family val="2"/>
    </font>
    <font>
      <b/>
      <sz val="11"/>
      <color rgb="FFC55A11"/>
      <name val="Calibri"/>
      <family val="2"/>
    </font>
    <font>
      <sz val="9"/>
      <color theme="1"/>
      <name val="Calibri"/>
      <family val="2"/>
    </font>
    <font>
      <b/>
      <sz val="8"/>
      <color theme="0"/>
      <name val="Calibri"/>
      <family val="2"/>
    </font>
    <font>
      <b/>
      <sz val="8"/>
      <color theme="1"/>
      <name val="Calibri"/>
      <family val="2"/>
    </font>
    <font>
      <i/>
      <sz val="8"/>
      <color theme="1"/>
      <name val="Calibri"/>
      <family val="2"/>
    </font>
    <font>
      <i/>
      <sz val="8"/>
      <color rgb="FFC00000"/>
      <name val="Calibri"/>
      <family val="2"/>
    </font>
    <font>
      <b/>
      <sz val="8"/>
      <color rgb="FFC00000"/>
      <name val="Calibri"/>
      <family val="2"/>
    </font>
    <font>
      <sz val="11"/>
      <color rgb="FFA5A5A5"/>
      <name val="Calibri"/>
      <family val="2"/>
    </font>
    <font>
      <b/>
      <sz val="11"/>
      <color rgb="FFA5A5A5"/>
      <name val="Calibri"/>
      <family val="2"/>
    </font>
    <font>
      <sz val="11"/>
      <color rgb="FFFF0000"/>
      <name val="Calibri"/>
      <family val="2"/>
    </font>
    <font>
      <b/>
      <sz val="10"/>
      <color rgb="FF0000FF"/>
      <name val="Calibri"/>
      <family val="2"/>
    </font>
    <font>
      <sz val="11"/>
      <color rgb="FFBFBFBF"/>
      <name val="Calibri"/>
      <family val="2"/>
    </font>
    <font>
      <b/>
      <sz val="14"/>
      <color theme="1"/>
      <name val="Calibri"/>
      <family val="2"/>
    </font>
    <font>
      <b/>
      <sz val="16"/>
      <color theme="1"/>
      <name val="Calibri"/>
      <family val="2"/>
    </font>
    <font>
      <sz val="8"/>
      <color rgb="FFA5A5A5"/>
      <name val="Calibri"/>
      <family val="2"/>
    </font>
    <font>
      <b/>
      <sz val="11"/>
      <color rgb="FF0000FF"/>
      <name val="Calibri"/>
      <family val="2"/>
    </font>
    <font>
      <sz val="11"/>
      <color rgb="FF7F7F7F"/>
      <name val="Calibri"/>
      <family val="2"/>
    </font>
    <font>
      <sz val="11"/>
      <color rgb="FF00B050"/>
      <name val="Calibri"/>
      <family val="2"/>
    </font>
    <font>
      <b/>
      <sz val="11"/>
      <color rgb="FF00B050"/>
      <name val="Calibri"/>
      <family val="2"/>
    </font>
    <font>
      <sz val="11"/>
      <color rgb="FFF2F2F2"/>
      <name val="Calibri"/>
      <family val="2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</font>
    <font>
      <sz val="12"/>
      <color theme="1"/>
      <name val="Calibri"/>
      <family val="2"/>
    </font>
    <font>
      <sz val="11"/>
      <color rgb="FFD8D8D8"/>
      <name val="Calibri"/>
      <family val="2"/>
    </font>
    <font>
      <b/>
      <sz val="14"/>
      <color rgb="FFFF0000"/>
      <name val="Calibri"/>
      <family val="2"/>
    </font>
    <font>
      <sz val="11"/>
      <color rgb="FF7030A0"/>
      <name val="Calibri"/>
      <family val="2"/>
    </font>
    <font>
      <i/>
      <sz val="12"/>
      <color theme="1"/>
      <name val="Calibri"/>
      <family val="2"/>
    </font>
    <font>
      <b/>
      <vertAlign val="subscript"/>
      <sz val="8"/>
      <color theme="1"/>
      <name val="Calibri"/>
      <family val="2"/>
    </font>
    <font>
      <vertAlign val="subscript"/>
      <sz val="8"/>
      <color theme="1"/>
      <name val="Calibri"/>
      <family val="2"/>
    </font>
    <font>
      <b/>
      <vertAlign val="subscript"/>
      <sz val="11"/>
      <color theme="1"/>
      <name val="Calibri"/>
      <family val="2"/>
    </font>
    <font>
      <b/>
      <vertAlign val="subscript"/>
      <sz val="14"/>
      <color theme="1"/>
      <name val="Calibri"/>
      <family val="2"/>
    </font>
    <font>
      <b/>
      <vertAlign val="subscript"/>
      <sz val="10"/>
      <color theme="1"/>
      <name val="Calibri"/>
      <family val="2"/>
    </font>
    <font>
      <b/>
      <i/>
      <sz val="12"/>
      <color theme="1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99"/>
        <bgColor rgb="FFFFFF99"/>
      </patternFill>
    </fill>
    <fill>
      <patternFill patternType="solid">
        <fgColor rgb="FFD9E2F3"/>
        <bgColor rgb="FFD9E2F3"/>
      </patternFill>
    </fill>
    <fill>
      <patternFill patternType="solid">
        <fgColor rgb="FFECECEC"/>
        <bgColor rgb="FFECECEC"/>
      </patternFill>
    </fill>
    <fill>
      <patternFill patternType="solid">
        <fgColor rgb="FF3A3838"/>
        <bgColor rgb="FF3A3838"/>
      </patternFill>
    </fill>
    <fill>
      <patternFill patternType="solid">
        <fgColor rgb="FFBFBFBF"/>
        <bgColor rgb="FFBFBFBF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E2EFD9"/>
        <bgColor rgb="FFE2EFD9"/>
      </patternFill>
    </fill>
    <fill>
      <patternFill patternType="solid">
        <fgColor theme="5"/>
        <bgColor theme="5"/>
      </patternFill>
    </fill>
    <fill>
      <patternFill patternType="solid">
        <fgColor rgb="FFC5E0B3"/>
        <bgColor rgb="FFC5E0B3"/>
      </patternFill>
    </fill>
    <fill>
      <patternFill patternType="solid">
        <fgColor rgb="FFFBE4D5"/>
        <bgColor rgb="FFFBE4D5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FFDDFF"/>
        <bgColor rgb="FFFFDDFF"/>
      </patternFill>
    </fill>
    <fill>
      <patternFill patternType="solid">
        <fgColor rgb="FFFFC000"/>
        <bgColor rgb="FFFFC000"/>
      </patternFill>
    </fill>
  </fills>
  <borders count="7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/>
      <top style="thin">
        <color rgb="FFD8D8D8"/>
      </top>
      <bottom/>
      <diagonal/>
    </border>
    <border>
      <left/>
      <right style="thin">
        <color rgb="FFD8D8D8"/>
      </right>
      <top style="thin">
        <color rgb="FFD8D8D8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875">
    <xf numFmtId="0" fontId="0" fillId="0" borderId="0" xfId="0"/>
    <xf numFmtId="0" fontId="3" fillId="2" borderId="1" xfId="0" applyFont="1" applyFill="1" applyBorder="1"/>
    <xf numFmtId="0" fontId="3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wrapText="1"/>
    </xf>
    <xf numFmtId="0" fontId="3" fillId="2" borderId="1" xfId="0" applyFont="1" applyFill="1" applyBorder="1" applyAlignment="1">
      <alignment horizontal="center" wrapText="1"/>
    </xf>
    <xf numFmtId="0" fontId="3" fillId="0" borderId="0" xfId="0" applyFont="1" applyAlignment="1">
      <alignment wrapText="1"/>
    </xf>
    <xf numFmtId="164" fontId="6" fillId="2" borderId="1" xfId="0" applyNumberFormat="1" applyFont="1" applyFill="1" applyBorder="1"/>
    <xf numFmtId="164" fontId="7" fillId="2" borderId="1" xfId="0" applyNumberFormat="1" applyFont="1" applyFill="1" applyBorder="1"/>
    <xf numFmtId="164" fontId="8" fillId="3" borderId="5" xfId="0" applyNumberFormat="1" applyFont="1" applyFill="1" applyBorder="1" applyAlignment="1">
      <alignment horizontal="left"/>
    </xf>
    <xf numFmtId="164" fontId="8" fillId="3" borderId="6" xfId="0" applyNumberFormat="1" applyFont="1" applyFill="1" applyBorder="1" applyAlignment="1">
      <alignment horizontal="left"/>
    </xf>
    <xf numFmtId="164" fontId="9" fillId="4" borderId="7" xfId="0" applyNumberFormat="1" applyFont="1" applyFill="1" applyBorder="1" applyAlignment="1">
      <alignment horizontal="left" wrapText="1"/>
    </xf>
    <xf numFmtId="165" fontId="3" fillId="0" borderId="0" xfId="0" applyNumberFormat="1" applyFont="1"/>
    <xf numFmtId="0" fontId="10" fillId="0" borderId="0" xfId="0" applyFont="1"/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4" fontId="6" fillId="0" borderId="0" xfId="0" applyNumberFormat="1" applyFont="1"/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0" borderId="0" xfId="0" applyFont="1" applyAlignment="1">
      <alignment horizontal="left"/>
    </xf>
    <xf numFmtId="165" fontId="3" fillId="2" borderId="1" xfId="0" applyNumberFormat="1" applyFont="1" applyFill="1" applyBorder="1"/>
    <xf numFmtId="0" fontId="11" fillId="0" borderId="0" xfId="0" applyFont="1"/>
    <xf numFmtId="0" fontId="12" fillId="0" borderId="0" xfId="0" applyFont="1"/>
    <xf numFmtId="0" fontId="12" fillId="0" borderId="0" xfId="0" applyFont="1" applyAlignment="1">
      <alignment horizontal="right"/>
    </xf>
    <xf numFmtId="0" fontId="13" fillId="0" borderId="0" xfId="0" applyFont="1"/>
    <xf numFmtId="0" fontId="4" fillId="0" borderId="10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14" fillId="0" borderId="12" xfId="0" applyFont="1" applyBorder="1" applyAlignment="1">
      <alignment horizontal="center"/>
    </xf>
    <xf numFmtId="0" fontId="4" fillId="0" borderId="8" xfId="0" applyFont="1" applyBorder="1"/>
    <xf numFmtId="0" fontId="14" fillId="0" borderId="13" xfId="0" applyFont="1" applyBorder="1" applyAlignment="1">
      <alignment horizontal="left"/>
    </xf>
    <xf numFmtId="0" fontId="14" fillId="0" borderId="9" xfId="0" applyFont="1" applyBorder="1"/>
    <xf numFmtId="0" fontId="3" fillId="0" borderId="10" xfId="0" applyFont="1" applyBorder="1"/>
    <xf numFmtId="0" fontId="11" fillId="0" borderId="13" xfId="0" applyFont="1" applyBorder="1" applyAlignment="1">
      <alignment horizontal="left"/>
    </xf>
    <xf numFmtId="0" fontId="11" fillId="0" borderId="9" xfId="0" applyFont="1" applyBorder="1" applyAlignment="1">
      <alignment horizontal="left" vertical="center"/>
    </xf>
    <xf numFmtId="0" fontId="3" fillId="0" borderId="13" xfId="0" applyFont="1" applyBorder="1" applyAlignment="1">
      <alignment horizontal="center"/>
    </xf>
    <xf numFmtId="2" fontId="3" fillId="0" borderId="10" xfId="0" applyNumberFormat="1" applyFont="1" applyBorder="1" applyAlignment="1">
      <alignment horizontal="center" vertical="center"/>
    </xf>
    <xf numFmtId="2" fontId="3" fillId="0" borderId="9" xfId="0" applyNumberFormat="1" applyFont="1" applyBorder="1" applyAlignment="1">
      <alignment horizontal="center" vertical="center"/>
    </xf>
    <xf numFmtId="0" fontId="3" fillId="0" borderId="14" xfId="0" applyFont="1" applyBorder="1"/>
    <xf numFmtId="0" fontId="11" fillId="0" borderId="15" xfId="0" applyFont="1" applyBorder="1" applyAlignment="1">
      <alignment horizontal="left"/>
    </xf>
    <xf numFmtId="0" fontId="11" fillId="0" borderId="16" xfId="0" applyFont="1" applyBorder="1" applyAlignment="1">
      <alignment horizontal="left" vertical="center"/>
    </xf>
    <xf numFmtId="0" fontId="3" fillId="0" borderId="15" xfId="0" applyFont="1" applyBorder="1" applyAlignment="1">
      <alignment horizontal="center"/>
    </xf>
    <xf numFmtId="2" fontId="3" fillId="0" borderId="14" xfId="0" applyNumberFormat="1" applyFont="1" applyBorder="1" applyAlignment="1">
      <alignment horizontal="center" vertical="center"/>
    </xf>
    <xf numFmtId="2" fontId="3" fillId="0" borderId="16" xfId="0" applyNumberFormat="1" applyFont="1" applyBorder="1" applyAlignment="1">
      <alignment horizontal="center" vertical="center"/>
    </xf>
    <xf numFmtId="0" fontId="3" fillId="0" borderId="11" xfId="0" applyFont="1" applyBorder="1"/>
    <xf numFmtId="0" fontId="11" fillId="0" borderId="0" xfId="0" applyFont="1" applyAlignment="1">
      <alignment horizontal="left"/>
    </xf>
    <xf numFmtId="2" fontId="3" fillId="0" borderId="11" xfId="0" applyNumberFormat="1" applyFont="1" applyBorder="1" applyAlignment="1">
      <alignment vertical="center"/>
    </xf>
    <xf numFmtId="2" fontId="3" fillId="0" borderId="12" xfId="0" applyNumberFormat="1" applyFont="1" applyBorder="1" applyAlignment="1">
      <alignment vertical="center"/>
    </xf>
    <xf numFmtId="0" fontId="3" fillId="0" borderId="17" xfId="0" applyFont="1" applyBorder="1"/>
    <xf numFmtId="0" fontId="11" fillId="0" borderId="18" xfId="0" applyFont="1" applyBorder="1" applyAlignment="1">
      <alignment horizontal="left"/>
    </xf>
    <xf numFmtId="0" fontId="3" fillId="0" borderId="18" xfId="0" applyFont="1" applyBorder="1" applyAlignment="1">
      <alignment horizontal="center"/>
    </xf>
    <xf numFmtId="2" fontId="3" fillId="0" borderId="17" xfId="0" applyNumberFormat="1" applyFont="1" applyBorder="1" applyAlignment="1">
      <alignment vertical="center"/>
    </xf>
    <xf numFmtId="2" fontId="3" fillId="0" borderId="19" xfId="0" applyNumberFormat="1" applyFont="1" applyBorder="1" applyAlignment="1">
      <alignment vertical="center"/>
    </xf>
    <xf numFmtId="0" fontId="12" fillId="0" borderId="12" xfId="0" applyFont="1" applyBorder="1" applyAlignment="1">
      <alignment horizontal="left" vertical="center"/>
    </xf>
    <xf numFmtId="2" fontId="3" fillId="0" borderId="11" xfId="0" applyNumberFormat="1" applyFont="1" applyBorder="1" applyAlignment="1">
      <alignment horizontal="center" vertical="center"/>
    </xf>
    <xf numFmtId="2" fontId="3" fillId="0" borderId="12" xfId="0" applyNumberFormat="1" applyFont="1" applyBorder="1" applyAlignment="1">
      <alignment horizontal="center" vertical="center"/>
    </xf>
    <xf numFmtId="0" fontId="11" fillId="0" borderId="12" xfId="0" applyFont="1" applyBorder="1" applyAlignment="1">
      <alignment horizontal="left" vertical="center"/>
    </xf>
    <xf numFmtId="0" fontId="11" fillId="0" borderId="19" xfId="0" applyFont="1" applyBorder="1" applyAlignment="1">
      <alignment horizontal="left" vertical="center"/>
    </xf>
    <xf numFmtId="2" fontId="3" fillId="0" borderId="17" xfId="0" applyNumberFormat="1" applyFont="1" applyBorder="1" applyAlignment="1">
      <alignment horizontal="center" vertical="center"/>
    </xf>
    <xf numFmtId="2" fontId="3" fillId="0" borderId="19" xfId="0" applyNumberFormat="1" applyFont="1" applyBorder="1" applyAlignment="1">
      <alignment horizontal="center" vertical="center"/>
    </xf>
    <xf numFmtId="166" fontId="12" fillId="0" borderId="0" xfId="0" applyNumberFormat="1" applyFont="1"/>
    <xf numFmtId="0" fontId="12" fillId="0" borderId="15" xfId="0" applyFont="1" applyBorder="1" applyAlignment="1">
      <alignment horizontal="left"/>
    </xf>
    <xf numFmtId="0" fontId="12" fillId="0" borderId="15" xfId="0" applyFont="1" applyBorder="1" applyAlignment="1">
      <alignment horizontal="left" vertical="center"/>
    </xf>
    <xf numFmtId="0" fontId="4" fillId="2" borderId="20" xfId="0" applyFont="1" applyFill="1" applyBorder="1" applyAlignment="1">
      <alignment horizontal="center"/>
    </xf>
    <xf numFmtId="2" fontId="3" fillId="0" borderId="21" xfId="0" applyNumberFormat="1" applyFont="1" applyBorder="1" applyAlignment="1">
      <alignment horizontal="center"/>
    </xf>
    <xf numFmtId="2" fontId="3" fillId="0" borderId="14" xfId="0" applyNumberFormat="1" applyFont="1" applyBorder="1" applyAlignment="1">
      <alignment horizontal="center"/>
    </xf>
    <xf numFmtId="0" fontId="12" fillId="0" borderId="18" xfId="0" applyFont="1" applyBorder="1" applyAlignment="1">
      <alignment horizontal="left"/>
    </xf>
    <xf numFmtId="0" fontId="4" fillId="2" borderId="22" xfId="0" applyFont="1" applyFill="1" applyBorder="1" applyAlignment="1">
      <alignment horizontal="center"/>
    </xf>
    <xf numFmtId="2" fontId="3" fillId="0" borderId="23" xfId="0" applyNumberFormat="1" applyFont="1" applyBorder="1" applyAlignment="1">
      <alignment horizontal="center"/>
    </xf>
    <xf numFmtId="2" fontId="3" fillId="0" borderId="17" xfId="0" applyNumberFormat="1" applyFont="1" applyBorder="1" applyAlignment="1">
      <alignment horizontal="center"/>
    </xf>
    <xf numFmtId="1" fontId="12" fillId="0" borderId="0" xfId="0" applyNumberFormat="1" applyFont="1"/>
    <xf numFmtId="0" fontId="15" fillId="0" borderId="0" xfId="0" applyFont="1"/>
    <xf numFmtId="0" fontId="15" fillId="5" borderId="1" xfId="0" applyFont="1" applyFill="1" applyBorder="1" applyAlignment="1">
      <alignment horizontal="left"/>
    </xf>
    <xf numFmtId="9" fontId="15" fillId="5" borderId="1" xfId="0" applyNumberFormat="1" applyFont="1" applyFill="1" applyBorder="1" applyAlignment="1">
      <alignment horizontal="left"/>
    </xf>
    <xf numFmtId="0" fontId="15" fillId="0" borderId="0" xfId="0" applyFont="1" applyAlignment="1">
      <alignment horizontal="left"/>
    </xf>
    <xf numFmtId="10" fontId="15" fillId="0" borderId="0" xfId="0" applyNumberFormat="1" applyFont="1" applyAlignment="1">
      <alignment horizontal="left"/>
    </xf>
    <xf numFmtId="0" fontId="11" fillId="0" borderId="14" xfId="0" applyFont="1" applyBorder="1"/>
    <xf numFmtId="0" fontId="11" fillId="0" borderId="15" xfId="0" applyFont="1" applyBorder="1"/>
    <xf numFmtId="167" fontId="11" fillId="0" borderId="14" xfId="0" applyNumberFormat="1" applyFont="1" applyBorder="1"/>
    <xf numFmtId="167" fontId="11" fillId="0" borderId="16" xfId="0" applyNumberFormat="1" applyFont="1" applyBorder="1"/>
    <xf numFmtId="0" fontId="11" fillId="0" borderId="17" xfId="0" applyFont="1" applyBorder="1"/>
    <xf numFmtId="0" fontId="11" fillId="0" borderId="18" xfId="0" applyFont="1" applyBorder="1"/>
    <xf numFmtId="0" fontId="11" fillId="0" borderId="19" xfId="0" applyFont="1" applyBorder="1"/>
    <xf numFmtId="168" fontId="12" fillId="0" borderId="0" xfId="0" applyNumberFormat="1" applyFont="1"/>
    <xf numFmtId="2" fontId="3" fillId="0" borderId="24" xfId="0" applyNumberFormat="1" applyFont="1" applyBorder="1" applyAlignment="1">
      <alignment horizontal="center"/>
    </xf>
    <xf numFmtId="169" fontId="12" fillId="0" borderId="0" xfId="0" applyNumberFormat="1" applyFont="1"/>
    <xf numFmtId="167" fontId="12" fillId="0" borderId="0" xfId="0" applyNumberFormat="1" applyFont="1"/>
    <xf numFmtId="170" fontId="11" fillId="0" borderId="0" xfId="0" applyNumberFormat="1" applyFont="1"/>
    <xf numFmtId="1" fontId="11" fillId="0" borderId="0" xfId="0" applyNumberFormat="1" applyFont="1"/>
    <xf numFmtId="2" fontId="12" fillId="0" borderId="0" xfId="0" applyNumberFormat="1" applyFont="1"/>
    <xf numFmtId="0" fontId="14" fillId="0" borderId="24" xfId="0" applyFont="1" applyBorder="1"/>
    <xf numFmtId="0" fontId="14" fillId="0" borderId="16" xfId="0" applyFont="1" applyBorder="1"/>
    <xf numFmtId="0" fontId="11" fillId="0" borderId="24" xfId="0" applyFont="1" applyBorder="1"/>
    <xf numFmtId="0" fontId="12" fillId="0" borderId="15" xfId="0" applyFont="1" applyBorder="1"/>
    <xf numFmtId="0" fontId="12" fillId="0" borderId="16" xfId="0" applyFont="1" applyBorder="1" applyAlignment="1">
      <alignment horizontal="right"/>
    </xf>
    <xf numFmtId="0" fontId="4" fillId="0" borderId="21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11" fillId="0" borderId="21" xfId="0" applyFont="1" applyBorder="1"/>
    <xf numFmtId="0" fontId="12" fillId="0" borderId="0" xfId="0" applyFont="1" applyAlignment="1">
      <alignment horizontal="center"/>
    </xf>
    <xf numFmtId="0" fontId="12" fillId="0" borderId="12" xfId="0" applyFont="1" applyBorder="1" applyAlignment="1">
      <alignment horizontal="right"/>
    </xf>
    <xf numFmtId="0" fontId="4" fillId="0" borderId="0" xfId="0" applyFont="1"/>
    <xf numFmtId="0" fontId="12" fillId="0" borderId="0" xfId="0" applyFont="1" applyAlignment="1">
      <alignment horizontal="center" vertical="center"/>
    </xf>
    <xf numFmtId="0" fontId="16" fillId="0" borderId="12" xfId="0" applyFont="1" applyBorder="1" applyAlignment="1">
      <alignment horizontal="center"/>
    </xf>
    <xf numFmtId="0" fontId="3" fillId="0" borderId="8" xfId="0" applyFont="1" applyBorder="1"/>
    <xf numFmtId="0" fontId="3" fillId="0" borderId="13" xfId="0" applyFont="1" applyBorder="1"/>
    <xf numFmtId="2" fontId="3" fillId="0" borderId="8" xfId="0" applyNumberFormat="1" applyFont="1" applyBorder="1" applyAlignment="1">
      <alignment horizontal="center"/>
    </xf>
    <xf numFmtId="171" fontId="3" fillId="0" borderId="9" xfId="0" applyNumberFormat="1" applyFont="1" applyBorder="1" applyAlignment="1">
      <alignment horizontal="center"/>
    </xf>
    <xf numFmtId="2" fontId="11" fillId="0" borderId="8" xfId="0" applyNumberFormat="1" applyFont="1" applyBorder="1" applyAlignment="1">
      <alignment horizontal="center" vertical="center"/>
    </xf>
    <xf numFmtId="0" fontId="11" fillId="0" borderId="13" xfId="0" applyFont="1" applyBorder="1" applyAlignment="1">
      <alignment horizontal="center"/>
    </xf>
    <xf numFmtId="0" fontId="11" fillId="0" borderId="13" xfId="0" applyFont="1" applyBorder="1"/>
    <xf numFmtId="0" fontId="12" fillId="0" borderId="9" xfId="0" applyFont="1" applyBorder="1" applyAlignment="1">
      <alignment horizontal="center" vertical="center"/>
    </xf>
    <xf numFmtId="170" fontId="12" fillId="0" borderId="12" xfId="0" applyNumberFormat="1" applyFont="1" applyBorder="1" applyAlignment="1">
      <alignment horizontal="right"/>
    </xf>
    <xf numFmtId="0" fontId="3" fillId="0" borderId="24" xfId="0" applyFont="1" applyBorder="1"/>
    <xf numFmtId="0" fontId="3" fillId="0" borderId="15" xfId="0" applyFont="1" applyBorder="1"/>
    <xf numFmtId="2" fontId="11" fillId="0" borderId="24" xfId="0" applyNumberFormat="1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3" fillId="0" borderId="21" xfId="0" applyFont="1" applyBorder="1"/>
    <xf numFmtId="0" fontId="3" fillId="0" borderId="23" xfId="0" applyFont="1" applyBorder="1"/>
    <xf numFmtId="0" fontId="3" fillId="0" borderId="18" xfId="0" applyFont="1" applyBorder="1"/>
    <xf numFmtId="171" fontId="3" fillId="0" borderId="16" xfId="0" applyNumberFormat="1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71" fontId="3" fillId="0" borderId="12" xfId="0" applyNumberFormat="1" applyFont="1" applyBorder="1" applyAlignment="1">
      <alignment horizontal="center"/>
    </xf>
    <xf numFmtId="2" fontId="11" fillId="0" borderId="21" xfId="0" applyNumberFormat="1" applyFont="1" applyBorder="1" applyAlignment="1">
      <alignment horizontal="center" vertical="center"/>
    </xf>
    <xf numFmtId="0" fontId="11" fillId="0" borderId="0" xfId="0" applyFont="1" applyAlignment="1">
      <alignment horizontal="center"/>
    </xf>
    <xf numFmtId="0" fontId="12" fillId="0" borderId="12" xfId="0" applyFont="1" applyBorder="1" applyAlignment="1">
      <alignment horizontal="center" vertical="center"/>
    </xf>
    <xf numFmtId="170" fontId="3" fillId="0" borderId="21" xfId="0" applyNumberFormat="1" applyFont="1" applyBorder="1" applyAlignment="1">
      <alignment horizontal="center"/>
    </xf>
    <xf numFmtId="171" fontId="3" fillId="0" borderId="19" xfId="0" applyNumberFormat="1" applyFont="1" applyBorder="1" applyAlignment="1">
      <alignment horizontal="center"/>
    </xf>
    <xf numFmtId="2" fontId="11" fillId="0" borderId="23" xfId="0" applyNumberFormat="1" applyFont="1" applyBorder="1" applyAlignment="1">
      <alignment horizontal="center" vertical="center"/>
    </xf>
    <xf numFmtId="0" fontId="11" fillId="0" borderId="18" xfId="0" applyFont="1" applyBorder="1" applyAlignment="1">
      <alignment horizontal="center"/>
    </xf>
    <xf numFmtId="0" fontId="12" fillId="0" borderId="19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2" fontId="3" fillId="0" borderId="12" xfId="0" applyNumberFormat="1" applyFont="1" applyBorder="1" applyAlignment="1">
      <alignment horizontal="right"/>
    </xf>
    <xf numFmtId="170" fontId="11" fillId="0" borderId="24" xfId="0" applyNumberFormat="1" applyFont="1" applyBorder="1" applyAlignment="1">
      <alignment horizontal="center" vertical="center"/>
    </xf>
    <xf numFmtId="2" fontId="3" fillId="0" borderId="19" xfId="0" applyNumberFormat="1" applyFont="1" applyBorder="1" applyAlignment="1">
      <alignment horizontal="right"/>
    </xf>
    <xf numFmtId="0" fontId="11" fillId="0" borderId="23" xfId="0" applyFont="1" applyBorder="1"/>
    <xf numFmtId="0" fontId="12" fillId="0" borderId="19" xfId="0" applyFont="1" applyBorder="1"/>
    <xf numFmtId="0" fontId="12" fillId="0" borderId="18" xfId="0" applyFont="1" applyBorder="1"/>
    <xf numFmtId="0" fontId="12" fillId="0" borderId="19" xfId="0" applyFont="1" applyBorder="1" applyAlignment="1">
      <alignment horizontal="right"/>
    </xf>
    <xf numFmtId="9" fontId="15" fillId="0" borderId="0" xfId="0" applyNumberFormat="1" applyFont="1" applyAlignment="1">
      <alignment horizontal="left"/>
    </xf>
    <xf numFmtId="172" fontId="11" fillId="0" borderId="0" xfId="0" applyNumberFormat="1" applyFont="1"/>
    <xf numFmtId="171" fontId="11" fillId="0" borderId="0" xfId="0" applyNumberFormat="1" applyFont="1"/>
    <xf numFmtId="0" fontId="17" fillId="0" borderId="0" xfId="0" applyFont="1"/>
    <xf numFmtId="0" fontId="14" fillId="0" borderId="0" xfId="0" applyFont="1"/>
    <xf numFmtId="0" fontId="18" fillId="0" borderId="25" xfId="0" applyFont="1" applyBorder="1" applyAlignment="1">
      <alignment vertical="center" wrapText="1"/>
    </xf>
    <xf numFmtId="0" fontId="18" fillId="0" borderId="26" xfId="0" applyFont="1" applyBorder="1" applyAlignment="1">
      <alignment vertical="center" wrapText="1"/>
    </xf>
    <xf numFmtId="173" fontId="11" fillId="0" borderId="0" xfId="0" applyNumberFormat="1" applyFont="1"/>
    <xf numFmtId="11" fontId="11" fillId="0" borderId="0" xfId="0" applyNumberFormat="1" applyFont="1"/>
    <xf numFmtId="0" fontId="18" fillId="0" borderId="27" xfId="0" applyFont="1" applyBorder="1" applyAlignment="1">
      <alignment vertical="center" wrapText="1"/>
    </xf>
    <xf numFmtId="0" fontId="18" fillId="0" borderId="28" xfId="0" applyFont="1" applyBorder="1" applyAlignment="1">
      <alignment vertical="center" wrapText="1"/>
    </xf>
    <xf numFmtId="0" fontId="19" fillId="6" borderId="32" xfId="0" applyFont="1" applyFill="1" applyBorder="1" applyAlignment="1">
      <alignment vertical="center"/>
    </xf>
    <xf numFmtId="0" fontId="20" fillId="7" borderId="32" xfId="0" applyFont="1" applyFill="1" applyBorder="1" applyAlignment="1">
      <alignment vertical="center"/>
    </xf>
    <xf numFmtId="0" fontId="20" fillId="7" borderId="32" xfId="0" applyFont="1" applyFill="1" applyBorder="1" applyAlignment="1">
      <alignment horizontal="center" vertical="center"/>
    </xf>
    <xf numFmtId="0" fontId="20" fillId="7" borderId="33" xfId="0" applyFont="1" applyFill="1" applyBorder="1"/>
    <xf numFmtId="0" fontId="20" fillId="7" borderId="34" xfId="0" applyFont="1" applyFill="1" applyBorder="1"/>
    <xf numFmtId="0" fontId="20" fillId="7" borderId="32" xfId="0" applyFont="1" applyFill="1" applyBorder="1" applyAlignment="1">
      <alignment horizontal="center"/>
    </xf>
    <xf numFmtId="0" fontId="20" fillId="7" borderId="32" xfId="0" applyFont="1" applyFill="1" applyBorder="1" applyAlignment="1">
      <alignment horizontal="center" vertical="center" wrapText="1"/>
    </xf>
    <xf numFmtId="0" fontId="15" fillId="0" borderId="32" xfId="0" applyFont="1" applyBorder="1" applyAlignment="1">
      <alignment horizontal="left" vertical="top"/>
    </xf>
    <xf numFmtId="0" fontId="15" fillId="0" borderId="32" xfId="0" applyFont="1" applyBorder="1" applyAlignment="1">
      <alignment vertical="center" wrapText="1"/>
    </xf>
    <xf numFmtId="0" fontId="15" fillId="0" borderId="32" xfId="0" applyFont="1" applyBorder="1"/>
    <xf numFmtId="171" fontId="15" fillId="0" borderId="32" xfId="0" applyNumberFormat="1" applyFont="1" applyBorder="1"/>
    <xf numFmtId="174" fontId="15" fillId="0" borderId="32" xfId="0" applyNumberFormat="1" applyFont="1" applyBorder="1"/>
    <xf numFmtId="0" fontId="15" fillId="8" borderId="32" xfId="0" applyFont="1" applyFill="1" applyBorder="1" applyAlignment="1">
      <alignment horizontal="left" vertical="top"/>
    </xf>
    <xf numFmtId="0" fontId="15" fillId="8" borderId="32" xfId="0" applyFont="1" applyFill="1" applyBorder="1" applyAlignment="1">
      <alignment vertical="center" wrapText="1"/>
    </xf>
    <xf numFmtId="0" fontId="15" fillId="8" borderId="32" xfId="0" applyFont="1" applyFill="1" applyBorder="1"/>
    <xf numFmtId="171" fontId="15" fillId="8" borderId="32" xfId="0" applyNumberFormat="1" applyFont="1" applyFill="1" applyBorder="1"/>
    <xf numFmtId="174" fontId="15" fillId="8" borderId="32" xfId="0" applyNumberFormat="1" applyFont="1" applyFill="1" applyBorder="1"/>
    <xf numFmtId="0" fontId="21" fillId="0" borderId="32" xfId="0" applyFont="1" applyBorder="1" applyAlignment="1">
      <alignment horizontal="left" vertical="top"/>
    </xf>
    <xf numFmtId="0" fontId="22" fillId="0" borderId="32" xfId="0" applyFont="1" applyBorder="1" applyAlignment="1">
      <alignment vertical="center" wrapText="1"/>
    </xf>
    <xf numFmtId="0" fontId="22" fillId="0" borderId="32" xfId="0" applyFont="1" applyBorder="1"/>
    <xf numFmtId="171" fontId="22" fillId="0" borderId="32" xfId="0" applyNumberFormat="1" applyFont="1" applyBorder="1"/>
    <xf numFmtId="174" fontId="22" fillId="0" borderId="32" xfId="0" applyNumberFormat="1" applyFont="1" applyBorder="1"/>
    <xf numFmtId="171" fontId="21" fillId="0" borderId="32" xfId="0" applyNumberFormat="1" applyFont="1" applyBorder="1"/>
    <xf numFmtId="0" fontId="21" fillId="8" borderId="32" xfId="0" applyFont="1" applyFill="1" applyBorder="1" applyAlignment="1">
      <alignment horizontal="right" vertical="top"/>
    </xf>
    <xf numFmtId="0" fontId="15" fillId="8" borderId="32" xfId="0" applyFont="1" applyFill="1" applyBorder="1" applyAlignment="1">
      <alignment horizontal="left" vertical="center" wrapText="1"/>
    </xf>
    <xf numFmtId="0" fontId="21" fillId="0" borderId="32" xfId="0" applyFont="1" applyBorder="1" applyAlignment="1">
      <alignment horizontal="right" vertical="top"/>
    </xf>
    <xf numFmtId="0" fontId="15" fillId="0" borderId="32" xfId="0" applyFont="1" applyBorder="1" applyAlignment="1">
      <alignment horizontal="left" vertical="center" wrapText="1"/>
    </xf>
    <xf numFmtId="0" fontId="20" fillId="6" borderId="32" xfId="0" applyFont="1" applyFill="1" applyBorder="1" applyAlignment="1">
      <alignment vertical="center"/>
    </xf>
    <xf numFmtId="166" fontId="15" fillId="0" borderId="32" xfId="0" applyNumberFormat="1" applyFont="1" applyBorder="1"/>
    <xf numFmtId="175" fontId="15" fillId="0" borderId="32" xfId="0" applyNumberFormat="1" applyFont="1" applyBorder="1"/>
    <xf numFmtId="166" fontId="15" fillId="8" borderId="32" xfId="0" applyNumberFormat="1" applyFont="1" applyFill="1" applyBorder="1"/>
    <xf numFmtId="175" fontId="15" fillId="8" borderId="32" xfId="0" applyNumberFormat="1" applyFont="1" applyFill="1" applyBorder="1"/>
    <xf numFmtId="172" fontId="15" fillId="8" borderId="32" xfId="0" applyNumberFormat="1" applyFont="1" applyFill="1" applyBorder="1"/>
    <xf numFmtId="166" fontId="15" fillId="0" borderId="0" xfId="0" applyNumberFormat="1" applyFont="1"/>
    <xf numFmtId="175" fontId="15" fillId="0" borderId="0" xfId="0" applyNumberFormat="1" applyFont="1"/>
    <xf numFmtId="0" fontId="19" fillId="6" borderId="1" xfId="0" applyFont="1" applyFill="1" applyBorder="1" applyAlignment="1">
      <alignment horizontal="center" vertical="center"/>
    </xf>
    <xf numFmtId="0" fontId="20" fillId="7" borderId="33" xfId="0" applyFont="1" applyFill="1" applyBorder="1" applyAlignment="1">
      <alignment horizontal="center" vertical="center" wrapText="1"/>
    </xf>
    <xf numFmtId="0" fontId="20" fillId="7" borderId="34" xfId="0" applyFont="1" applyFill="1" applyBorder="1" applyAlignment="1">
      <alignment horizontal="center" vertical="center" wrapText="1"/>
    </xf>
    <xf numFmtId="166" fontId="15" fillId="2" borderId="33" xfId="0" applyNumberFormat="1" applyFont="1" applyFill="1" applyBorder="1"/>
    <xf numFmtId="166" fontId="15" fillId="2" borderId="34" xfId="0" applyNumberFormat="1" applyFont="1" applyFill="1" applyBorder="1"/>
    <xf numFmtId="175" fontId="15" fillId="2" borderId="32" xfId="0" applyNumberFormat="1" applyFont="1" applyFill="1" applyBorder="1"/>
    <xf numFmtId="166" fontId="15" fillId="2" borderId="32" xfId="0" applyNumberFormat="1" applyFont="1" applyFill="1" applyBorder="1"/>
    <xf numFmtId="166" fontId="15" fillId="8" borderId="33" xfId="0" applyNumberFormat="1" applyFont="1" applyFill="1" applyBorder="1"/>
    <xf numFmtId="166" fontId="15" fillId="8" borderId="34" xfId="0" applyNumberFormat="1" applyFont="1" applyFill="1" applyBorder="1"/>
    <xf numFmtId="166" fontId="23" fillId="2" borderId="33" xfId="0" applyNumberFormat="1" applyFont="1" applyFill="1" applyBorder="1"/>
    <xf numFmtId="166" fontId="23" fillId="2" borderId="34" xfId="0" applyNumberFormat="1" applyFont="1" applyFill="1" applyBorder="1"/>
    <xf numFmtId="175" fontId="23" fillId="2" borderId="32" xfId="0" applyNumberFormat="1" applyFont="1" applyFill="1" applyBorder="1"/>
    <xf numFmtId="166" fontId="23" fillId="2" borderId="32" xfId="0" applyNumberFormat="1" applyFont="1" applyFill="1" applyBorder="1"/>
    <xf numFmtId="166" fontId="20" fillId="7" borderId="32" xfId="0" applyNumberFormat="1" applyFont="1" applyFill="1" applyBorder="1" applyAlignment="1">
      <alignment horizontal="center" vertical="center" wrapText="1"/>
    </xf>
    <xf numFmtId="166" fontId="23" fillId="8" borderId="33" xfId="0" applyNumberFormat="1" applyFont="1" applyFill="1" applyBorder="1"/>
    <xf numFmtId="166" fontId="23" fillId="8" borderId="34" xfId="0" applyNumberFormat="1" applyFont="1" applyFill="1" applyBorder="1"/>
    <xf numFmtId="175" fontId="23" fillId="8" borderId="32" xfId="0" applyNumberFormat="1" applyFont="1" applyFill="1" applyBorder="1"/>
    <xf numFmtId="166" fontId="23" fillId="8" borderId="32" xfId="0" applyNumberFormat="1" applyFont="1" applyFill="1" applyBorder="1"/>
    <xf numFmtId="0" fontId="24" fillId="0" borderId="0" xfId="0" applyFont="1"/>
    <xf numFmtId="0" fontId="24" fillId="0" borderId="0" xfId="0" applyFont="1" applyAlignment="1">
      <alignment wrapText="1"/>
    </xf>
    <xf numFmtId="1" fontId="25" fillId="0" borderId="0" xfId="0" applyNumberFormat="1" applyFont="1" applyAlignment="1">
      <alignment horizontal="center" vertical="center"/>
    </xf>
    <xf numFmtId="169" fontId="3" fillId="0" borderId="0" xfId="0" applyNumberFormat="1" applyFont="1"/>
    <xf numFmtId="0" fontId="6" fillId="2" borderId="1" xfId="0" applyFont="1" applyFill="1" applyBorder="1" applyAlignment="1">
      <alignment horizontal="left"/>
    </xf>
    <xf numFmtId="0" fontId="7" fillId="2" borderId="1" xfId="0" applyFont="1" applyFill="1" applyBorder="1"/>
    <xf numFmtId="0" fontId="8" fillId="3" borderId="5" xfId="0" applyFont="1" applyFill="1" applyBorder="1" applyAlignment="1">
      <alignment horizontal="left"/>
    </xf>
    <xf numFmtId="0" fontId="8" fillId="3" borderId="6" xfId="0" applyFont="1" applyFill="1" applyBorder="1" applyAlignment="1">
      <alignment horizontal="left"/>
    </xf>
    <xf numFmtId="0" fontId="8" fillId="3" borderId="5" xfId="0" applyFont="1" applyFill="1" applyBorder="1" applyAlignment="1">
      <alignment horizontal="center" wrapText="1"/>
    </xf>
    <xf numFmtId="0" fontId="9" fillId="4" borderId="7" xfId="0" applyFont="1" applyFill="1" applyBorder="1" applyAlignment="1">
      <alignment horizontal="left" wrapText="1"/>
    </xf>
    <xf numFmtId="0" fontId="9" fillId="4" borderId="7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wrapText="1"/>
    </xf>
    <xf numFmtId="0" fontId="3" fillId="0" borderId="0" xfId="0" applyFont="1" applyAlignment="1">
      <alignment horizontal="center" vertical="center"/>
    </xf>
    <xf numFmtId="170" fontId="3" fillId="0" borderId="0" xfId="0" applyNumberFormat="1" applyFont="1"/>
    <xf numFmtId="0" fontId="3" fillId="5" borderId="1" xfId="0" applyFont="1" applyFill="1" applyBorder="1"/>
    <xf numFmtId="0" fontId="3" fillId="9" borderId="1" xfId="0" applyFont="1" applyFill="1" applyBorder="1"/>
    <xf numFmtId="9" fontId="3" fillId="9" borderId="1" xfId="0" applyNumberFormat="1" applyFont="1" applyFill="1" applyBorder="1"/>
    <xf numFmtId="0" fontId="26" fillId="10" borderId="1" xfId="0" applyFont="1" applyFill="1" applyBorder="1" applyAlignment="1">
      <alignment horizontal="center" vertical="center"/>
    </xf>
    <xf numFmtId="2" fontId="3" fillId="10" borderId="1" xfId="0" applyNumberFormat="1" applyFont="1" applyFill="1" applyBorder="1"/>
    <xf numFmtId="0" fontId="26" fillId="0" borderId="0" xfId="0" applyFont="1" applyAlignment="1">
      <alignment horizontal="center" vertical="center"/>
    </xf>
    <xf numFmtId="2" fontId="3" fillId="0" borderId="0" xfId="0" applyNumberFormat="1" applyFont="1"/>
    <xf numFmtId="170" fontId="3" fillId="9" borderId="1" xfId="0" applyNumberFormat="1" applyFont="1" applyFill="1" applyBorder="1"/>
    <xf numFmtId="169" fontId="3" fillId="9" borderId="1" xfId="0" applyNumberFormat="1" applyFont="1" applyFill="1" applyBorder="1"/>
    <xf numFmtId="167" fontId="3" fillId="9" borderId="1" xfId="0" applyNumberFormat="1" applyFont="1" applyFill="1" applyBorder="1"/>
    <xf numFmtId="169" fontId="3" fillId="10" borderId="1" xfId="0" applyNumberFormat="1" applyFont="1" applyFill="1" applyBorder="1"/>
    <xf numFmtId="0" fontId="26" fillId="0" borderId="0" xfId="0" applyFont="1" applyAlignment="1">
      <alignment horizontal="center"/>
    </xf>
    <xf numFmtId="9" fontId="3" fillId="0" borderId="0" xfId="0" applyNumberFormat="1" applyFont="1"/>
    <xf numFmtId="0" fontId="3" fillId="11" borderId="41" xfId="0" applyFont="1" applyFill="1" applyBorder="1" applyAlignment="1">
      <alignment horizontal="center" vertical="center"/>
    </xf>
    <xf numFmtId="0" fontId="3" fillId="0" borderId="42" xfId="0" applyFont="1" applyBorder="1" applyAlignment="1">
      <alignment horizontal="center" vertical="center"/>
    </xf>
    <xf numFmtId="1" fontId="3" fillId="0" borderId="0" xfId="0" applyNumberFormat="1" applyFont="1"/>
    <xf numFmtId="176" fontId="3" fillId="11" borderId="41" xfId="0" applyNumberFormat="1" applyFont="1" applyFill="1" applyBorder="1" applyAlignment="1">
      <alignment horizontal="center" vertical="center"/>
    </xf>
    <xf numFmtId="0" fontId="11" fillId="2" borderId="1" xfId="0" applyFont="1" applyFill="1" applyBorder="1"/>
    <xf numFmtId="0" fontId="27" fillId="2" borderId="1" xfId="0" applyFont="1" applyFill="1" applyBorder="1"/>
    <xf numFmtId="0" fontId="27" fillId="0" borderId="0" xfId="0" applyFont="1"/>
    <xf numFmtId="164" fontId="27" fillId="0" borderId="0" xfId="0" applyNumberFormat="1" applyFont="1"/>
    <xf numFmtId="0" fontId="14" fillId="3" borderId="5" xfId="0" applyFont="1" applyFill="1" applyBorder="1" applyAlignment="1">
      <alignment vertical="center"/>
    </xf>
    <xf numFmtId="0" fontId="14" fillId="3" borderId="6" xfId="0" applyFont="1" applyFill="1" applyBorder="1" applyAlignment="1">
      <alignment horizontal="left"/>
    </xf>
    <xf numFmtId="0" fontId="14" fillId="3" borderId="6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164" fontId="14" fillId="3" borderId="6" xfId="0" applyNumberFormat="1" applyFont="1" applyFill="1" applyBorder="1" applyAlignment="1">
      <alignment horizontal="left"/>
    </xf>
    <xf numFmtId="0" fontId="11" fillId="4" borderId="5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vertical="center"/>
    </xf>
    <xf numFmtId="0" fontId="11" fillId="2" borderId="1" xfId="0" applyFont="1" applyFill="1" applyBorder="1" applyAlignment="1">
      <alignment horizontal="left"/>
    </xf>
    <xf numFmtId="0" fontId="11" fillId="4" borderId="6" xfId="0" applyFont="1" applyFill="1" applyBorder="1" applyAlignment="1">
      <alignment horizontal="left" wrapText="1"/>
    </xf>
    <xf numFmtId="0" fontId="11" fillId="2" borderId="1" xfId="0" applyFont="1" applyFill="1" applyBorder="1" applyAlignment="1">
      <alignment horizontal="center" wrapText="1"/>
    </xf>
    <xf numFmtId="169" fontId="11" fillId="0" borderId="0" xfId="0" applyNumberFormat="1" applyFont="1"/>
    <xf numFmtId="0" fontId="11" fillId="0" borderId="0" xfId="0" applyFont="1" applyAlignment="1">
      <alignment horizontal="center" vertical="center"/>
    </xf>
    <xf numFmtId="169" fontId="11" fillId="2" borderId="1" xfId="0" applyNumberFormat="1" applyFont="1" applyFill="1" applyBorder="1"/>
    <xf numFmtId="0" fontId="7" fillId="2" borderId="1" xfId="0" applyFont="1" applyFill="1" applyBorder="1" applyAlignment="1">
      <alignment vertical="center" wrapText="1"/>
    </xf>
    <xf numFmtId="169" fontId="7" fillId="2" borderId="1" xfId="0" applyNumberFormat="1" applyFont="1" applyFill="1" applyBorder="1" applyAlignment="1">
      <alignment wrapText="1"/>
    </xf>
    <xf numFmtId="164" fontId="11" fillId="0" borderId="0" xfId="0" applyNumberFormat="1" applyFont="1" applyAlignment="1">
      <alignment wrapText="1"/>
    </xf>
    <xf numFmtId="0" fontId="11" fillId="0" borderId="0" xfId="0" applyFont="1" applyAlignment="1">
      <alignment wrapText="1"/>
    </xf>
    <xf numFmtId="9" fontId="11" fillId="0" borderId="0" xfId="0" applyNumberFormat="1" applyFont="1" applyAlignment="1">
      <alignment horizontal="center" vertical="center" wrapText="1"/>
    </xf>
    <xf numFmtId="9" fontId="11" fillId="0" borderId="0" xfId="0" applyNumberFormat="1" applyFont="1" applyAlignment="1">
      <alignment wrapText="1"/>
    </xf>
    <xf numFmtId="164" fontId="11" fillId="2" borderId="1" xfId="0" applyNumberFormat="1" applyFont="1" applyFill="1" applyBorder="1" applyAlignment="1">
      <alignment horizontal="left" wrapText="1"/>
    </xf>
    <xf numFmtId="164" fontId="11" fillId="0" borderId="0" xfId="0" applyNumberFormat="1" applyFont="1"/>
    <xf numFmtId="9" fontId="11" fillId="0" borderId="0" xfId="0" applyNumberFormat="1" applyFont="1" applyAlignment="1">
      <alignment horizontal="center" vertical="center"/>
    </xf>
    <xf numFmtId="9" fontId="11" fillId="0" borderId="0" xfId="0" applyNumberFormat="1" applyFont="1"/>
    <xf numFmtId="0" fontId="3" fillId="11" borderId="1" xfId="0" applyFont="1" applyFill="1" applyBorder="1"/>
    <xf numFmtId="0" fontId="4" fillId="11" borderId="1" xfId="0" applyFont="1" applyFill="1" applyBorder="1" applyAlignment="1">
      <alignment horizontal="center"/>
    </xf>
    <xf numFmtId="0" fontId="3" fillId="11" borderId="1" xfId="0" applyFont="1" applyFill="1" applyBorder="1" applyAlignment="1">
      <alignment horizontal="center"/>
    </xf>
    <xf numFmtId="0" fontId="3" fillId="11" borderId="1" xfId="0" applyFont="1" applyFill="1" applyBorder="1" applyAlignment="1">
      <alignment horizontal="center" vertical="center"/>
    </xf>
    <xf numFmtId="9" fontId="3" fillId="11" borderId="1" xfId="0" applyNumberFormat="1" applyFont="1" applyFill="1" applyBorder="1"/>
    <xf numFmtId="10" fontId="3" fillId="0" borderId="0" xfId="0" applyNumberFormat="1" applyFont="1"/>
    <xf numFmtId="177" fontId="3" fillId="0" borderId="0" xfId="0" applyNumberFormat="1" applyFont="1"/>
    <xf numFmtId="0" fontId="6" fillId="0" borderId="0" xfId="0" applyFont="1"/>
    <xf numFmtId="0" fontId="7" fillId="0" borderId="0" xfId="0" applyFont="1"/>
    <xf numFmtId="0" fontId="8" fillId="3" borderId="6" xfId="0" applyFont="1" applyFill="1" applyBorder="1" applyAlignment="1">
      <alignment vertical="center"/>
    </xf>
    <xf numFmtId="0" fontId="8" fillId="3" borderId="6" xfId="0" applyFont="1" applyFill="1" applyBorder="1" applyAlignment="1">
      <alignment horizontal="center" vertical="center"/>
    </xf>
    <xf numFmtId="169" fontId="7" fillId="2" borderId="1" xfId="0" applyNumberFormat="1" applyFont="1" applyFill="1" applyBorder="1" applyAlignment="1">
      <alignment horizontal="center"/>
    </xf>
    <xf numFmtId="169" fontId="3" fillId="2" borderId="1" xfId="0" applyNumberFormat="1" applyFont="1" applyFill="1" applyBorder="1" applyAlignment="1">
      <alignment horizontal="center"/>
    </xf>
    <xf numFmtId="169" fontId="3" fillId="0" borderId="0" xfId="0" applyNumberFormat="1" applyFont="1" applyAlignment="1">
      <alignment horizontal="center"/>
    </xf>
    <xf numFmtId="169" fontId="10" fillId="0" borderId="0" xfId="0" applyNumberFormat="1" applyFont="1"/>
    <xf numFmtId="0" fontId="14" fillId="0" borderId="11" xfId="0" applyFont="1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28" fillId="2" borderId="1" xfId="0" applyFont="1" applyFill="1" applyBorder="1"/>
    <xf numFmtId="0" fontId="28" fillId="0" borderId="0" xfId="0" applyFont="1"/>
    <xf numFmtId="178" fontId="3" fillId="0" borderId="0" xfId="0" applyNumberFormat="1" applyFont="1"/>
    <xf numFmtId="0" fontId="3" fillId="12" borderId="1" xfId="0" applyFont="1" applyFill="1" applyBorder="1"/>
    <xf numFmtId="0" fontId="29" fillId="0" borderId="0" xfId="0" applyFont="1"/>
    <xf numFmtId="0" fontId="6" fillId="0" borderId="0" xfId="0" applyFont="1" applyAlignment="1">
      <alignment horizontal="left"/>
    </xf>
    <xf numFmtId="0" fontId="8" fillId="3" borderId="7" xfId="0" applyFont="1" applyFill="1" applyBorder="1" applyAlignment="1">
      <alignment horizontal="left" vertical="center"/>
    </xf>
    <xf numFmtId="0" fontId="8" fillId="3" borderId="7" xfId="0" applyFont="1" applyFill="1" applyBorder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169" fontId="3" fillId="0" borderId="0" xfId="0" applyNumberFormat="1" applyFont="1" applyAlignment="1">
      <alignment horizontal="center" vertical="center"/>
    </xf>
    <xf numFmtId="0" fontId="30" fillId="0" borderId="0" xfId="0" applyFont="1"/>
    <xf numFmtId="0" fontId="31" fillId="0" borderId="0" xfId="0" applyFont="1"/>
    <xf numFmtId="0" fontId="24" fillId="0" borderId="0" xfId="0" applyFont="1" applyAlignment="1">
      <alignment horizontal="center" vertical="center"/>
    </xf>
    <xf numFmtId="166" fontId="24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6" fontId="3" fillId="0" borderId="0" xfId="0" applyNumberFormat="1" applyFont="1"/>
    <xf numFmtId="166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/>
    </xf>
    <xf numFmtId="174" fontId="3" fillId="0" borderId="0" xfId="0" applyNumberFormat="1" applyFont="1"/>
    <xf numFmtId="0" fontId="15" fillId="0" borderId="0" xfId="0" applyFont="1" applyAlignment="1">
      <alignment horizontal="center" vertical="center"/>
    </xf>
    <xf numFmtId="166" fontId="3" fillId="0" borderId="0" xfId="0" applyNumberFormat="1" applyFont="1" applyAlignment="1">
      <alignment horizontal="center"/>
    </xf>
    <xf numFmtId="171" fontId="3" fillId="0" borderId="0" xfId="0" applyNumberFormat="1" applyFont="1"/>
    <xf numFmtId="0" fontId="15" fillId="10" borderId="43" xfId="0" applyFont="1" applyFill="1" applyBorder="1"/>
    <xf numFmtId="0" fontId="4" fillId="10" borderId="5" xfId="0" applyFont="1" applyFill="1" applyBorder="1"/>
    <xf numFmtId="0" fontId="3" fillId="10" borderId="5" xfId="0" applyFont="1" applyFill="1" applyBorder="1"/>
    <xf numFmtId="0" fontId="3" fillId="10" borderId="44" xfId="0" applyFont="1" applyFill="1" applyBorder="1"/>
    <xf numFmtId="0" fontId="15" fillId="0" borderId="21" xfId="0" applyFont="1" applyBorder="1"/>
    <xf numFmtId="0" fontId="3" fillId="0" borderId="12" xfId="0" applyFont="1" applyBorder="1"/>
    <xf numFmtId="0" fontId="3" fillId="10" borderId="1" xfId="0" applyFont="1" applyFill="1" applyBorder="1"/>
    <xf numFmtId="9" fontId="3" fillId="10" borderId="1" xfId="0" applyNumberFormat="1" applyFont="1" applyFill="1" applyBorder="1"/>
    <xf numFmtId="0" fontId="15" fillId="10" borderId="45" xfId="0" applyFont="1" applyFill="1" applyBorder="1"/>
    <xf numFmtId="9" fontId="3" fillId="2" borderId="1" xfId="0" applyNumberFormat="1" applyFont="1" applyFill="1" applyBorder="1"/>
    <xf numFmtId="0" fontId="15" fillId="0" borderId="23" xfId="0" applyFont="1" applyBorder="1"/>
    <xf numFmtId="10" fontId="3" fillId="0" borderId="18" xfId="0" applyNumberFormat="1" applyFont="1" applyBorder="1"/>
    <xf numFmtId="0" fontId="3" fillId="0" borderId="19" xfId="0" applyFont="1" applyBorder="1"/>
    <xf numFmtId="10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/>
    </xf>
    <xf numFmtId="2" fontId="3" fillId="0" borderId="15" xfId="0" applyNumberFormat="1" applyFont="1" applyBorder="1"/>
    <xf numFmtId="2" fontId="3" fillId="0" borderId="16" xfId="0" applyNumberFormat="1" applyFont="1" applyBorder="1"/>
    <xf numFmtId="2" fontId="3" fillId="0" borderId="12" xfId="0" applyNumberFormat="1" applyFont="1" applyBorder="1"/>
    <xf numFmtId="2" fontId="3" fillId="0" borderId="18" xfId="0" applyNumberFormat="1" applyFont="1" applyBorder="1"/>
    <xf numFmtId="2" fontId="3" fillId="0" borderId="19" xfId="0" applyNumberFormat="1" applyFont="1" applyBorder="1"/>
    <xf numFmtId="0" fontId="3" fillId="2" borderId="45" xfId="0" applyFont="1" applyFill="1" applyBorder="1" applyAlignment="1">
      <alignment horizontal="center" vertical="center"/>
    </xf>
    <xf numFmtId="0" fontId="3" fillId="2" borderId="46" xfId="0" applyFont="1" applyFill="1" applyBorder="1" applyAlignment="1">
      <alignment horizontal="center" vertical="center"/>
    </xf>
    <xf numFmtId="9" fontId="3" fillId="2" borderId="1" xfId="0" applyNumberFormat="1" applyFont="1" applyFill="1" applyBorder="1" applyAlignment="1">
      <alignment horizontal="center" vertical="center"/>
    </xf>
    <xf numFmtId="9" fontId="3" fillId="2" borderId="46" xfId="0" applyNumberFormat="1" applyFont="1" applyFill="1" applyBorder="1" applyAlignment="1">
      <alignment horizontal="center" vertical="center"/>
    </xf>
    <xf numFmtId="0" fontId="3" fillId="2" borderId="48" xfId="0" applyFont="1" applyFill="1" applyBorder="1" applyAlignment="1">
      <alignment horizontal="center" vertical="center"/>
    </xf>
    <xf numFmtId="0" fontId="3" fillId="2" borderId="50" xfId="0" applyFont="1" applyFill="1" applyBorder="1" applyAlignment="1">
      <alignment horizontal="center" vertical="center"/>
    </xf>
    <xf numFmtId="0" fontId="4" fillId="0" borderId="0" xfId="0" applyFont="1" applyAlignment="1">
      <alignment horizontal="right"/>
    </xf>
    <xf numFmtId="164" fontId="32" fillId="0" borderId="0" xfId="0" applyNumberFormat="1" applyFont="1"/>
    <xf numFmtId="0" fontId="3" fillId="0" borderId="0" xfId="0" applyFont="1"/>
    <xf numFmtId="0" fontId="32" fillId="0" borderId="0" xfId="0" applyFont="1"/>
    <xf numFmtId="0" fontId="3" fillId="0" borderId="0" xfId="0" applyFont="1" applyAlignment="1">
      <alignment horizontal="right"/>
    </xf>
    <xf numFmtId="164" fontId="4" fillId="3" borderId="51" xfId="0" applyNumberFormat="1" applyFont="1" applyFill="1" applyBorder="1" applyAlignment="1">
      <alignment horizontal="left"/>
    </xf>
    <xf numFmtId="164" fontId="4" fillId="3" borderId="6" xfId="0" applyNumberFormat="1" applyFont="1" applyFill="1" applyBorder="1" applyAlignment="1">
      <alignment horizontal="left"/>
    </xf>
    <xf numFmtId="164" fontId="4" fillId="3" borderId="52" xfId="0" applyNumberFormat="1" applyFont="1" applyFill="1" applyBorder="1" applyAlignment="1">
      <alignment horizontal="left"/>
    </xf>
    <xf numFmtId="0" fontId="8" fillId="10" borderId="51" xfId="0" applyFont="1" applyFill="1" applyBorder="1" applyAlignment="1">
      <alignment horizontal="center" vertical="center"/>
    </xf>
    <xf numFmtId="0" fontId="8" fillId="3" borderId="52" xfId="0" applyFont="1" applyFill="1" applyBorder="1" applyAlignment="1">
      <alignment horizontal="center" vertical="center"/>
    </xf>
    <xf numFmtId="0" fontId="32" fillId="2" borderId="1" xfId="0" applyFont="1" applyFill="1" applyBorder="1" applyAlignment="1">
      <alignment horizontal="center" vertical="center"/>
    </xf>
    <xf numFmtId="0" fontId="8" fillId="13" borderId="6" xfId="0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164" fontId="7" fillId="2" borderId="1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2" fontId="7" fillId="9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 wrapText="1"/>
    </xf>
    <xf numFmtId="179" fontId="3" fillId="0" borderId="0" xfId="0" applyNumberFormat="1" applyFont="1"/>
    <xf numFmtId="0" fontId="3" fillId="2" borderId="1" xfId="0" applyFont="1" applyFill="1" applyBorder="1" applyAlignment="1">
      <alignment horizontal="left"/>
    </xf>
    <xf numFmtId="0" fontId="4" fillId="0" borderId="18" xfId="0" applyFont="1" applyBorder="1" applyAlignment="1">
      <alignment horizontal="center"/>
    </xf>
    <xf numFmtId="2" fontId="33" fillId="0" borderId="0" xfId="0" applyNumberFormat="1" applyFont="1"/>
    <xf numFmtId="0" fontId="33" fillId="0" borderId="0" xfId="0" applyFont="1"/>
    <xf numFmtId="164" fontId="32" fillId="2" borderId="1" xfId="0" applyNumberFormat="1" applyFont="1" applyFill="1" applyBorder="1"/>
    <xf numFmtId="164" fontId="3" fillId="2" borderId="1" xfId="0" applyNumberFormat="1" applyFont="1" applyFill="1" applyBorder="1"/>
    <xf numFmtId="164" fontId="3" fillId="2" borderId="1" xfId="0" applyNumberFormat="1" applyFont="1" applyFill="1" applyBorder="1" applyAlignment="1">
      <alignment horizontal="left" wrapText="1"/>
    </xf>
    <xf numFmtId="0" fontId="3" fillId="14" borderId="1" xfId="0" applyFont="1" applyFill="1" applyBorder="1" applyAlignment="1">
      <alignment horizontal="right"/>
    </xf>
    <xf numFmtId="170" fontId="3" fillId="14" borderId="1" xfId="0" applyNumberFormat="1" applyFont="1" applyFill="1" applyBorder="1"/>
    <xf numFmtId="0" fontId="3" fillId="14" borderId="1" xfId="0" applyFont="1" applyFill="1" applyBorder="1"/>
    <xf numFmtId="0" fontId="4" fillId="10" borderId="51" xfId="0" applyFont="1" applyFill="1" applyBorder="1" applyAlignment="1">
      <alignment horizontal="center" vertical="center"/>
    </xf>
    <xf numFmtId="0" fontId="4" fillId="10" borderId="6" xfId="0" applyFont="1" applyFill="1" applyBorder="1" applyAlignment="1">
      <alignment horizontal="center" vertical="center"/>
    </xf>
    <xf numFmtId="0" fontId="4" fillId="10" borderId="52" xfId="0" applyFont="1" applyFill="1" applyBorder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 vertical="center"/>
    </xf>
    <xf numFmtId="0" fontId="3" fillId="15" borderId="1" xfId="0" applyFont="1" applyFill="1" applyBorder="1"/>
    <xf numFmtId="0" fontId="3" fillId="16" borderId="1" xfId="0" applyFont="1" applyFill="1" applyBorder="1"/>
    <xf numFmtId="0" fontId="4" fillId="12" borderId="6" xfId="0" applyFont="1" applyFill="1" applyBorder="1" applyAlignment="1">
      <alignment horizontal="center" vertical="center"/>
    </xf>
    <xf numFmtId="10" fontId="34" fillId="0" borderId="0" xfId="0" applyNumberFormat="1" applyFont="1"/>
    <xf numFmtId="2" fontId="3" fillId="0" borderId="0" xfId="0" applyNumberFormat="1" applyFont="1" applyAlignment="1">
      <alignment horizontal="right"/>
    </xf>
    <xf numFmtId="9" fontId="3" fillId="0" borderId="12" xfId="0" applyNumberFormat="1" applyFont="1" applyBorder="1"/>
    <xf numFmtId="0" fontId="4" fillId="0" borderId="18" xfId="0" applyFont="1" applyBorder="1" applyAlignment="1">
      <alignment horizontal="right"/>
    </xf>
    <xf numFmtId="2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right"/>
    </xf>
    <xf numFmtId="9" fontId="34" fillId="0" borderId="0" xfId="0" applyNumberFormat="1" applyFont="1" applyAlignment="1">
      <alignment horizontal="center"/>
    </xf>
    <xf numFmtId="9" fontId="34" fillId="0" borderId="0" xfId="0" applyNumberFormat="1" applyFont="1"/>
    <xf numFmtId="9" fontId="3" fillId="2" borderId="53" xfId="0" applyNumberFormat="1" applyFont="1" applyFill="1" applyBorder="1"/>
    <xf numFmtId="2" fontId="3" fillId="2" borderId="1" xfId="0" applyNumberFormat="1" applyFont="1" applyFill="1" applyBorder="1"/>
    <xf numFmtId="0" fontId="8" fillId="10" borderId="6" xfId="0" applyFont="1" applyFill="1" applyBorder="1" applyAlignment="1">
      <alignment horizontal="center" vertical="center"/>
    </xf>
    <xf numFmtId="0" fontId="8" fillId="10" borderId="52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 vertical="center"/>
    </xf>
    <xf numFmtId="10" fontId="35" fillId="0" borderId="0" xfId="0" applyNumberFormat="1" applyFont="1"/>
    <xf numFmtId="0" fontId="3" fillId="5" borderId="1" xfId="0" applyFont="1" applyFill="1" applyBorder="1" applyAlignment="1">
      <alignment horizontal="right"/>
    </xf>
    <xf numFmtId="9" fontId="3" fillId="5" borderId="1" xfId="0" applyNumberFormat="1" applyFont="1" applyFill="1" applyBorder="1"/>
    <xf numFmtId="9" fontId="3" fillId="14" borderId="1" xfId="0" applyNumberFormat="1" applyFont="1" applyFill="1" applyBorder="1"/>
    <xf numFmtId="0" fontId="26" fillId="0" borderId="0" xfId="0" applyFont="1" applyAlignment="1">
      <alignment horizontal="right"/>
    </xf>
    <xf numFmtId="0" fontId="26" fillId="0" borderId="0" xfId="0" applyFont="1"/>
    <xf numFmtId="171" fontId="3" fillId="2" borderId="1" xfId="0" applyNumberFormat="1" applyFont="1" applyFill="1" applyBorder="1"/>
    <xf numFmtId="0" fontId="32" fillId="0" borderId="0" xfId="0" applyFont="1" applyAlignment="1">
      <alignment horizontal="center" vertical="center"/>
    </xf>
    <xf numFmtId="0" fontId="4" fillId="10" borderId="52" xfId="0" applyFont="1" applyFill="1" applyBorder="1" applyAlignment="1">
      <alignment horizontal="center" vertical="center" wrapText="1"/>
    </xf>
    <xf numFmtId="174" fontId="3" fillId="2" borderId="1" xfId="0" applyNumberFormat="1" applyFont="1" applyFill="1" applyBorder="1"/>
    <xf numFmtId="164" fontId="3" fillId="2" borderId="1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" fontId="3" fillId="2" borderId="1" xfId="0" applyNumberFormat="1" applyFont="1" applyFill="1" applyBorder="1" applyAlignment="1">
      <alignment horizontal="center" vertical="center"/>
    </xf>
    <xf numFmtId="180" fontId="3" fillId="2" borderId="1" xfId="0" applyNumberFormat="1" applyFont="1" applyFill="1" applyBorder="1"/>
    <xf numFmtId="164" fontId="3" fillId="0" borderId="0" xfId="0" applyNumberFormat="1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2" fontId="3" fillId="2" borderId="1" xfId="0" applyNumberFormat="1" applyFont="1" applyFill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3" fillId="0" borderId="0" xfId="0" applyFont="1" applyAlignment="1">
      <alignment horizontal="right" vertical="center"/>
    </xf>
    <xf numFmtId="170" fontId="3" fillId="0" borderId="0" xfId="0" applyNumberFormat="1" applyFont="1" applyAlignment="1">
      <alignment horizontal="center" vertical="center"/>
    </xf>
    <xf numFmtId="167" fontId="3" fillId="0" borderId="0" xfId="0" applyNumberFormat="1" applyFont="1" applyAlignment="1">
      <alignment horizontal="center" vertical="center"/>
    </xf>
    <xf numFmtId="179" fontId="3" fillId="0" borderId="0" xfId="0" applyNumberFormat="1" applyFont="1" applyAlignment="1">
      <alignment horizontal="center"/>
    </xf>
    <xf numFmtId="0" fontId="32" fillId="2" borderId="1" xfId="0" applyFont="1" applyFill="1" applyBorder="1" applyAlignment="1">
      <alignment horizontal="left"/>
    </xf>
    <xf numFmtId="0" fontId="4" fillId="10" borderId="6" xfId="0" applyFont="1" applyFill="1" applyBorder="1" applyAlignment="1">
      <alignment horizontal="center" vertical="center" wrapText="1"/>
    </xf>
    <xf numFmtId="1" fontId="3" fillId="5" borderId="1" xfId="0" applyNumberFormat="1" applyFont="1" applyFill="1" applyBorder="1" applyAlignment="1">
      <alignment horizontal="center" vertical="center"/>
    </xf>
    <xf numFmtId="9" fontId="3" fillId="2" borderId="1" xfId="0" applyNumberFormat="1" applyFont="1" applyFill="1" applyBorder="1" applyAlignment="1">
      <alignment horizontal="center"/>
    </xf>
    <xf numFmtId="170" fontId="3" fillId="2" borderId="1" xfId="0" applyNumberFormat="1" applyFont="1" applyFill="1" applyBorder="1"/>
    <xf numFmtId="1" fontId="3" fillId="0" borderId="0" xfId="0" applyNumberFormat="1" applyFont="1" applyAlignment="1">
      <alignment horizontal="center"/>
    </xf>
    <xf numFmtId="2" fontId="3" fillId="14" borderId="1" xfId="0" applyNumberFormat="1" applyFont="1" applyFill="1" applyBorder="1"/>
    <xf numFmtId="170" fontId="3" fillId="2" borderId="1" xfId="0" applyNumberFormat="1" applyFont="1" applyFill="1" applyBorder="1" applyAlignment="1">
      <alignment horizontal="right"/>
    </xf>
    <xf numFmtId="0" fontId="8" fillId="10" borderId="6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2" fontId="7" fillId="5" borderId="1" xfId="0" applyNumberFormat="1" applyFont="1" applyFill="1" applyBorder="1" applyAlignment="1">
      <alignment horizontal="center" vertical="center"/>
    </xf>
    <xf numFmtId="169" fontId="3" fillId="2" borderId="1" xfId="0" applyNumberFormat="1" applyFont="1" applyFill="1" applyBorder="1"/>
    <xf numFmtId="0" fontId="7" fillId="2" borderId="51" xfId="0" applyFont="1" applyFill="1" applyBorder="1" applyAlignment="1">
      <alignment horizontal="center" vertical="center" wrapText="1"/>
    </xf>
    <xf numFmtId="0" fontId="7" fillId="2" borderId="6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/>
    </xf>
    <xf numFmtId="0" fontId="3" fillId="2" borderId="6" xfId="0" applyFont="1" applyFill="1" applyBorder="1"/>
    <xf numFmtId="10" fontId="7" fillId="5" borderId="52" xfId="0" applyNumberFormat="1" applyFont="1" applyFill="1" applyBorder="1" applyAlignment="1">
      <alignment horizontal="center" vertical="center"/>
    </xf>
    <xf numFmtId="10" fontId="7" fillId="2" borderId="1" xfId="0" applyNumberFormat="1" applyFont="1" applyFill="1" applyBorder="1" applyAlignment="1">
      <alignment horizontal="center" vertical="center"/>
    </xf>
    <xf numFmtId="9" fontId="7" fillId="2" borderId="1" xfId="0" applyNumberFormat="1" applyFont="1" applyFill="1" applyBorder="1"/>
    <xf numFmtId="2" fontId="7" fillId="2" borderId="1" xfId="0" applyNumberFormat="1" applyFont="1" applyFill="1" applyBorder="1" applyAlignment="1">
      <alignment horizontal="center" vertical="center"/>
    </xf>
    <xf numFmtId="167" fontId="3" fillId="2" borderId="1" xfId="0" applyNumberFormat="1" applyFont="1" applyFill="1" applyBorder="1"/>
    <xf numFmtId="164" fontId="3" fillId="2" borderId="1" xfId="0" applyNumberFormat="1" applyFont="1" applyFill="1" applyBorder="1" applyAlignment="1">
      <alignment horizontal="center"/>
    </xf>
    <xf numFmtId="1" fontId="3" fillId="2" borderId="1" xfId="0" applyNumberFormat="1" applyFont="1" applyFill="1" applyBorder="1"/>
    <xf numFmtId="164" fontId="7" fillId="14" borderId="1" xfId="0" applyNumberFormat="1" applyFont="1" applyFill="1" applyBorder="1" applyAlignment="1">
      <alignment horizontal="center"/>
    </xf>
    <xf numFmtId="181" fontId="3" fillId="0" borderId="0" xfId="0" applyNumberFormat="1" applyFont="1"/>
    <xf numFmtId="1" fontId="3" fillId="0" borderId="0" xfId="0" applyNumberFormat="1" applyFont="1" applyAlignment="1">
      <alignment horizontal="center" vertical="center"/>
    </xf>
    <xf numFmtId="9" fontId="3" fillId="0" borderId="11" xfId="0" applyNumberFormat="1" applyFont="1" applyBorder="1"/>
    <xf numFmtId="2" fontId="3" fillId="11" borderId="1" xfId="0" applyNumberFormat="1" applyFont="1" applyFill="1" applyBorder="1" applyAlignment="1">
      <alignment horizontal="center"/>
    </xf>
    <xf numFmtId="9" fontId="3" fillId="0" borderId="17" xfId="0" applyNumberFormat="1" applyFont="1" applyBorder="1" applyAlignment="1">
      <alignment horizontal="right"/>
    </xf>
    <xf numFmtId="0" fontId="4" fillId="2" borderId="1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/>
    </xf>
    <xf numFmtId="0" fontId="29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29" fillId="5" borderId="1" xfId="0" applyFont="1" applyFill="1" applyBorder="1" applyAlignment="1">
      <alignment horizontal="center" vertical="center" wrapText="1"/>
    </xf>
    <xf numFmtId="0" fontId="11" fillId="2" borderId="5" xfId="0" applyFont="1" applyFill="1" applyBorder="1" applyAlignment="1">
      <alignment horizontal="center" vertical="center"/>
    </xf>
    <xf numFmtId="0" fontId="11" fillId="2" borderId="5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169" fontId="11" fillId="5" borderId="5" xfId="0" applyNumberFormat="1" applyFont="1" applyFill="1" applyBorder="1" applyAlignment="1">
      <alignment horizontal="center" vertical="center" wrapText="1"/>
    </xf>
    <xf numFmtId="169" fontId="11" fillId="2" borderId="5" xfId="0" applyNumberFormat="1" applyFont="1" applyFill="1" applyBorder="1" applyAlignment="1">
      <alignment horizontal="center" vertical="center" wrapText="1"/>
    </xf>
    <xf numFmtId="1" fontId="11" fillId="5" borderId="5" xfId="0" applyNumberFormat="1" applyFont="1" applyFill="1" applyBorder="1" applyAlignment="1">
      <alignment horizontal="center" vertical="center" wrapText="1"/>
    </xf>
    <xf numFmtId="0" fontId="3" fillId="16" borderId="5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center" vertical="center" wrapText="1"/>
    </xf>
    <xf numFmtId="0" fontId="11" fillId="4" borderId="5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169" fontId="11" fillId="4" borderId="5" xfId="0" applyNumberFormat="1" applyFont="1" applyFill="1" applyBorder="1" applyAlignment="1">
      <alignment horizontal="center" vertical="center" wrapText="1"/>
    </xf>
    <xf numFmtId="1" fontId="11" fillId="4" borderId="5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/>
    <xf numFmtId="0" fontId="4" fillId="0" borderId="0" xfId="0" applyFont="1" applyAlignment="1">
      <alignment horizontal="center" vertical="center"/>
    </xf>
    <xf numFmtId="0" fontId="11" fillId="16" borderId="5" xfId="0" applyFont="1" applyFill="1" applyBorder="1" applyAlignment="1">
      <alignment horizontal="center" vertical="center"/>
    </xf>
    <xf numFmtId="166" fontId="3" fillId="16" borderId="1" xfId="0" applyNumberFormat="1" applyFont="1" applyFill="1" applyBorder="1"/>
    <xf numFmtId="9" fontId="3" fillId="16" borderId="1" xfId="0" applyNumberFormat="1" applyFont="1" applyFill="1" applyBorder="1"/>
    <xf numFmtId="169" fontId="3" fillId="2" borderId="1" xfId="0" applyNumberFormat="1" applyFont="1" applyFill="1" applyBorder="1" applyAlignment="1">
      <alignment vertical="center"/>
    </xf>
    <xf numFmtId="0" fontId="13" fillId="5" borderId="1" xfId="0" applyFont="1" applyFill="1" applyBorder="1" applyAlignment="1">
      <alignment vertical="center"/>
    </xf>
    <xf numFmtId="0" fontId="13" fillId="9" borderId="1" xfId="0" applyFont="1" applyFill="1" applyBorder="1" applyAlignment="1">
      <alignment vertical="center"/>
    </xf>
    <xf numFmtId="0" fontId="3" fillId="9" borderId="53" xfId="0" applyFont="1" applyFill="1" applyBorder="1"/>
    <xf numFmtId="0" fontId="13" fillId="5" borderId="10" xfId="0" applyFont="1" applyFill="1" applyBorder="1" applyAlignment="1">
      <alignment vertical="center"/>
    </xf>
    <xf numFmtId="0" fontId="3" fillId="5" borderId="10" xfId="0" applyFont="1" applyFill="1" applyBorder="1"/>
    <xf numFmtId="0" fontId="29" fillId="2" borderId="1" xfId="0" applyFont="1" applyFill="1" applyBorder="1" applyAlignment="1">
      <alignment horizontal="center" vertical="center"/>
    </xf>
    <xf numFmtId="0" fontId="4" fillId="5" borderId="43" xfId="0" applyFont="1" applyFill="1" applyBorder="1" applyAlignment="1">
      <alignment horizontal="center" vertical="center"/>
    </xf>
    <xf numFmtId="0" fontId="4" fillId="5" borderId="5" xfId="0" applyFont="1" applyFill="1" applyBorder="1" applyAlignment="1">
      <alignment horizontal="center" vertical="center"/>
    </xf>
    <xf numFmtId="0" fontId="4" fillId="5" borderId="5" xfId="0" applyFont="1" applyFill="1" applyBorder="1"/>
    <xf numFmtId="0" fontId="4" fillId="5" borderId="44" xfId="0" applyFont="1" applyFill="1" applyBorder="1"/>
    <xf numFmtId="0" fontId="4" fillId="9" borderId="43" xfId="0" applyFont="1" applyFill="1" applyBorder="1" applyAlignment="1">
      <alignment horizontal="center" vertical="center"/>
    </xf>
    <xf numFmtId="0" fontId="4" fillId="9" borderId="5" xfId="0" applyFont="1" applyFill="1" applyBorder="1" applyAlignment="1">
      <alignment horizontal="center" vertical="center"/>
    </xf>
    <xf numFmtId="0" fontId="4" fillId="9" borderId="5" xfId="0" applyFont="1" applyFill="1" applyBorder="1"/>
    <xf numFmtId="0" fontId="4" fillId="9" borderId="1" xfId="0" applyFont="1" applyFill="1" applyBorder="1" applyAlignment="1">
      <alignment horizontal="center" vertical="center"/>
    </xf>
    <xf numFmtId="0" fontId="38" fillId="0" borderId="0" xfId="0" applyFont="1"/>
    <xf numFmtId="0" fontId="4" fillId="5" borderId="10" xfId="0" applyFont="1" applyFill="1" applyBorder="1" applyAlignment="1">
      <alignment horizontal="center" vertical="center"/>
    </xf>
    <xf numFmtId="0" fontId="4" fillId="5" borderId="10" xfId="0" applyFont="1" applyFill="1" applyBorder="1"/>
    <xf numFmtId="1" fontId="3" fillId="5" borderId="1" xfId="0" applyNumberFormat="1" applyFont="1" applyFill="1" applyBorder="1"/>
    <xf numFmtId="169" fontId="3" fillId="9" borderId="1" xfId="0" applyNumberFormat="1" applyFont="1" applyFill="1" applyBorder="1" applyAlignment="1">
      <alignment horizontal="center" vertical="center"/>
    </xf>
    <xf numFmtId="169" fontId="38" fillId="5" borderId="1" xfId="0" applyNumberFormat="1" applyFont="1" applyFill="1" applyBorder="1" applyAlignment="1">
      <alignment horizontal="center" vertical="center"/>
    </xf>
    <xf numFmtId="169" fontId="3" fillId="5" borderId="1" xfId="0" applyNumberFormat="1" applyFont="1" applyFill="1" applyBorder="1" applyAlignment="1">
      <alignment horizontal="center" vertical="center"/>
    </xf>
    <xf numFmtId="0" fontId="39" fillId="2" borderId="20" xfId="0" applyFont="1" applyFill="1" applyBorder="1" applyAlignment="1">
      <alignment horizontal="center" vertical="center" wrapText="1"/>
    </xf>
    <xf numFmtId="166" fontId="3" fillId="0" borderId="24" xfId="0" applyNumberFormat="1" applyFont="1" applyBorder="1"/>
    <xf numFmtId="166" fontId="3" fillId="0" borderId="15" xfId="0" applyNumberFormat="1" applyFont="1" applyBorder="1"/>
    <xf numFmtId="166" fontId="3" fillId="0" borderId="16" xfId="0" applyNumberFormat="1" applyFont="1" applyBorder="1"/>
    <xf numFmtId="0" fontId="39" fillId="0" borderId="11" xfId="0" applyFont="1" applyBorder="1" applyAlignment="1">
      <alignment horizontal="center"/>
    </xf>
    <xf numFmtId="166" fontId="3" fillId="0" borderId="21" xfId="0" applyNumberFormat="1" applyFont="1" applyBorder="1"/>
    <xf numFmtId="166" fontId="3" fillId="0" borderId="12" xfId="0" applyNumberFormat="1" applyFont="1" applyBorder="1"/>
    <xf numFmtId="0" fontId="3" fillId="0" borderId="11" xfId="0" applyFont="1" applyBorder="1" applyAlignment="1">
      <alignment horizontal="center"/>
    </xf>
    <xf numFmtId="0" fontId="39" fillId="0" borderId="17" xfId="0" applyFont="1" applyBorder="1" applyAlignment="1">
      <alignment horizontal="center"/>
    </xf>
    <xf numFmtId="166" fontId="3" fillId="0" borderId="23" xfId="0" applyNumberFormat="1" applyFont="1" applyBorder="1"/>
    <xf numFmtId="166" fontId="3" fillId="0" borderId="18" xfId="0" applyNumberFormat="1" applyFont="1" applyBorder="1"/>
    <xf numFmtId="166" fontId="3" fillId="0" borderId="19" xfId="0" applyNumberFormat="1" applyFont="1" applyBorder="1"/>
    <xf numFmtId="0" fontId="39" fillId="0" borderId="0" xfId="0" applyFont="1" applyAlignment="1">
      <alignment horizontal="center"/>
    </xf>
    <xf numFmtId="182" fontId="3" fillId="0" borderId="0" xfId="0" applyNumberFormat="1" applyFont="1"/>
    <xf numFmtId="0" fontId="11" fillId="4" borderId="1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 wrapText="1"/>
    </xf>
    <xf numFmtId="0" fontId="3" fillId="17" borderId="1" xfId="0" applyFont="1" applyFill="1" applyBorder="1"/>
    <xf numFmtId="1" fontId="3" fillId="4" borderId="1" xfId="0" applyNumberFormat="1" applyFont="1" applyFill="1" applyBorder="1" applyAlignment="1">
      <alignment horizontal="center" vertical="center"/>
    </xf>
    <xf numFmtId="1" fontId="3" fillId="10" borderId="1" xfId="0" applyNumberFormat="1" applyFont="1" applyFill="1" applyBorder="1"/>
    <xf numFmtId="11" fontId="3" fillId="0" borderId="0" xfId="0" applyNumberFormat="1" applyFont="1"/>
    <xf numFmtId="0" fontId="3" fillId="18" borderId="1" xfId="0" applyFont="1" applyFill="1" applyBorder="1"/>
    <xf numFmtId="0" fontId="26" fillId="16" borderId="1" xfId="0" applyFont="1" applyFill="1" applyBorder="1" applyAlignment="1">
      <alignment horizontal="center"/>
    </xf>
    <xf numFmtId="0" fontId="4" fillId="10" borderId="1" xfId="0" applyFont="1" applyFill="1" applyBorder="1" applyAlignment="1">
      <alignment horizontal="center" vertical="center"/>
    </xf>
    <xf numFmtId="0" fontId="4" fillId="18" borderId="10" xfId="0" applyFont="1" applyFill="1" applyBorder="1" applyAlignment="1">
      <alignment horizontal="center" vertical="center"/>
    </xf>
    <xf numFmtId="0" fontId="4" fillId="18" borderId="51" xfId="0" applyFont="1" applyFill="1" applyBorder="1"/>
    <xf numFmtId="0" fontId="4" fillId="18" borderId="6" xfId="0" applyFont="1" applyFill="1" applyBorder="1"/>
    <xf numFmtId="0" fontId="4" fillId="18" borderId="52" xfId="0" applyFont="1" applyFill="1" applyBorder="1"/>
    <xf numFmtId="0" fontId="4" fillId="5" borderId="1" xfId="0" applyFont="1" applyFill="1" applyBorder="1" applyAlignment="1">
      <alignment horizontal="center" vertical="center"/>
    </xf>
    <xf numFmtId="0" fontId="4" fillId="5" borderId="43" xfId="0" applyFont="1" applyFill="1" applyBorder="1"/>
    <xf numFmtId="0" fontId="26" fillId="16" borderId="1" xfId="0" applyFont="1" applyFill="1" applyBorder="1"/>
    <xf numFmtId="9" fontId="4" fillId="0" borderId="0" xfId="0" applyNumberFormat="1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0" fontId="4" fillId="10" borderId="1" xfId="0" applyFont="1" applyFill="1" applyBorder="1"/>
    <xf numFmtId="0" fontId="4" fillId="18" borderId="59" xfId="0" applyFont="1" applyFill="1" applyBorder="1"/>
    <xf numFmtId="1" fontId="3" fillId="18" borderId="43" xfId="0" applyNumberFormat="1" applyFont="1" applyFill="1" applyBorder="1" applyAlignment="1">
      <alignment horizontal="center"/>
    </xf>
    <xf numFmtId="1" fontId="3" fillId="18" borderId="5" xfId="0" applyNumberFormat="1" applyFont="1" applyFill="1" applyBorder="1" applyAlignment="1">
      <alignment horizontal="center"/>
    </xf>
    <xf numFmtId="1" fontId="3" fillId="18" borderId="44" xfId="0" applyNumberFormat="1" applyFont="1" applyFill="1" applyBorder="1" applyAlignment="1">
      <alignment horizontal="center"/>
    </xf>
    <xf numFmtId="0" fontId="4" fillId="5" borderId="51" xfId="0" applyFont="1" applyFill="1" applyBorder="1" applyAlignment="1">
      <alignment horizontal="center" vertical="center"/>
    </xf>
    <xf numFmtId="1" fontId="3" fillId="5" borderId="1" xfId="0" applyNumberFormat="1" applyFont="1" applyFill="1" applyBorder="1" applyAlignment="1">
      <alignment horizontal="center"/>
    </xf>
    <xf numFmtId="1" fontId="3" fillId="18" borderId="45" xfId="0" applyNumberFormat="1" applyFont="1" applyFill="1" applyBorder="1" applyAlignment="1">
      <alignment horizontal="center"/>
    </xf>
    <xf numFmtId="1" fontId="3" fillId="18" borderId="1" xfId="0" applyNumberFormat="1" applyFont="1" applyFill="1" applyBorder="1" applyAlignment="1">
      <alignment horizontal="center"/>
    </xf>
    <xf numFmtId="1" fontId="3" fillId="18" borderId="46" xfId="0" applyNumberFormat="1" applyFont="1" applyFill="1" applyBorder="1" applyAlignment="1">
      <alignment horizontal="center"/>
    </xf>
    <xf numFmtId="0" fontId="4" fillId="2" borderId="1" xfId="0" applyFont="1" applyFill="1" applyBorder="1"/>
    <xf numFmtId="1" fontId="4" fillId="5" borderId="10" xfId="0" applyNumberFormat="1" applyFont="1" applyFill="1" applyBorder="1" applyAlignment="1">
      <alignment horizontal="center" vertical="center"/>
    </xf>
    <xf numFmtId="176" fontId="26" fillId="16" borderId="1" xfId="0" applyNumberFormat="1" applyFont="1" applyFill="1" applyBorder="1"/>
    <xf numFmtId="176" fontId="4" fillId="0" borderId="0" xfId="0" applyNumberFormat="1" applyFont="1" applyAlignment="1">
      <alignment horizontal="center" vertical="center"/>
    </xf>
    <xf numFmtId="167" fontId="26" fillId="16" borderId="1" xfId="0" applyNumberFormat="1" applyFont="1" applyFill="1" applyBorder="1"/>
    <xf numFmtId="167" fontId="4" fillId="0" borderId="0" xfId="0" applyNumberFormat="1" applyFont="1" applyAlignment="1">
      <alignment horizontal="center" vertical="center"/>
    </xf>
    <xf numFmtId="169" fontId="4" fillId="0" borderId="0" xfId="0" applyNumberFormat="1" applyFont="1" applyAlignment="1">
      <alignment horizontal="center" vertical="center"/>
    </xf>
    <xf numFmtId="0" fontId="4" fillId="18" borderId="22" xfId="0" applyFont="1" applyFill="1" applyBorder="1"/>
    <xf numFmtId="1" fontId="3" fillId="18" borderId="48" xfId="0" applyNumberFormat="1" applyFont="1" applyFill="1" applyBorder="1" applyAlignment="1">
      <alignment horizontal="center"/>
    </xf>
    <xf numFmtId="1" fontId="3" fillId="18" borderId="53" xfId="0" applyNumberFormat="1" applyFont="1" applyFill="1" applyBorder="1" applyAlignment="1">
      <alignment horizontal="center"/>
    </xf>
    <xf numFmtId="1" fontId="3" fillId="18" borderId="50" xfId="0" applyNumberFormat="1" applyFont="1" applyFill="1" applyBorder="1" applyAlignment="1">
      <alignment horizontal="center"/>
    </xf>
    <xf numFmtId="167" fontId="26" fillId="0" borderId="0" xfId="0" applyNumberFormat="1" applyFont="1"/>
    <xf numFmtId="0" fontId="4" fillId="5" borderId="59" xfId="0" applyFont="1" applyFill="1" applyBorder="1" applyAlignment="1">
      <alignment horizontal="center" vertical="center"/>
    </xf>
    <xf numFmtId="0" fontId="4" fillId="18" borderId="1" xfId="0" applyFont="1" applyFill="1" applyBorder="1" applyAlignment="1">
      <alignment horizontal="center" vertical="center"/>
    </xf>
    <xf numFmtId="0" fontId="4" fillId="18" borderId="1" xfId="0" applyFont="1" applyFill="1" applyBorder="1"/>
    <xf numFmtId="1" fontId="4" fillId="18" borderId="1" xfId="0" applyNumberFormat="1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1" fontId="4" fillId="2" borderId="1" xfId="0" applyNumberFormat="1" applyFont="1" applyFill="1" applyBorder="1"/>
    <xf numFmtId="9" fontId="4" fillId="18" borderId="1" xfId="0" applyNumberFormat="1" applyFont="1" applyFill="1" applyBorder="1" applyAlignment="1">
      <alignment horizontal="center"/>
    </xf>
    <xf numFmtId="0" fontId="29" fillId="2" borderId="1" xfId="0" applyFont="1" applyFill="1" applyBorder="1" applyAlignment="1">
      <alignment vertical="center"/>
    </xf>
    <xf numFmtId="0" fontId="4" fillId="2" borderId="1" xfId="0" applyFont="1" applyFill="1" applyBorder="1" applyAlignment="1">
      <alignment vertical="center"/>
    </xf>
    <xf numFmtId="169" fontId="3" fillId="2" borderId="1" xfId="0" applyNumberFormat="1" applyFont="1" applyFill="1" applyBorder="1" applyAlignment="1">
      <alignment horizontal="center" vertical="center"/>
    </xf>
    <xf numFmtId="9" fontId="26" fillId="2" borderId="1" xfId="0" applyNumberFormat="1" applyFont="1" applyFill="1" applyBorder="1" applyAlignment="1">
      <alignment horizontal="center" vertical="center"/>
    </xf>
    <xf numFmtId="170" fontId="11" fillId="2" borderId="5" xfId="0" applyNumberFormat="1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169" fontId="11" fillId="2" borderId="1" xfId="0" applyNumberFormat="1" applyFont="1" applyFill="1" applyBorder="1" applyAlignment="1">
      <alignment horizontal="center" vertical="center" wrapText="1"/>
    </xf>
    <xf numFmtId="1" fontId="11" fillId="2" borderId="1" xfId="0" applyNumberFormat="1" applyFont="1" applyFill="1" applyBorder="1" applyAlignment="1">
      <alignment horizontal="center" vertical="center" wrapText="1"/>
    </xf>
    <xf numFmtId="0" fontId="4" fillId="11" borderId="1" xfId="0" applyFont="1" applyFill="1" applyBorder="1"/>
    <xf numFmtId="0" fontId="3" fillId="14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16" borderId="1" xfId="0" applyFont="1" applyFill="1" applyBorder="1" applyAlignment="1">
      <alignment horizontal="center"/>
    </xf>
    <xf numFmtId="0" fontId="13" fillId="2" borderId="1" xfId="0" applyFont="1" applyFill="1" applyBorder="1"/>
    <xf numFmtId="0" fontId="13" fillId="18" borderId="51" xfId="0" applyFont="1" applyFill="1" applyBorder="1"/>
    <xf numFmtId="0" fontId="13" fillId="18" borderId="6" xfId="0" applyFont="1" applyFill="1" applyBorder="1"/>
    <xf numFmtId="0" fontId="13" fillId="18" borderId="52" xfId="0" applyFont="1" applyFill="1" applyBorder="1"/>
    <xf numFmtId="0" fontId="29" fillId="14" borderId="1" xfId="0" applyFont="1" applyFill="1" applyBorder="1" applyAlignment="1">
      <alignment horizontal="center" vertical="center" wrapText="1"/>
    </xf>
    <xf numFmtId="0" fontId="29" fillId="16" borderId="1" xfId="0" applyFont="1" applyFill="1" applyBorder="1" applyAlignment="1">
      <alignment horizontal="center" vertical="center" wrapText="1"/>
    </xf>
    <xf numFmtId="0" fontId="29" fillId="11" borderId="1" xfId="0" applyFont="1" applyFill="1" applyBorder="1" applyAlignment="1">
      <alignment horizontal="center" vertical="center" wrapText="1"/>
    </xf>
    <xf numFmtId="0" fontId="29" fillId="4" borderId="1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0" fontId="4" fillId="18" borderId="45" xfId="0" applyFont="1" applyFill="1" applyBorder="1" applyAlignment="1">
      <alignment horizontal="center" vertical="center"/>
    </xf>
    <xf numFmtId="0" fontId="4" fillId="18" borderId="46" xfId="0" applyFont="1" applyFill="1" applyBorder="1" applyAlignment="1">
      <alignment horizontal="center" vertical="center"/>
    </xf>
    <xf numFmtId="1" fontId="11" fillId="2" borderId="5" xfId="0" applyNumberFormat="1" applyFont="1" applyFill="1" applyBorder="1" applyAlignment="1">
      <alignment horizontal="center" vertical="center" wrapText="1"/>
    </xf>
    <xf numFmtId="9" fontId="11" fillId="14" borderId="5" xfId="0" applyNumberFormat="1" applyFont="1" applyFill="1" applyBorder="1" applyAlignment="1">
      <alignment horizontal="center" vertical="center" wrapText="1"/>
    </xf>
    <xf numFmtId="169" fontId="11" fillId="14" borderId="5" xfId="0" applyNumberFormat="1" applyFont="1" applyFill="1" applyBorder="1" applyAlignment="1">
      <alignment horizontal="center" vertical="center" wrapText="1"/>
    </xf>
    <xf numFmtId="9" fontId="11" fillId="16" borderId="5" xfId="0" applyNumberFormat="1" applyFont="1" applyFill="1" applyBorder="1" applyAlignment="1">
      <alignment horizontal="center" vertical="center" wrapText="1"/>
    </xf>
    <xf numFmtId="9" fontId="11" fillId="11" borderId="5" xfId="0" applyNumberFormat="1" applyFont="1" applyFill="1" applyBorder="1" applyAlignment="1">
      <alignment horizontal="center" vertical="center" wrapText="1"/>
    </xf>
    <xf numFmtId="1" fontId="3" fillId="4" borderId="6" xfId="0" applyNumberFormat="1" applyFont="1" applyFill="1" applyBorder="1" applyAlignment="1">
      <alignment horizontal="center" vertical="center"/>
    </xf>
    <xf numFmtId="169" fontId="3" fillId="4" borderId="6" xfId="0" applyNumberFormat="1" applyFont="1" applyFill="1" applyBorder="1"/>
    <xf numFmtId="1" fontId="3" fillId="14" borderId="6" xfId="0" applyNumberFormat="1" applyFont="1" applyFill="1" applyBorder="1"/>
    <xf numFmtId="0" fontId="3" fillId="14" borderId="6" xfId="0" applyFont="1" applyFill="1" applyBorder="1" applyAlignment="1">
      <alignment horizontal="center" vertical="center"/>
    </xf>
    <xf numFmtId="169" fontId="3" fillId="14" borderId="6" xfId="0" applyNumberFormat="1" applyFont="1" applyFill="1" applyBorder="1" applyAlignment="1">
      <alignment horizontal="center"/>
    </xf>
    <xf numFmtId="9" fontId="3" fillId="18" borderId="45" xfId="0" applyNumberFormat="1" applyFont="1" applyFill="1" applyBorder="1" applyAlignment="1">
      <alignment horizontal="center"/>
    </xf>
    <xf numFmtId="9" fontId="3" fillId="18" borderId="1" xfId="0" applyNumberFormat="1" applyFont="1" applyFill="1" applyBorder="1" applyAlignment="1">
      <alignment horizontal="center"/>
    </xf>
    <xf numFmtId="9" fontId="3" fillId="18" borderId="46" xfId="0" applyNumberFormat="1" applyFont="1" applyFill="1" applyBorder="1" applyAlignment="1">
      <alignment horizontal="center"/>
    </xf>
    <xf numFmtId="2" fontId="3" fillId="18" borderId="45" xfId="0" applyNumberFormat="1" applyFont="1" applyFill="1" applyBorder="1" applyAlignment="1">
      <alignment horizontal="center"/>
    </xf>
    <xf numFmtId="2" fontId="3" fillId="18" borderId="1" xfId="0" applyNumberFormat="1" applyFont="1" applyFill="1" applyBorder="1" applyAlignment="1">
      <alignment horizontal="center"/>
    </xf>
    <xf numFmtId="2" fontId="3" fillId="18" borderId="46" xfId="0" applyNumberFormat="1" applyFont="1" applyFill="1" applyBorder="1" applyAlignment="1">
      <alignment horizontal="center"/>
    </xf>
    <xf numFmtId="2" fontId="3" fillId="17" borderId="1" xfId="0" applyNumberFormat="1" applyFont="1" applyFill="1" applyBorder="1" applyAlignment="1">
      <alignment horizontal="center"/>
    </xf>
    <xf numFmtId="2" fontId="3" fillId="2" borderId="1" xfId="0" applyNumberFormat="1" applyFont="1" applyFill="1" applyBorder="1" applyAlignment="1">
      <alignment horizontal="center"/>
    </xf>
    <xf numFmtId="2" fontId="3" fillId="2" borderId="46" xfId="0" applyNumberFormat="1" applyFont="1" applyFill="1" applyBorder="1" applyAlignment="1">
      <alignment horizontal="center"/>
    </xf>
    <xf numFmtId="169" fontId="11" fillId="2" borderId="5" xfId="0" applyNumberFormat="1" applyFont="1" applyFill="1" applyBorder="1" applyAlignment="1">
      <alignment horizontal="center" vertical="center"/>
    </xf>
    <xf numFmtId="1" fontId="11" fillId="2" borderId="5" xfId="0" applyNumberFormat="1" applyFont="1" applyFill="1" applyBorder="1" applyAlignment="1">
      <alignment horizontal="center" vertical="center"/>
    </xf>
    <xf numFmtId="9" fontId="11" fillId="14" borderId="5" xfId="0" applyNumberFormat="1" applyFont="1" applyFill="1" applyBorder="1" applyAlignment="1">
      <alignment horizontal="center" vertical="center"/>
    </xf>
    <xf numFmtId="169" fontId="11" fillId="14" borderId="5" xfId="0" applyNumberFormat="1" applyFont="1" applyFill="1" applyBorder="1" applyAlignment="1">
      <alignment horizontal="center" vertical="center"/>
    </xf>
    <xf numFmtId="169" fontId="11" fillId="5" borderId="5" xfId="0" applyNumberFormat="1" applyFont="1" applyFill="1" applyBorder="1" applyAlignment="1">
      <alignment horizontal="center" vertical="center"/>
    </xf>
    <xf numFmtId="9" fontId="11" fillId="16" borderId="5" xfId="0" applyNumberFormat="1" applyFont="1" applyFill="1" applyBorder="1" applyAlignment="1">
      <alignment horizontal="center" vertical="center"/>
    </xf>
    <xf numFmtId="9" fontId="11" fillId="11" borderId="5" xfId="0" applyNumberFormat="1" applyFont="1" applyFill="1" applyBorder="1" applyAlignment="1">
      <alignment horizontal="center" vertical="center"/>
    </xf>
    <xf numFmtId="169" fontId="3" fillId="14" borderId="6" xfId="0" applyNumberFormat="1" applyFont="1" applyFill="1" applyBorder="1" applyAlignment="1">
      <alignment horizontal="center" vertical="center"/>
    </xf>
    <xf numFmtId="2" fontId="11" fillId="2" borderId="5" xfId="0" applyNumberFormat="1" applyFont="1" applyFill="1" applyBorder="1" applyAlignment="1">
      <alignment horizontal="center" vertical="center"/>
    </xf>
    <xf numFmtId="170" fontId="11" fillId="5" borderId="5" xfId="0" applyNumberFormat="1" applyFont="1" applyFill="1" applyBorder="1" applyAlignment="1">
      <alignment horizontal="center" vertical="center"/>
    </xf>
    <xf numFmtId="174" fontId="11" fillId="2" borderId="1" xfId="0" applyNumberFormat="1" applyFont="1" applyFill="1" applyBorder="1" applyAlignment="1">
      <alignment horizontal="center"/>
    </xf>
    <xf numFmtId="175" fontId="11" fillId="2" borderId="1" xfId="0" applyNumberFormat="1" applyFont="1" applyFill="1" applyBorder="1" applyAlignment="1">
      <alignment horizontal="center"/>
    </xf>
    <xf numFmtId="9" fontId="3" fillId="18" borderId="48" xfId="0" applyNumberFormat="1" applyFont="1" applyFill="1" applyBorder="1" applyAlignment="1">
      <alignment horizontal="center"/>
    </xf>
    <xf numFmtId="9" fontId="3" fillId="18" borderId="53" xfId="0" applyNumberFormat="1" applyFont="1" applyFill="1" applyBorder="1" applyAlignment="1">
      <alignment horizontal="center"/>
    </xf>
    <xf numFmtId="9" fontId="3" fillId="18" borderId="50" xfId="0" applyNumberFormat="1" applyFont="1" applyFill="1" applyBorder="1" applyAlignment="1">
      <alignment horizontal="center"/>
    </xf>
    <xf numFmtId="2" fontId="3" fillId="18" borderId="48" xfId="0" applyNumberFormat="1" applyFont="1" applyFill="1" applyBorder="1" applyAlignment="1">
      <alignment horizontal="center"/>
    </xf>
    <xf numFmtId="2" fontId="3" fillId="18" borderId="53" xfId="0" applyNumberFormat="1" applyFont="1" applyFill="1" applyBorder="1" applyAlignment="1">
      <alignment horizontal="center"/>
    </xf>
    <xf numFmtId="2" fontId="3" fillId="18" borderId="50" xfId="0" applyNumberFormat="1" applyFont="1" applyFill="1" applyBorder="1" applyAlignment="1">
      <alignment horizontal="center"/>
    </xf>
    <xf numFmtId="169" fontId="3" fillId="4" borderId="6" xfId="0" applyNumberFormat="1" applyFont="1" applyFill="1" applyBorder="1" applyAlignment="1">
      <alignment horizontal="center"/>
    </xf>
    <xf numFmtId="2" fontId="3" fillId="18" borderId="43" xfId="0" applyNumberFormat="1" applyFont="1" applyFill="1" applyBorder="1" applyAlignment="1">
      <alignment horizontal="center"/>
    </xf>
    <xf numFmtId="2" fontId="3" fillId="18" borderId="5" xfId="0" applyNumberFormat="1" applyFont="1" applyFill="1" applyBorder="1" applyAlignment="1">
      <alignment horizontal="center"/>
    </xf>
    <xf numFmtId="2" fontId="3" fillId="17" borderId="5" xfId="0" applyNumberFormat="1" applyFont="1" applyFill="1" applyBorder="1" applyAlignment="1">
      <alignment horizontal="center"/>
    </xf>
    <xf numFmtId="2" fontId="3" fillId="18" borderId="44" xfId="0" applyNumberFormat="1" applyFont="1" applyFill="1" applyBorder="1" applyAlignment="1">
      <alignment horizontal="center"/>
    </xf>
    <xf numFmtId="169" fontId="3" fillId="14" borderId="6" xfId="0" applyNumberFormat="1" applyFont="1" applyFill="1" applyBorder="1"/>
    <xf numFmtId="2" fontId="3" fillId="2" borderId="53" xfId="0" applyNumberFormat="1" applyFont="1" applyFill="1" applyBorder="1" applyAlignment="1">
      <alignment horizontal="center"/>
    </xf>
    <xf numFmtId="2" fontId="3" fillId="2" borderId="50" xfId="0" applyNumberFormat="1" applyFont="1" applyFill="1" applyBorder="1" applyAlignment="1">
      <alignment horizontal="center"/>
    </xf>
    <xf numFmtId="169" fontId="11" fillId="14" borderId="1" xfId="0" applyNumberFormat="1" applyFont="1" applyFill="1" applyBorder="1" applyAlignment="1">
      <alignment horizontal="center" vertical="center" wrapText="1"/>
    </xf>
    <xf numFmtId="169" fontId="11" fillId="5" borderId="1" xfId="0" applyNumberFormat="1" applyFont="1" applyFill="1" applyBorder="1" applyAlignment="1">
      <alignment horizontal="center" vertical="center" wrapText="1"/>
    </xf>
    <xf numFmtId="9" fontId="11" fillId="16" borderId="1" xfId="0" applyNumberFormat="1" applyFont="1" applyFill="1" applyBorder="1" applyAlignment="1">
      <alignment horizontal="center" vertical="center" wrapText="1"/>
    </xf>
    <xf numFmtId="9" fontId="11" fillId="11" borderId="1" xfId="0" applyNumberFormat="1" applyFont="1" applyFill="1" applyBorder="1" applyAlignment="1">
      <alignment horizontal="center" vertical="center" wrapText="1"/>
    </xf>
    <xf numFmtId="9" fontId="4" fillId="2" borderId="1" xfId="0" applyNumberFormat="1" applyFont="1" applyFill="1" applyBorder="1" applyAlignment="1">
      <alignment horizontal="center"/>
    </xf>
    <xf numFmtId="169" fontId="3" fillId="14" borderId="1" xfId="0" applyNumberFormat="1" applyFont="1" applyFill="1" applyBorder="1" applyAlignment="1">
      <alignment horizontal="center"/>
    </xf>
    <xf numFmtId="2" fontId="40" fillId="0" borderId="0" xfId="0" applyNumberFormat="1" applyFont="1"/>
    <xf numFmtId="0" fontId="13" fillId="2" borderId="53" xfId="0" applyFont="1" applyFill="1" applyBorder="1" applyAlignment="1">
      <alignment horizontal="center" vertical="center" wrapText="1"/>
    </xf>
    <xf numFmtId="0" fontId="29" fillId="14" borderId="53" xfId="0" applyFont="1" applyFill="1" applyBorder="1" applyAlignment="1">
      <alignment horizontal="center" vertical="center" wrapText="1"/>
    </xf>
    <xf numFmtId="0" fontId="29" fillId="5" borderId="53" xfId="0" applyFont="1" applyFill="1" applyBorder="1" applyAlignment="1">
      <alignment horizontal="center" vertical="center" wrapText="1"/>
    </xf>
    <xf numFmtId="0" fontId="29" fillId="16" borderId="53" xfId="0" applyFont="1" applyFill="1" applyBorder="1" applyAlignment="1">
      <alignment horizontal="center" vertical="center" wrapText="1"/>
    </xf>
    <xf numFmtId="0" fontId="29" fillId="11" borderId="53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 vertical="center" wrapText="1"/>
    </xf>
    <xf numFmtId="0" fontId="3" fillId="5" borderId="6" xfId="0" applyFont="1" applyFill="1" applyBorder="1" applyAlignment="1">
      <alignment horizontal="center" vertical="center"/>
    </xf>
    <xf numFmtId="0" fontId="39" fillId="2" borderId="6" xfId="0" applyFont="1" applyFill="1" applyBorder="1" applyAlignment="1">
      <alignment horizontal="center" vertical="center" wrapText="1"/>
    </xf>
    <xf numFmtId="1" fontId="39" fillId="0" borderId="13" xfId="0" applyNumberFormat="1" applyFont="1" applyBorder="1" applyAlignment="1">
      <alignment horizontal="center"/>
    </xf>
    <xf numFmtId="9" fontId="39" fillId="14" borderId="6" xfId="0" applyNumberFormat="1" applyFont="1" applyFill="1" applyBorder="1" applyAlignment="1">
      <alignment horizontal="center"/>
    </xf>
    <xf numFmtId="1" fontId="39" fillId="14" borderId="6" xfId="0" applyNumberFormat="1" applyFont="1" applyFill="1" applyBorder="1" applyAlignment="1">
      <alignment horizontal="center"/>
    </xf>
    <xf numFmtId="1" fontId="39" fillId="9" borderId="6" xfId="0" applyNumberFormat="1" applyFont="1" applyFill="1" applyBorder="1" applyAlignment="1">
      <alignment horizontal="center"/>
    </xf>
    <xf numFmtId="2" fontId="39" fillId="9" borderId="6" xfId="0" applyNumberFormat="1" applyFont="1" applyFill="1" applyBorder="1" applyAlignment="1">
      <alignment horizontal="center"/>
    </xf>
    <xf numFmtId="181" fontId="11" fillId="16" borderId="5" xfId="0" applyNumberFormat="1" applyFont="1" applyFill="1" applyBorder="1" applyAlignment="1">
      <alignment horizontal="center" vertical="center" wrapText="1"/>
    </xf>
    <xf numFmtId="1" fontId="39" fillId="4" borderId="6" xfId="0" applyNumberFormat="1" applyFont="1" applyFill="1" applyBorder="1" applyAlignment="1">
      <alignment horizontal="center"/>
    </xf>
    <xf numFmtId="169" fontId="39" fillId="4" borderId="6" xfId="0" applyNumberFormat="1" applyFont="1" applyFill="1" applyBorder="1" applyAlignment="1">
      <alignment horizontal="center"/>
    </xf>
    <xf numFmtId="1" fontId="3" fillId="14" borderId="6" xfId="0" applyNumberFormat="1" applyFont="1" applyFill="1" applyBorder="1" applyAlignment="1">
      <alignment horizontal="center" vertical="center"/>
    </xf>
    <xf numFmtId="1" fontId="39" fillId="0" borderId="0" xfId="0" applyNumberFormat="1" applyFont="1" applyAlignment="1">
      <alignment horizontal="center"/>
    </xf>
    <xf numFmtId="0" fontId="39" fillId="0" borderId="13" xfId="0" applyFont="1" applyBorder="1" applyAlignment="1">
      <alignment horizontal="center"/>
    </xf>
    <xf numFmtId="1" fontId="3" fillId="14" borderId="6" xfId="0" applyNumberFormat="1" applyFont="1" applyFill="1" applyBorder="1" applyAlignment="1">
      <alignment horizontal="center"/>
    </xf>
    <xf numFmtId="0" fontId="3" fillId="14" borderId="6" xfId="0" applyFont="1" applyFill="1" applyBorder="1" applyAlignment="1">
      <alignment horizontal="center"/>
    </xf>
    <xf numFmtId="9" fontId="11" fillId="16" borderId="6" xfId="0" applyNumberFormat="1" applyFont="1" applyFill="1" applyBorder="1" applyAlignment="1">
      <alignment horizontal="center" vertical="center" wrapText="1"/>
    </xf>
    <xf numFmtId="9" fontId="11" fillId="11" borderId="6" xfId="0" applyNumberFormat="1" applyFont="1" applyFill="1" applyBorder="1" applyAlignment="1">
      <alignment horizontal="center" vertical="center" wrapText="1"/>
    </xf>
    <xf numFmtId="1" fontId="3" fillId="0" borderId="14" xfId="0" applyNumberFormat="1" applyFont="1" applyBorder="1"/>
    <xf numFmtId="1" fontId="3" fillId="0" borderId="15" xfId="0" applyNumberFormat="1" applyFont="1" applyBorder="1"/>
    <xf numFmtId="1" fontId="3" fillId="0" borderId="24" xfId="0" applyNumberFormat="1" applyFont="1" applyBorder="1"/>
    <xf numFmtId="1" fontId="3" fillId="0" borderId="16" xfId="0" applyNumberFormat="1" applyFont="1" applyBorder="1"/>
    <xf numFmtId="1" fontId="3" fillId="0" borderId="18" xfId="0" applyNumberFormat="1" applyFont="1" applyBorder="1"/>
    <xf numFmtId="1" fontId="3" fillId="0" borderId="23" xfId="0" applyNumberFormat="1" applyFont="1" applyBorder="1"/>
    <xf numFmtId="1" fontId="3" fillId="0" borderId="19" xfId="0" applyNumberFormat="1" applyFont="1" applyBorder="1"/>
    <xf numFmtId="0" fontId="13" fillId="2" borderId="53" xfId="0" applyFont="1" applyFill="1" applyBorder="1" applyAlignment="1">
      <alignment horizontal="left" vertical="center"/>
    </xf>
    <xf numFmtId="0" fontId="29" fillId="2" borderId="53" xfId="0" applyFont="1" applyFill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 wrapText="1"/>
    </xf>
    <xf numFmtId="1" fontId="39" fillId="2" borderId="1" xfId="0" applyNumberFormat="1" applyFont="1" applyFill="1" applyBorder="1" applyAlignment="1">
      <alignment horizontal="center"/>
    </xf>
    <xf numFmtId="176" fontId="7" fillId="2" borderId="1" xfId="0" applyNumberFormat="1" applyFont="1" applyFill="1" applyBorder="1" applyAlignment="1">
      <alignment horizontal="center"/>
    </xf>
    <xf numFmtId="0" fontId="14" fillId="0" borderId="0" xfId="0" applyFont="1" applyAlignment="1">
      <alignment horizontal="center" wrapText="1"/>
    </xf>
    <xf numFmtId="1" fontId="42" fillId="0" borderId="0" xfId="0" applyNumberFormat="1" applyFont="1"/>
    <xf numFmtId="0" fontId="42" fillId="0" borderId="0" xfId="0" applyFont="1"/>
    <xf numFmtId="0" fontId="3" fillId="5" borderId="5" xfId="0" applyFont="1" applyFill="1" applyBorder="1" applyAlignment="1">
      <alignment horizontal="center" vertical="center"/>
    </xf>
    <xf numFmtId="0" fontId="39" fillId="0" borderId="15" xfId="0" applyFont="1" applyBorder="1" applyAlignment="1">
      <alignment horizontal="center"/>
    </xf>
    <xf numFmtId="1" fontId="3" fillId="11" borderId="1" xfId="0" applyNumberFormat="1" applyFont="1" applyFill="1" applyBorder="1"/>
    <xf numFmtId="168" fontId="3" fillId="10" borderId="1" xfId="0" applyNumberFormat="1" applyFont="1" applyFill="1" applyBorder="1"/>
    <xf numFmtId="167" fontId="3" fillId="0" borderId="0" xfId="0" applyNumberFormat="1" applyFont="1"/>
    <xf numFmtId="0" fontId="4" fillId="0" borderId="0" xfId="0" applyFont="1" applyAlignment="1">
      <alignment horizontal="center" vertical="center" wrapText="1"/>
    </xf>
    <xf numFmtId="169" fontId="3" fillId="12" borderId="1" xfId="0" applyNumberFormat="1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wrapText="1"/>
    </xf>
    <xf numFmtId="2" fontId="3" fillId="12" borderId="1" xfId="0" applyNumberFormat="1" applyFont="1" applyFill="1" applyBorder="1" applyAlignment="1">
      <alignment horizontal="center" vertical="center"/>
    </xf>
    <xf numFmtId="2" fontId="3" fillId="5" borderId="1" xfId="0" applyNumberFormat="1" applyFont="1" applyFill="1" applyBorder="1" applyAlignment="1">
      <alignment horizontal="center" vertical="center"/>
    </xf>
    <xf numFmtId="0" fontId="3" fillId="2" borderId="46" xfId="0" applyFont="1" applyFill="1" applyBorder="1"/>
    <xf numFmtId="0" fontId="3" fillId="2" borderId="45" xfId="0" applyFont="1" applyFill="1" applyBorder="1"/>
    <xf numFmtId="0" fontId="30" fillId="2" borderId="46" xfId="0" applyFont="1" applyFill="1" applyBorder="1" applyAlignment="1">
      <alignment horizontal="center"/>
    </xf>
    <xf numFmtId="0" fontId="30" fillId="2" borderId="1" xfId="0" applyFont="1" applyFill="1" applyBorder="1" applyAlignment="1">
      <alignment horizontal="center"/>
    </xf>
    <xf numFmtId="0" fontId="30" fillId="0" borderId="21" xfId="0" applyFont="1" applyBorder="1"/>
    <xf numFmtId="0" fontId="43" fillId="0" borderId="0" xfId="0" applyFont="1"/>
    <xf numFmtId="0" fontId="43" fillId="0" borderId="21" xfId="0" applyFont="1" applyBorder="1"/>
    <xf numFmtId="0" fontId="43" fillId="2" borderId="46" xfId="0" applyFont="1" applyFill="1" applyBorder="1"/>
    <xf numFmtId="0" fontId="43" fillId="0" borderId="0" xfId="0" applyFont="1" applyAlignment="1">
      <alignment horizontal="center"/>
    </xf>
    <xf numFmtId="0" fontId="43" fillId="2" borderId="1" xfId="0" applyFont="1" applyFill="1" applyBorder="1" applyAlignment="1">
      <alignment horizontal="center"/>
    </xf>
    <xf numFmtId="0" fontId="43" fillId="2" borderId="1" xfId="0" applyFont="1" applyFill="1" applyBorder="1"/>
    <xf numFmtId="0" fontId="43" fillId="2" borderId="1" xfId="0" applyFont="1" applyFill="1" applyBorder="1" applyAlignment="1">
      <alignment horizontal="left"/>
    </xf>
    <xf numFmtId="0" fontId="43" fillId="0" borderId="11" xfId="0" applyFont="1" applyBorder="1"/>
    <xf numFmtId="0" fontId="43" fillId="0" borderId="0" xfId="0" applyFont="1" applyAlignment="1">
      <alignment horizontal="left"/>
    </xf>
    <xf numFmtId="0" fontId="43" fillId="2" borderId="45" xfId="0" applyFont="1" applyFill="1" applyBorder="1"/>
    <xf numFmtId="0" fontId="43" fillId="0" borderId="12" xfId="0" applyFont="1" applyBorder="1"/>
    <xf numFmtId="0" fontId="4" fillId="3" borderId="6" xfId="0" applyFont="1" applyFill="1" applyBorder="1" applyAlignment="1">
      <alignment horizontal="left"/>
    </xf>
    <xf numFmtId="0" fontId="4" fillId="2" borderId="46" xfId="0" applyFont="1" applyFill="1" applyBorder="1" applyAlignment="1">
      <alignment horizontal="left"/>
    </xf>
    <xf numFmtId="0" fontId="4" fillId="10" borderId="51" xfId="0" applyFont="1" applyFill="1" applyBorder="1" applyAlignment="1">
      <alignment horizontal="left" vertical="center"/>
    </xf>
    <xf numFmtId="0" fontId="4" fillId="3" borderId="6" xfId="0" applyFont="1" applyFill="1" applyBorder="1" applyAlignment="1">
      <alignment horizontal="center" vertical="center"/>
    </xf>
    <xf numFmtId="0" fontId="4" fillId="2" borderId="46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10" borderId="6" xfId="0" applyFont="1" applyFill="1" applyBorder="1" applyAlignment="1">
      <alignment horizontal="left"/>
    </xf>
    <xf numFmtId="0" fontId="8" fillId="10" borderId="6" xfId="0" applyFont="1" applyFill="1" applyBorder="1" applyAlignment="1">
      <alignment horizontal="center"/>
    </xf>
    <xf numFmtId="0" fontId="8" fillId="3" borderId="52" xfId="0" applyFont="1" applyFill="1" applyBorder="1" applyAlignment="1">
      <alignment horizontal="left"/>
    </xf>
    <xf numFmtId="0" fontId="8" fillId="2" borderId="1" xfId="0" applyFont="1" applyFill="1" applyBorder="1" applyAlignment="1">
      <alignment horizontal="left"/>
    </xf>
    <xf numFmtId="0" fontId="8" fillId="12" borderId="6" xfId="0" applyFont="1" applyFill="1" applyBorder="1" applyAlignment="1">
      <alignment horizontal="center" vertical="center"/>
    </xf>
    <xf numFmtId="0" fontId="8" fillId="12" borderId="6" xfId="0" applyFont="1" applyFill="1" applyBorder="1" applyAlignment="1">
      <alignment horizontal="left"/>
    </xf>
    <xf numFmtId="0" fontId="8" fillId="12" borderId="6" xfId="0" applyFont="1" applyFill="1" applyBorder="1" applyAlignment="1">
      <alignment horizontal="center"/>
    </xf>
    <xf numFmtId="0" fontId="8" fillId="12" borderId="52" xfId="0" applyFont="1" applyFill="1" applyBorder="1" applyAlignment="1">
      <alignment horizontal="left"/>
    </xf>
    <xf numFmtId="0" fontId="8" fillId="2" borderId="46" xfId="0" applyFont="1" applyFill="1" applyBorder="1" applyAlignment="1">
      <alignment horizontal="left"/>
    </xf>
    <xf numFmtId="0" fontId="8" fillId="2" borderId="45" xfId="0" applyFont="1" applyFill="1" applyBorder="1" applyAlignment="1">
      <alignment horizontal="center" vertical="center"/>
    </xf>
    <xf numFmtId="0" fontId="8" fillId="19" borderId="6" xfId="0" applyFont="1" applyFill="1" applyBorder="1" applyAlignment="1">
      <alignment horizontal="center" vertical="center"/>
    </xf>
    <xf numFmtId="0" fontId="8" fillId="19" borderId="6" xfId="0" applyFont="1" applyFill="1" applyBorder="1" applyAlignment="1">
      <alignment horizontal="left"/>
    </xf>
    <xf numFmtId="0" fontId="8" fillId="19" borderId="51" xfId="0" applyFont="1" applyFill="1" applyBorder="1" applyAlignment="1">
      <alignment horizontal="center" vertical="center"/>
    </xf>
    <xf numFmtId="0" fontId="8" fillId="19" borderId="52" xfId="0" applyFont="1" applyFill="1" applyBorder="1" applyAlignment="1">
      <alignment horizontal="center" vertical="center"/>
    </xf>
    <xf numFmtId="0" fontId="8" fillId="12" borderId="5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/>
    </xf>
    <xf numFmtId="0" fontId="8" fillId="2" borderId="46" xfId="0" applyFont="1" applyFill="1" applyBorder="1" applyAlignment="1">
      <alignment horizontal="center"/>
    </xf>
    <xf numFmtId="176" fontId="3" fillId="5" borderId="1" xfId="0" applyNumberFormat="1" applyFont="1" applyFill="1" applyBorder="1" applyAlignment="1">
      <alignment horizontal="center"/>
    </xf>
    <xf numFmtId="9" fontId="3" fillId="2" borderId="46" xfId="0" applyNumberFormat="1" applyFont="1" applyFill="1" applyBorder="1" applyAlignment="1">
      <alignment horizontal="center"/>
    </xf>
    <xf numFmtId="10" fontId="3" fillId="0" borderId="0" xfId="0" applyNumberFormat="1" applyFont="1" applyAlignment="1">
      <alignment horizontal="left"/>
    </xf>
    <xf numFmtId="10" fontId="3" fillId="2" borderId="1" xfId="0" applyNumberFormat="1" applyFont="1" applyFill="1" applyBorder="1"/>
    <xf numFmtId="10" fontId="3" fillId="2" borderId="46" xfId="0" applyNumberFormat="1" applyFont="1" applyFill="1" applyBorder="1"/>
    <xf numFmtId="183" fontId="3" fillId="2" borderId="1" xfId="0" applyNumberFormat="1" applyFont="1" applyFill="1" applyBorder="1"/>
    <xf numFmtId="165" fontId="3" fillId="2" borderId="46" xfId="0" applyNumberFormat="1" applyFont="1" applyFill="1" applyBorder="1"/>
    <xf numFmtId="165" fontId="3" fillId="2" borderId="1" xfId="0" applyNumberFormat="1" applyFont="1" applyFill="1" applyBorder="1" applyAlignment="1">
      <alignment horizontal="center" vertical="center"/>
    </xf>
    <xf numFmtId="165" fontId="3" fillId="2" borderId="1" xfId="0" applyNumberFormat="1" applyFont="1" applyFill="1" applyBorder="1" applyAlignment="1">
      <alignment horizontal="center"/>
    </xf>
    <xf numFmtId="2" fontId="3" fillId="12" borderId="1" xfId="0" applyNumberFormat="1" applyFont="1" applyFill="1" applyBorder="1"/>
    <xf numFmtId="9" fontId="3" fillId="2" borderId="46" xfId="0" applyNumberFormat="1" applyFont="1" applyFill="1" applyBorder="1"/>
    <xf numFmtId="9" fontId="3" fillId="2" borderId="45" xfId="0" applyNumberFormat="1" applyFont="1" applyFill="1" applyBorder="1"/>
    <xf numFmtId="10" fontId="3" fillId="2" borderId="1" xfId="0" applyNumberFormat="1" applyFont="1" applyFill="1" applyBorder="1" applyAlignment="1">
      <alignment horizontal="center"/>
    </xf>
    <xf numFmtId="10" fontId="3" fillId="2" borderId="1" xfId="0" applyNumberFormat="1" applyFont="1" applyFill="1" applyBorder="1" applyAlignment="1">
      <alignment horizontal="center" vertical="center"/>
    </xf>
    <xf numFmtId="10" fontId="3" fillId="2" borderId="46" xfId="0" applyNumberFormat="1" applyFont="1" applyFill="1" applyBorder="1" applyAlignment="1">
      <alignment horizontal="center"/>
    </xf>
    <xf numFmtId="9" fontId="35" fillId="0" borderId="0" xfId="0" applyNumberFormat="1" applyFont="1"/>
    <xf numFmtId="9" fontId="26" fillId="2" borderId="45" xfId="0" applyNumberFormat="1" applyFont="1" applyFill="1" applyBorder="1"/>
    <xf numFmtId="9" fontId="26" fillId="2" borderId="1" xfId="0" applyNumberFormat="1" applyFont="1" applyFill="1" applyBorder="1"/>
    <xf numFmtId="0" fontId="4" fillId="10" borderId="52" xfId="0" applyFont="1" applyFill="1" applyBorder="1"/>
    <xf numFmtId="2" fontId="3" fillId="2" borderId="46" xfId="0" applyNumberFormat="1" applyFont="1" applyFill="1" applyBorder="1" applyAlignment="1">
      <alignment horizontal="center" vertical="center"/>
    </xf>
    <xf numFmtId="0" fontId="8" fillId="12" borderId="6" xfId="0" applyFont="1" applyFill="1" applyBorder="1" applyAlignment="1">
      <alignment horizontal="left" vertical="center"/>
    </xf>
    <xf numFmtId="2" fontId="3" fillId="2" borderId="45" xfId="0" applyNumberFormat="1" applyFont="1" applyFill="1" applyBorder="1" applyAlignment="1">
      <alignment horizontal="center" vertical="center"/>
    </xf>
    <xf numFmtId="165" fontId="3" fillId="2" borderId="1" xfId="0" applyNumberFormat="1" applyFont="1" applyFill="1" applyBorder="1" applyAlignment="1">
      <alignment horizontal="left"/>
    </xf>
    <xf numFmtId="9" fontId="10" fillId="0" borderId="0" xfId="0" applyNumberFormat="1" applyFont="1"/>
    <xf numFmtId="9" fontId="3" fillId="2" borderId="1" xfId="0" applyNumberFormat="1" applyFont="1" applyFill="1" applyBorder="1" applyAlignment="1">
      <alignment horizontal="left"/>
    </xf>
    <xf numFmtId="9" fontId="3" fillId="0" borderId="0" xfId="0" applyNumberFormat="1" applyFont="1" applyAlignment="1">
      <alignment horizontal="left"/>
    </xf>
    <xf numFmtId="184" fontId="3" fillId="0" borderId="0" xfId="0" applyNumberFormat="1" applyFont="1" applyAlignment="1">
      <alignment horizontal="center"/>
    </xf>
    <xf numFmtId="0" fontId="8" fillId="13" borderId="6" xfId="0" applyFont="1" applyFill="1" applyBorder="1" applyAlignment="1">
      <alignment horizontal="right" vertical="center"/>
    </xf>
    <xf numFmtId="0" fontId="8" fillId="13" borderId="6" xfId="0" applyFont="1" applyFill="1" applyBorder="1" applyAlignment="1">
      <alignment horizontal="left" vertical="center"/>
    </xf>
    <xf numFmtId="2" fontId="3" fillId="0" borderId="0" xfId="0" applyNumberFormat="1" applyFont="1" applyAlignment="1">
      <alignment horizontal="right" vertical="center"/>
    </xf>
    <xf numFmtId="0" fontId="3" fillId="2" borderId="65" xfId="0" applyFont="1" applyFill="1" applyBorder="1"/>
    <xf numFmtId="0" fontId="3" fillId="2" borderId="66" xfId="0" applyFont="1" applyFill="1" applyBorder="1"/>
    <xf numFmtId="0" fontId="3" fillId="2" borderId="67" xfId="0" applyFont="1" applyFill="1" applyBorder="1"/>
    <xf numFmtId="0" fontId="3" fillId="2" borderId="68" xfId="0" applyFont="1" applyFill="1" applyBorder="1"/>
    <xf numFmtId="0" fontId="3" fillId="2" borderId="69" xfId="0" applyFont="1" applyFill="1" applyBorder="1"/>
    <xf numFmtId="0" fontId="4" fillId="2" borderId="52" xfId="0" applyFont="1" applyFill="1" applyBorder="1" applyAlignment="1">
      <alignment horizontal="center"/>
    </xf>
    <xf numFmtId="0" fontId="4" fillId="2" borderId="43" xfId="0" applyFont="1" applyFill="1" applyBorder="1" applyAlignment="1">
      <alignment horizontal="center"/>
    </xf>
    <xf numFmtId="0" fontId="4" fillId="2" borderId="44" xfId="0" applyFont="1" applyFill="1" applyBorder="1"/>
    <xf numFmtId="0" fontId="4" fillId="2" borderId="20" xfId="0" applyFont="1" applyFill="1" applyBorder="1"/>
    <xf numFmtId="0" fontId="11" fillId="2" borderId="5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vertical="center" wrapText="1"/>
    </xf>
    <xf numFmtId="0" fontId="11" fillId="2" borderId="52" xfId="0" applyFont="1" applyFill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center" vertical="center" wrapText="1"/>
    </xf>
    <xf numFmtId="0" fontId="4" fillId="2" borderId="43" xfId="0" applyFont="1" applyFill="1" applyBorder="1"/>
    <xf numFmtId="0" fontId="26" fillId="2" borderId="43" xfId="0" applyFont="1" applyFill="1" applyBorder="1"/>
    <xf numFmtId="0" fontId="3" fillId="2" borderId="44" xfId="0" applyFont="1" applyFill="1" applyBorder="1"/>
    <xf numFmtId="0" fontId="3" fillId="2" borderId="20" xfId="0" applyFont="1" applyFill="1" applyBorder="1"/>
    <xf numFmtId="0" fontId="3" fillId="2" borderId="51" xfId="0" applyFont="1" applyFill="1" applyBorder="1"/>
    <xf numFmtId="0" fontId="3" fillId="9" borderId="51" xfId="0" applyFont="1" applyFill="1" applyBorder="1" applyAlignment="1">
      <alignment horizontal="center" vertical="center"/>
    </xf>
    <xf numFmtId="0" fontId="3" fillId="9" borderId="6" xfId="0" applyFont="1" applyFill="1" applyBorder="1" applyAlignment="1">
      <alignment horizontal="center" vertical="center"/>
    </xf>
    <xf numFmtId="0" fontId="3" fillId="9" borderId="52" xfId="0" applyFont="1" applyFill="1" applyBorder="1" applyAlignment="1">
      <alignment horizontal="center" vertical="center"/>
    </xf>
    <xf numFmtId="0" fontId="3" fillId="9" borderId="10" xfId="0" applyFont="1" applyFill="1" applyBorder="1" applyAlignment="1">
      <alignment horizontal="center" vertical="center"/>
    </xf>
    <xf numFmtId="0" fontId="3" fillId="2" borderId="45" xfId="0" applyFont="1" applyFill="1" applyBorder="1" applyAlignment="1">
      <alignment horizontal="left"/>
    </xf>
    <xf numFmtId="0" fontId="3" fillId="2" borderId="59" xfId="0" applyFont="1" applyFill="1" applyBorder="1"/>
    <xf numFmtId="0" fontId="3" fillId="2" borderId="59" xfId="0" applyFont="1" applyFill="1" applyBorder="1" applyAlignment="1">
      <alignment horizontal="left"/>
    </xf>
    <xf numFmtId="0" fontId="3" fillId="2" borderId="45" xfId="0" applyFont="1" applyFill="1" applyBorder="1" applyAlignment="1">
      <alignment horizontal="center"/>
    </xf>
    <xf numFmtId="0" fontId="3" fillId="2" borderId="59" xfId="0" applyFont="1" applyFill="1" applyBorder="1" applyAlignment="1">
      <alignment horizontal="center"/>
    </xf>
    <xf numFmtId="0" fontId="3" fillId="2" borderId="22" xfId="0" applyFont="1" applyFill="1" applyBorder="1" applyAlignment="1">
      <alignment horizontal="left"/>
    </xf>
    <xf numFmtId="0" fontId="3" fillId="2" borderId="51" xfId="0" applyFont="1" applyFill="1" applyBorder="1" applyAlignment="1">
      <alignment horizontal="left"/>
    </xf>
    <xf numFmtId="0" fontId="3" fillId="2" borderId="10" xfId="0" applyFont="1" applyFill="1" applyBorder="1"/>
    <xf numFmtId="169" fontId="3" fillId="2" borderId="50" xfId="0" applyNumberFormat="1" applyFont="1" applyFill="1" applyBorder="1"/>
    <xf numFmtId="0" fontId="3" fillId="2" borderId="22" xfId="0" applyFont="1" applyFill="1" applyBorder="1"/>
    <xf numFmtId="0" fontId="3" fillId="2" borderId="10" xfId="0" applyFont="1" applyFill="1" applyBorder="1" applyAlignment="1">
      <alignment horizontal="left"/>
    </xf>
    <xf numFmtId="0" fontId="3" fillId="9" borderId="51" xfId="0" applyFont="1" applyFill="1" applyBorder="1" applyAlignment="1">
      <alignment horizontal="center"/>
    </xf>
    <xf numFmtId="0" fontId="3" fillId="2" borderId="52" xfId="0" applyFont="1" applyFill="1" applyBorder="1" applyAlignment="1">
      <alignment horizontal="center"/>
    </xf>
    <xf numFmtId="0" fontId="3" fillId="2" borderId="22" xfId="0" applyFont="1" applyFill="1" applyBorder="1" applyAlignment="1">
      <alignment horizontal="center"/>
    </xf>
    <xf numFmtId="0" fontId="4" fillId="2" borderId="51" xfId="0" applyFont="1" applyFill="1" applyBorder="1" applyAlignment="1">
      <alignment horizontal="center"/>
    </xf>
    <xf numFmtId="0" fontId="4" fillId="2" borderId="52" xfId="0" applyFont="1" applyFill="1" applyBorder="1"/>
    <xf numFmtId="0" fontId="4" fillId="2" borderId="10" xfId="0" applyFont="1" applyFill="1" applyBorder="1"/>
    <xf numFmtId="0" fontId="4" fillId="2" borderId="45" xfId="0" applyFont="1" applyFill="1" applyBorder="1"/>
    <xf numFmtId="0" fontId="4" fillId="2" borderId="59" xfId="0" applyFont="1" applyFill="1" applyBorder="1"/>
    <xf numFmtId="0" fontId="4" fillId="2" borderId="10" xfId="0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 vertical="center"/>
    </xf>
    <xf numFmtId="0" fontId="3" fillId="2" borderId="52" xfId="0" applyFont="1" applyFill="1" applyBorder="1" applyAlignment="1">
      <alignment horizontal="center" vertical="center"/>
    </xf>
    <xf numFmtId="0" fontId="3" fillId="2" borderId="59" xfId="0" applyFont="1" applyFill="1" applyBorder="1" applyAlignment="1">
      <alignment horizontal="center" vertical="center"/>
    </xf>
    <xf numFmtId="0" fontId="38" fillId="2" borderId="43" xfId="0" applyFont="1" applyFill="1" applyBorder="1"/>
    <xf numFmtId="0" fontId="3" fillId="2" borderId="22" xfId="0" applyFont="1" applyFill="1" applyBorder="1" applyAlignment="1">
      <alignment horizontal="center" vertical="center"/>
    </xf>
    <xf numFmtId="2" fontId="3" fillId="2" borderId="52" xfId="0" applyNumberFormat="1" applyFont="1" applyFill="1" applyBorder="1"/>
    <xf numFmtId="0" fontId="3" fillId="2" borderId="48" xfId="0" applyFont="1" applyFill="1" applyBorder="1" applyAlignment="1">
      <alignment horizontal="center"/>
    </xf>
    <xf numFmtId="0" fontId="3" fillId="5" borderId="22" xfId="0" applyFont="1" applyFill="1" applyBorder="1" applyAlignment="1">
      <alignment horizontal="center"/>
    </xf>
    <xf numFmtId="0" fontId="3" fillId="2" borderId="70" xfId="0" applyFont="1" applyFill="1" applyBorder="1"/>
    <xf numFmtId="0" fontId="3" fillId="2" borderId="71" xfId="0" applyFont="1" applyFill="1" applyBorder="1"/>
    <xf numFmtId="0" fontId="3" fillId="2" borderId="72" xfId="0" applyFont="1" applyFill="1" applyBorder="1"/>
    <xf numFmtId="0" fontId="3" fillId="2" borderId="43" xfId="0" applyFont="1" applyFill="1" applyBorder="1"/>
    <xf numFmtId="0" fontId="3" fillId="2" borderId="44" xfId="0" applyFont="1" applyFill="1" applyBorder="1" applyAlignment="1">
      <alignment horizontal="center"/>
    </xf>
    <xf numFmtId="0" fontId="3" fillId="2" borderId="46" xfId="0" applyFont="1" applyFill="1" applyBorder="1" applyAlignment="1">
      <alignment horizontal="center"/>
    </xf>
    <xf numFmtId="0" fontId="4" fillId="0" borderId="18" xfId="0" applyFont="1" applyBorder="1"/>
    <xf numFmtId="0" fontId="4" fillId="0" borderId="13" xfId="0" applyFont="1" applyBorder="1"/>
    <xf numFmtId="0" fontId="3" fillId="2" borderId="53" xfId="0" applyFont="1" applyFill="1" applyBorder="1"/>
    <xf numFmtId="0" fontId="3" fillId="2" borderId="5" xfId="0" applyFont="1" applyFill="1" applyBorder="1" applyAlignment="1">
      <alignment horizontal="center"/>
    </xf>
    <xf numFmtId="10" fontId="3" fillId="0" borderId="15" xfId="0" applyNumberFormat="1" applyFont="1" applyBorder="1" applyAlignment="1">
      <alignment horizontal="center"/>
    </xf>
    <xf numFmtId="9" fontId="3" fillId="0" borderId="15" xfId="0" applyNumberFormat="1" applyFont="1" applyBorder="1" applyAlignment="1">
      <alignment horizontal="center"/>
    </xf>
    <xf numFmtId="0" fontId="3" fillId="2" borderId="53" xfId="0" applyFont="1" applyFill="1" applyBorder="1" applyAlignment="1">
      <alignment horizontal="center"/>
    </xf>
    <xf numFmtId="1" fontId="3" fillId="0" borderId="18" xfId="0" applyNumberFormat="1" applyFont="1" applyBorder="1" applyAlignment="1">
      <alignment horizontal="center"/>
    </xf>
    <xf numFmtId="0" fontId="4" fillId="2" borderId="1" xfId="0" applyFont="1" applyFill="1" applyBorder="1" applyAlignment="1">
      <alignment horizontal="left"/>
    </xf>
    <xf numFmtId="9" fontId="3" fillId="0" borderId="15" xfId="0" applyNumberFormat="1" applyFont="1" applyBorder="1"/>
    <xf numFmtId="9" fontId="3" fillId="0" borderId="18" xfId="0" applyNumberFormat="1" applyFont="1" applyBorder="1"/>
    <xf numFmtId="0" fontId="3" fillId="0" borderId="23" xfId="0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9" fontId="3" fillId="0" borderId="12" xfId="0" applyNumberFormat="1" applyFont="1" applyBorder="1" applyAlignment="1">
      <alignment horizontal="center"/>
    </xf>
    <xf numFmtId="9" fontId="3" fillId="0" borderId="18" xfId="0" applyNumberFormat="1" applyFont="1" applyBorder="1" applyAlignment="1">
      <alignment horizontal="center"/>
    </xf>
    <xf numFmtId="9" fontId="3" fillId="0" borderId="19" xfId="0" applyNumberFormat="1" applyFont="1" applyBorder="1" applyAlignment="1">
      <alignment horizontal="center"/>
    </xf>
    <xf numFmtId="0" fontId="3" fillId="0" borderId="1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9" fontId="3" fillId="0" borderId="21" xfId="0" applyNumberFormat="1" applyFont="1" applyBorder="1"/>
    <xf numFmtId="9" fontId="3" fillId="0" borderId="23" xfId="0" applyNumberFormat="1" applyFont="1" applyBorder="1"/>
    <xf numFmtId="9" fontId="3" fillId="0" borderId="19" xfId="0" applyNumberFormat="1" applyFont="1" applyBorder="1"/>
    <xf numFmtId="0" fontId="3" fillId="0" borderId="9" xfId="0" applyFont="1" applyBorder="1"/>
    <xf numFmtId="0" fontId="2" fillId="0" borderId="0" xfId="0" applyFont="1" applyAlignment="1">
      <alignment horizontal="center"/>
    </xf>
    <xf numFmtId="0" fontId="1" fillId="0" borderId="0" xfId="0" applyFont="1"/>
    <xf numFmtId="0" fontId="4" fillId="2" borderId="2" xfId="0" applyFont="1" applyFill="1" applyBorder="1" applyAlignment="1">
      <alignment horizontal="center"/>
    </xf>
    <xf numFmtId="0" fontId="5" fillId="0" borderId="3" xfId="0" applyFont="1" applyBorder="1"/>
    <xf numFmtId="0" fontId="5" fillId="0" borderId="4" xfId="0" applyFont="1" applyBorder="1"/>
    <xf numFmtId="0" fontId="4" fillId="0" borderId="0" xfId="0" applyFont="1" applyAlignment="1">
      <alignment horizontal="center"/>
    </xf>
    <xf numFmtId="0" fontId="0" fillId="0" borderId="0" xfId="0"/>
    <xf numFmtId="0" fontId="20" fillId="7" borderId="29" xfId="0" applyFont="1" applyFill="1" applyBorder="1" applyAlignment="1">
      <alignment horizontal="center" vertical="center" wrapText="1"/>
    </xf>
    <xf numFmtId="0" fontId="5" fillId="0" borderId="30" xfId="0" applyFont="1" applyBorder="1"/>
    <xf numFmtId="0" fontId="5" fillId="0" borderId="31" xfId="0" applyFont="1" applyBorder="1"/>
    <xf numFmtId="0" fontId="19" fillId="6" borderId="29" xfId="0" applyFont="1" applyFill="1" applyBorder="1" applyAlignment="1">
      <alignment horizontal="center" vertical="center"/>
    </xf>
    <xf numFmtId="0" fontId="19" fillId="6" borderId="35" xfId="0" applyFont="1" applyFill="1" applyBorder="1" applyAlignment="1">
      <alignment horizontal="center" vertical="center"/>
    </xf>
    <xf numFmtId="0" fontId="5" fillId="0" borderId="36" xfId="0" applyFont="1" applyBorder="1"/>
    <xf numFmtId="0" fontId="5" fillId="0" borderId="37" xfId="0" applyFont="1" applyBorder="1"/>
    <xf numFmtId="0" fontId="19" fillId="6" borderId="38" xfId="0" applyFont="1" applyFill="1" applyBorder="1" applyAlignment="1">
      <alignment horizontal="center" vertical="center"/>
    </xf>
    <xf numFmtId="0" fontId="5" fillId="0" borderId="39" xfId="0" applyFont="1" applyBorder="1"/>
    <xf numFmtId="0" fontId="5" fillId="0" borderId="40" xfId="0" applyFont="1" applyBorder="1"/>
    <xf numFmtId="0" fontId="4" fillId="0" borderId="8" xfId="0" applyFont="1" applyBorder="1" applyAlignment="1">
      <alignment horizontal="center"/>
    </xf>
    <xf numFmtId="0" fontId="5" fillId="0" borderId="9" xfId="0" applyFont="1" applyBorder="1"/>
    <xf numFmtId="0" fontId="11" fillId="0" borderId="16" xfId="0" applyFont="1" applyBorder="1" applyAlignment="1">
      <alignment horizontal="left" vertical="center"/>
    </xf>
    <xf numFmtId="0" fontId="5" fillId="0" borderId="12" xfId="0" applyFont="1" applyBorder="1"/>
    <xf numFmtId="0" fontId="5" fillId="0" borderId="19" xfId="0" applyFont="1" applyBorder="1"/>
    <xf numFmtId="0" fontId="4" fillId="0" borderId="23" xfId="0" applyFont="1" applyBorder="1" applyAlignment="1">
      <alignment horizontal="center"/>
    </xf>
    <xf numFmtId="0" fontId="5" fillId="0" borderId="18" xfId="0" applyFont="1" applyBorder="1"/>
    <xf numFmtId="0" fontId="12" fillId="0" borderId="0" xfId="0" applyFont="1" applyAlignment="1">
      <alignment horizontal="center"/>
    </xf>
    <xf numFmtId="2" fontId="3" fillId="0" borderId="24" xfId="0" applyNumberFormat="1" applyFont="1" applyBorder="1" applyAlignment="1">
      <alignment horizontal="center" vertical="center"/>
    </xf>
    <xf numFmtId="0" fontId="5" fillId="0" borderId="21" xfId="0" applyFont="1" applyBorder="1"/>
    <xf numFmtId="0" fontId="5" fillId="0" borderId="23" xfId="0" applyFont="1" applyBorder="1"/>
    <xf numFmtId="171" fontId="3" fillId="0" borderId="16" xfId="0" applyNumberFormat="1" applyFont="1" applyBorder="1" applyAlignment="1">
      <alignment horizontal="center" vertical="center"/>
    </xf>
    <xf numFmtId="2" fontId="11" fillId="0" borderId="24" xfId="0" applyNumberFormat="1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24" fillId="0" borderId="0" xfId="0" applyFont="1" applyAlignment="1">
      <alignment horizontal="center"/>
    </xf>
    <xf numFmtId="0" fontId="31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5" fillId="0" borderId="13" xfId="0" applyFont="1" applyBorder="1"/>
    <xf numFmtId="0" fontId="4" fillId="2" borderId="8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9" fontId="3" fillId="2" borderId="47" xfId="0" applyNumberFormat="1" applyFont="1" applyFill="1" applyBorder="1" applyAlignment="1">
      <alignment horizontal="center" vertical="center"/>
    </xf>
    <xf numFmtId="0" fontId="5" fillId="0" borderId="49" xfId="0" applyFont="1" applyBorder="1"/>
    <xf numFmtId="9" fontId="3" fillId="0" borderId="0" xfId="0" applyNumberFormat="1" applyFont="1" applyAlignment="1">
      <alignment horizontal="center"/>
    </xf>
    <xf numFmtId="0" fontId="4" fillId="2" borderId="54" xfId="0" applyFont="1" applyFill="1" applyBorder="1" applyAlignment="1">
      <alignment horizontal="center" vertical="center"/>
    </xf>
    <xf numFmtId="0" fontId="5" fillId="0" borderId="55" xfId="0" applyFont="1" applyBorder="1"/>
    <xf numFmtId="0" fontId="5" fillId="0" borderId="56" xfId="0" applyFont="1" applyBorder="1"/>
    <xf numFmtId="0" fontId="4" fillId="2" borderId="57" xfId="0" applyFont="1" applyFill="1" applyBorder="1" applyAlignment="1">
      <alignment horizontal="center" vertical="center"/>
    </xf>
    <xf numFmtId="0" fontId="5" fillId="0" borderId="58" xfId="0" applyFont="1" applyBorder="1"/>
    <xf numFmtId="0" fontId="37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13" fillId="18" borderId="2" xfId="0" applyFont="1" applyFill="1" applyBorder="1" applyAlignment="1">
      <alignment horizontal="center"/>
    </xf>
    <xf numFmtId="0" fontId="13" fillId="5" borderId="2" xfId="0" applyFont="1" applyFill="1" applyBorder="1" applyAlignment="1">
      <alignment horizontal="center"/>
    </xf>
    <xf numFmtId="0" fontId="29" fillId="2" borderId="2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/>
    </xf>
    <xf numFmtId="0" fontId="4" fillId="16" borderId="2" xfId="0" applyFont="1" applyFill="1" applyBorder="1" applyAlignment="1">
      <alignment horizontal="center"/>
    </xf>
    <xf numFmtId="0" fontId="13" fillId="18" borderId="8" xfId="0" applyFont="1" applyFill="1" applyBorder="1" applyAlignment="1">
      <alignment horizontal="center"/>
    </xf>
    <xf numFmtId="0" fontId="13" fillId="18" borderId="8" xfId="0" applyFont="1" applyFill="1" applyBorder="1" applyAlignment="1">
      <alignment horizontal="center" vertical="center"/>
    </xf>
    <xf numFmtId="0" fontId="41" fillId="10" borderId="60" xfId="0" applyFont="1" applyFill="1" applyBorder="1" applyAlignment="1">
      <alignment horizontal="center"/>
    </xf>
    <xf numFmtId="0" fontId="5" fillId="0" borderId="61" xfId="0" applyFont="1" applyBorder="1"/>
    <xf numFmtId="0" fontId="5" fillId="0" borderId="62" xfId="0" applyFont="1" applyBorder="1"/>
    <xf numFmtId="0" fontId="41" fillId="10" borderId="60" xfId="0" applyFont="1" applyFill="1" applyBorder="1" applyAlignment="1">
      <alignment horizontal="center" wrapText="1"/>
    </xf>
    <xf numFmtId="0" fontId="4" fillId="5" borderId="2" xfId="0" applyFont="1" applyFill="1" applyBorder="1" applyAlignment="1">
      <alignment horizontal="center" vertical="center"/>
    </xf>
    <xf numFmtId="0" fontId="30" fillId="0" borderId="0" xfId="0" applyFont="1" applyAlignment="1">
      <alignment horizontal="center"/>
    </xf>
    <xf numFmtId="0" fontId="30" fillId="2" borderId="2" xfId="0" applyFont="1" applyFill="1" applyBorder="1" applyAlignment="1">
      <alignment horizontal="center"/>
    </xf>
    <xf numFmtId="0" fontId="43" fillId="2" borderId="2" xfId="0" applyFont="1" applyFill="1" applyBorder="1" applyAlignment="1">
      <alignment horizontal="center"/>
    </xf>
    <xf numFmtId="0" fontId="43" fillId="0" borderId="0" xfId="0" applyFont="1" applyAlignment="1">
      <alignment horizontal="center"/>
    </xf>
    <xf numFmtId="0" fontId="43" fillId="0" borderId="63" xfId="0" applyFont="1" applyBorder="1" applyAlignment="1">
      <alignment horizontal="center"/>
    </xf>
    <xf numFmtId="0" fontId="5" fillId="0" borderId="63" xfId="0" applyFont="1" applyBorder="1"/>
    <xf numFmtId="0" fontId="5" fillId="0" borderId="64" xfId="0" applyFont="1" applyBorder="1"/>
    <xf numFmtId="0" fontId="4" fillId="0" borderId="18" xfId="0" applyFont="1" applyBorder="1" applyAlignment="1">
      <alignment horizontal="center"/>
    </xf>
    <xf numFmtId="0" fontId="3" fillId="0" borderId="18" xfId="0" applyFont="1" applyBorder="1" applyAlignment="1">
      <alignment horizontal="center"/>
    </xf>
  </cellXfs>
  <cellStyles count="1">
    <cellStyle name="Normal" xfId="0" builtinId="0"/>
  </cellStyles>
  <dxfs count="80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757575"/>
                </a:solidFill>
                <a:latin typeface="+mn-lt"/>
              </a:defRPr>
            </a:pPr>
            <a:r>
              <a:rPr lang="es-CO" sz="1100" b="1" i="0">
                <a:solidFill>
                  <a:srgbClr val="757575"/>
                </a:solidFill>
                <a:latin typeface="+mn-lt"/>
              </a:rPr>
              <a:t>Precios en escenario de baja oferta de petróleo y gas natural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Biodiesel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EXP_IMP'!$J$133:$Q$133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26.062049484430577</c:v>
                </c:pt>
                <c:pt idx="2">
                  <c:v>27.26293166627044</c:v>
                </c:pt>
                <c:pt idx="3">
                  <c:v>28.990379051104217</c:v>
                </c:pt>
                <c:pt idx="4">
                  <c:v>31.697009911247882</c:v>
                </c:pt>
                <c:pt idx="5">
                  <c:v>32.967623003898666</c:v>
                </c:pt>
                <c:pt idx="6">
                  <c:v>34.607787018684213</c:v>
                </c:pt>
                <c:pt idx="7">
                  <c:v>35.963817996706439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A3-4B6B-B459-6194061A1C41}"/>
            </c:ext>
          </c:extLst>
        </c:ser>
        <c:ser>
          <c:idx val="1"/>
          <c:order val="1"/>
          <c:tx>
            <c:v>Avgas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EXP_IMP'!$J$134:$Q$134</c:f>
              <c:numCache>
                <c:formatCode>General</c:formatCode>
                <c:ptCount val="8"/>
                <c:pt idx="0">
                  <c:v>21.475872844615932</c:v>
                </c:pt>
                <c:pt idx="1">
                  <c:v>21.173796174722664</c:v>
                </c:pt>
                <c:pt idx="2">
                  <c:v>23.09908472316074</c:v>
                </c:pt>
                <c:pt idx="3">
                  <c:v>25.352291121728861</c:v>
                </c:pt>
                <c:pt idx="4">
                  <c:v>28.770631310279356</c:v>
                </c:pt>
                <c:pt idx="5">
                  <c:v>30.877675811857468</c:v>
                </c:pt>
                <c:pt idx="6">
                  <c:v>33.171074715211802</c:v>
                </c:pt>
                <c:pt idx="7">
                  <c:v>35.177965790480719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A3-4B6B-B459-6194061A1C41}"/>
            </c:ext>
          </c:extLst>
        </c:ser>
        <c:ser>
          <c:idx val="2"/>
          <c:order val="2"/>
          <c:tx>
            <c:v>Gasoline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EXP_IMP'!$J$135:$Q$135</c:f>
              <c:numCache>
                <c:formatCode>General</c:formatCode>
                <c:ptCount val="8"/>
                <c:pt idx="0">
                  <c:v>20.996450693126999</c:v>
                </c:pt>
                <c:pt idx="1">
                  <c:v>20.789779196276999</c:v>
                </c:pt>
                <c:pt idx="2">
                  <c:v>21.49552278666</c:v>
                </c:pt>
                <c:pt idx="3">
                  <c:v>22.787761319388</c:v>
                </c:pt>
                <c:pt idx="4">
                  <c:v>24.782312344958999</c:v>
                </c:pt>
                <c:pt idx="5">
                  <c:v>26.081950485006001</c:v>
                </c:pt>
                <c:pt idx="6">
                  <c:v>27.657616630877996</c:v>
                </c:pt>
                <c:pt idx="7">
                  <c:v>28.857208895307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A3-4B6B-B459-6194061A1C41}"/>
            </c:ext>
          </c:extLst>
        </c:ser>
        <c:ser>
          <c:idx val="3"/>
          <c:order val="3"/>
          <c:tx>
            <c:v>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EXP_IMP'!$J$136:$Q$136</c:f>
              <c:numCache>
                <c:formatCode>General</c:formatCode>
                <c:ptCount val="8"/>
                <c:pt idx="0">
                  <c:v>20.905028056574999</c:v>
                </c:pt>
                <c:pt idx="1">
                  <c:v>20.166998975720997</c:v>
                </c:pt>
                <c:pt idx="2">
                  <c:v>21.096250136325001</c:v>
                </c:pt>
                <c:pt idx="3">
                  <c:v>22.432961190509999</c:v>
                </c:pt>
                <c:pt idx="4">
                  <c:v>24.527371371749997</c:v>
                </c:pt>
                <c:pt idx="5">
                  <c:v>25.510580806347001</c:v>
                </c:pt>
                <c:pt idx="6">
                  <c:v>26.779751368928999</c:v>
                </c:pt>
                <c:pt idx="7">
                  <c:v>27.829057769838002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A3-4B6B-B459-6194061A1C41}"/>
            </c:ext>
          </c:extLst>
        </c:ser>
        <c:ser>
          <c:idx val="4"/>
          <c:order val="4"/>
          <c:tx>
            <c:v>LPG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0070C0"/>
              </a:solidFill>
              <a:ln cmpd="sng">
                <a:solidFill>
                  <a:srgbClr val="0070C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EXP_IMP'!$J$137:$Q$137</c:f>
              <c:numCache>
                <c:formatCode>General</c:formatCode>
                <c:ptCount val="8"/>
                <c:pt idx="0">
                  <c:v>17.550825014150998</c:v>
                </c:pt>
                <c:pt idx="1">
                  <c:v>17.327211288426</c:v>
                </c:pt>
                <c:pt idx="2">
                  <c:v>21.000397403115002</c:v>
                </c:pt>
                <c:pt idx="3">
                  <c:v>23.265791875521</c:v>
                </c:pt>
                <c:pt idx="4">
                  <c:v>25.362927030636001</c:v>
                </c:pt>
                <c:pt idx="5">
                  <c:v>27.015707567627999</c:v>
                </c:pt>
                <c:pt idx="6">
                  <c:v>29.097066308778</c:v>
                </c:pt>
                <c:pt idx="7">
                  <c:v>30.992470937063995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A3-4B6B-B459-6194061A1C41}"/>
            </c:ext>
          </c:extLst>
        </c:ser>
        <c:ser>
          <c:idx val="5"/>
          <c:order val="5"/>
          <c:tx>
            <c:v>Ethanol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EXP_IMP'!$J$138:$Q$138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15.168782704888827</c:v>
                </c:pt>
                <c:pt idx="2">
                  <c:v>16.949109551577816</c:v>
                </c:pt>
                <c:pt idx="3">
                  <c:v>19.89820760097551</c:v>
                </c:pt>
                <c:pt idx="4">
                  <c:v>20.433037285408389</c:v>
                </c:pt>
                <c:pt idx="5">
                  <c:v>21.046576062396845</c:v>
                </c:pt>
                <c:pt idx="6">
                  <c:v>22.996499995778219</c:v>
                </c:pt>
                <c:pt idx="7">
                  <c:v>24.2190062601092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A3-4B6B-B459-6194061A1C41}"/>
            </c:ext>
          </c:extLst>
        </c:ser>
        <c:ser>
          <c:idx val="6"/>
          <c:order val="6"/>
          <c:tx>
            <c:v>Kerosene-Jet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7030A0"/>
              </a:solidFill>
              <a:ln cmpd="sng">
                <a:solidFill>
                  <a:srgbClr val="7030A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EXP_IMP'!$J$139:$Q$139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13.679057020707001</c:v>
                </c:pt>
                <c:pt idx="2">
                  <c:v>14.925902701670999</c:v>
                </c:pt>
                <c:pt idx="3">
                  <c:v>16.381853873541001</c:v>
                </c:pt>
                <c:pt idx="4">
                  <c:v>18.590677888301997</c:v>
                </c:pt>
                <c:pt idx="5">
                  <c:v>19.952183835207002</c:v>
                </c:pt>
                <c:pt idx="6">
                  <c:v>21.434106140693999</c:v>
                </c:pt>
                <c:pt idx="7">
                  <c:v>22.730896090656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DA3-4B6B-B459-6194061A1C41}"/>
            </c:ext>
          </c:extLst>
        </c:ser>
        <c:ser>
          <c:idx val="7"/>
          <c:order val="7"/>
          <c:tx>
            <c:v>WTI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EXP_IMP'!$J$141:$Q$141</c:f>
              <c:numCache>
                <c:formatCode>General</c:formatCode>
                <c:ptCount val="8"/>
                <c:pt idx="0">
                  <c:v>9.4202649837692984</c:v>
                </c:pt>
                <c:pt idx="1">
                  <c:v>9.6527165147854426</c:v>
                </c:pt>
                <c:pt idx="2">
                  <c:v>11.578601139308462</c:v>
                </c:pt>
                <c:pt idx="3">
                  <c:v>12.911789354957682</c:v>
                </c:pt>
                <c:pt idx="4">
                  <c:v>14.757523117529285</c:v>
                </c:pt>
                <c:pt idx="5">
                  <c:v>16.087232795682176</c:v>
                </c:pt>
                <c:pt idx="6">
                  <c:v>17.631300754150111</c:v>
                </c:pt>
                <c:pt idx="7">
                  <c:v>18.826932611437442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DA3-4B6B-B459-6194061A1C41}"/>
            </c:ext>
          </c:extLst>
        </c:ser>
        <c:ser>
          <c:idx val="8"/>
          <c:order val="8"/>
          <c:tx>
            <c:v>Fuel Oil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EXP_IMP'!$J$142:$Q$142</c:f>
              <c:numCache>
                <c:formatCode>General</c:formatCode>
                <c:ptCount val="8"/>
                <c:pt idx="0">
                  <c:v>9.2360008608660014</c:v>
                </c:pt>
                <c:pt idx="1">
                  <c:v>9.6932486336400014</c:v>
                </c:pt>
                <c:pt idx="2">
                  <c:v>9.5472696505679995</c:v>
                </c:pt>
                <c:pt idx="3">
                  <c:v>10.673080048449</c:v>
                </c:pt>
                <c:pt idx="4">
                  <c:v>12.218909862978</c:v>
                </c:pt>
                <c:pt idx="5">
                  <c:v>13.22060646816</c:v>
                </c:pt>
                <c:pt idx="6">
                  <c:v>14.059067186150999</c:v>
                </c:pt>
                <c:pt idx="7">
                  <c:v>15.210941603714998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DA3-4B6B-B459-6194061A1C41}"/>
            </c:ext>
          </c:extLst>
        </c:ser>
        <c:ser>
          <c:idx val="9"/>
          <c:order val="9"/>
          <c:tx>
            <c:v>Natural 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EXP_IMP'!$J$145:$Q$145</c:f>
              <c:numCache>
                <c:formatCode>General</c:formatCode>
                <c:ptCount val="8"/>
                <c:pt idx="0">
                  <c:v>4.7688341321789993</c:v>
                </c:pt>
                <c:pt idx="1">
                  <c:v>4.6568448145439998</c:v>
                </c:pt>
                <c:pt idx="2">
                  <c:v>5.7706406841329994</c:v>
                </c:pt>
                <c:pt idx="3">
                  <c:v>6.7599028780919994</c:v>
                </c:pt>
                <c:pt idx="4">
                  <c:v>7.3262282746769998</c:v>
                </c:pt>
                <c:pt idx="5">
                  <c:v>7.6825591280100003</c:v>
                </c:pt>
                <c:pt idx="6">
                  <c:v>8.0943780319740011</c:v>
                </c:pt>
                <c:pt idx="7">
                  <c:v>8.6837619205349998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DA3-4B6B-B459-6194061A1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69134"/>
        <c:axId val="837326922"/>
      </c:scatterChart>
      <c:valAx>
        <c:axId val="21351691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837326922"/>
        <c:crosses val="autoZero"/>
        <c:crossBetween val="midCat"/>
      </c:valAx>
      <c:valAx>
        <c:axId val="8373269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CO" sz="1000" b="0" i="0">
                    <a:solidFill>
                      <a:srgbClr val="000000"/>
                    </a:solidFill>
                    <a:latin typeface="+mn-lt"/>
                  </a:rPr>
                  <a:t>Precio MUSD2019/PJ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213516913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1.xml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72</xdr:row>
      <xdr:rowOff>0</xdr:rowOff>
    </xdr:from>
    <xdr:ext cx="7258050" cy="295275"/>
    <xdr:sp macro="" textlink="">
      <xdr:nvSpPr>
        <xdr:cNvPr id="3" name="Shap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721738" y="3637125"/>
          <a:ext cx="7248525" cy="2857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575" tIns="365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https://www.minambiente.gov.co/wp-content/uploads/2021/10/cambio-climatico-Informe-sobre-el-desarrollo-y-los-supuestos-para-la-realizacion-de-escenarios-de-referencia-ndc.pdf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62</xdr:row>
      <xdr:rowOff>76200</xdr:rowOff>
    </xdr:from>
    <xdr:ext cx="5029200" cy="6572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67</xdr:row>
      <xdr:rowOff>47625</xdr:rowOff>
    </xdr:from>
    <xdr:ext cx="2047875" cy="7810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59</xdr:row>
      <xdr:rowOff>95250</xdr:rowOff>
    </xdr:from>
    <xdr:ext cx="8105775" cy="23336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146</xdr:row>
      <xdr:rowOff>28575</xdr:rowOff>
    </xdr:from>
    <xdr:ext cx="5305425" cy="3343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228600</xdr:colOff>
      <xdr:row>70</xdr:row>
      <xdr:rowOff>123825</xdr:rowOff>
    </xdr:from>
    <xdr:ext cx="5886450" cy="448627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85</xdr:row>
      <xdr:rowOff>95250</xdr:rowOff>
    </xdr:from>
    <xdr:ext cx="5819775" cy="8477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2162175</xdr:colOff>
      <xdr:row>146</xdr:row>
      <xdr:rowOff>28575</xdr:rowOff>
    </xdr:from>
    <xdr:ext cx="5238750" cy="3371850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146</xdr:row>
      <xdr:rowOff>0</xdr:rowOff>
    </xdr:from>
    <xdr:ext cx="5229225" cy="3352800"/>
    <xdr:pic>
      <xdr:nvPicPr>
        <xdr:cNvPr id="6" name="image9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146</xdr:row>
      <xdr:rowOff>0</xdr:rowOff>
    </xdr:from>
    <xdr:ext cx="5124450" cy="3352800"/>
    <xdr:pic>
      <xdr:nvPicPr>
        <xdr:cNvPr id="7" name="image6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352425</xdr:colOff>
      <xdr:row>99</xdr:row>
      <xdr:rowOff>57150</xdr:rowOff>
    </xdr:from>
    <xdr:ext cx="5867400" cy="3876675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11153775" cy="8562975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176</xdr:row>
      <xdr:rowOff>0</xdr:rowOff>
    </xdr:from>
    <xdr:ext cx="11144250" cy="856297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</xdr:colOff>
      <xdr:row>50</xdr:row>
      <xdr:rowOff>161925</xdr:rowOff>
    </xdr:from>
    <xdr:ext cx="6391275" cy="375285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125</xdr:row>
      <xdr:rowOff>133350</xdr:rowOff>
    </xdr:from>
    <xdr:ext cx="6381750" cy="3790950"/>
    <xdr:pic>
      <xdr:nvPicPr>
        <xdr:cNvPr id="4" name="image11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1247775</xdr:colOff>
      <xdr:row>1</xdr:row>
      <xdr:rowOff>133350</xdr:rowOff>
    </xdr:from>
    <xdr:ext cx="7620000" cy="752475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171450</xdr:colOff>
      <xdr:row>27</xdr:row>
      <xdr:rowOff>152400</xdr:rowOff>
    </xdr:from>
    <xdr:ext cx="361950" cy="10953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5169788" y="3241838"/>
          <a:ext cx="352425" cy="107632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58</xdr:row>
      <xdr:rowOff>38100</xdr:rowOff>
    </xdr:from>
    <xdr:ext cx="361950" cy="695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90</xdr:row>
      <xdr:rowOff>57150</xdr:rowOff>
    </xdr:from>
    <xdr:ext cx="361950" cy="6953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400050</xdr:colOff>
      <xdr:row>14</xdr:row>
      <xdr:rowOff>142875</xdr:rowOff>
    </xdr:from>
    <xdr:ext cx="800100" cy="4381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361950</xdr:colOff>
      <xdr:row>10</xdr:row>
      <xdr:rowOff>9525</xdr:rowOff>
    </xdr:from>
    <xdr:ext cx="8001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390525</xdr:colOff>
      <xdr:row>14</xdr:row>
      <xdr:rowOff>171450</xdr:rowOff>
    </xdr:from>
    <xdr:ext cx="800100" cy="4572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flipH="1">
          <a:off x="4950713" y="3560925"/>
          <a:ext cx="790575" cy="438150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714375</xdr:colOff>
      <xdr:row>30</xdr:row>
      <xdr:rowOff>123825</xdr:rowOff>
    </xdr:from>
    <xdr:ext cx="7734300" cy="5848350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000"/>
  <sheetViews>
    <sheetView topLeftCell="A7" zoomScale="70" zoomScaleNormal="70" workbookViewId="0">
      <selection activeCell="D21" sqref="D21"/>
    </sheetView>
  </sheetViews>
  <sheetFormatPr baseColWidth="10" defaultColWidth="14.42578125" defaultRowHeight="15" customHeight="1" x14ac:dyDescent="0.25"/>
  <cols>
    <col min="1" max="1" width="9.140625" customWidth="1"/>
    <col min="2" max="2" width="14.85546875" customWidth="1"/>
    <col min="3" max="3" width="9.140625" customWidth="1"/>
    <col min="4" max="4" width="21.5703125" customWidth="1"/>
    <col min="5" max="5" width="52.85546875" customWidth="1"/>
    <col min="6" max="6" width="9.140625" customWidth="1"/>
    <col min="7" max="7" width="14.5703125" customWidth="1"/>
    <col min="8" max="11" width="9.140625" customWidth="1"/>
    <col min="12" max="12" width="12.7109375" customWidth="1"/>
    <col min="13" max="13" width="14.85546875" customWidth="1"/>
    <col min="14" max="14" width="9.140625" customWidth="1"/>
    <col min="15" max="15" width="14" customWidth="1"/>
    <col min="16" max="16" width="41.5703125" customWidth="1"/>
    <col min="17" max="17" width="9.140625" customWidth="1"/>
    <col min="18" max="18" width="14.5703125" customWidth="1"/>
    <col min="19" max="23" width="9.140625" customWidth="1"/>
    <col min="24" max="24" width="14.85546875" customWidth="1"/>
    <col min="25" max="25" width="9.140625" customWidth="1"/>
    <col min="26" max="26" width="14" customWidth="1"/>
    <col min="27" max="27" width="41.5703125" customWidth="1"/>
    <col min="28" max="28" width="9.140625" customWidth="1"/>
    <col min="29" max="29" width="14.5703125" customWidth="1"/>
    <col min="30" max="34" width="9.140625" customWidth="1"/>
    <col min="35" max="35" width="14.85546875" customWidth="1"/>
    <col min="36" max="36" width="9.140625" customWidth="1"/>
    <col min="37" max="37" width="20.7109375" customWidth="1"/>
    <col min="38" max="38" width="41.5703125" customWidth="1"/>
    <col min="39" max="39" width="9.140625" customWidth="1"/>
    <col min="40" max="40" width="14.5703125" customWidth="1"/>
    <col min="41" max="63" width="9.140625" customWidth="1"/>
  </cols>
  <sheetData>
    <row r="1" spans="1:6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 spans="1:63" x14ac:dyDescent="0.25">
      <c r="A2" s="1"/>
      <c r="B2" s="2" t="s">
        <v>0</v>
      </c>
      <c r="C2" s="1"/>
      <c r="D2" s="1" t="s">
        <v>1</v>
      </c>
      <c r="E2" s="1"/>
      <c r="F2" s="1" t="s">
        <v>2</v>
      </c>
      <c r="G2" s="1"/>
      <c r="H2" s="1"/>
      <c r="I2" s="1" t="s">
        <v>3</v>
      </c>
      <c r="J2" s="1"/>
      <c r="K2" s="1" t="s">
        <v>4</v>
      </c>
      <c r="L2" s="1"/>
      <c r="M2" s="1" t="s">
        <v>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</row>
    <row r="3" spans="1:63" x14ac:dyDescent="0.25">
      <c r="A3" s="1"/>
      <c r="B3" s="2" t="s">
        <v>6</v>
      </c>
      <c r="C3" s="1"/>
      <c r="D3" s="1" t="s">
        <v>7</v>
      </c>
      <c r="E3" s="1"/>
      <c r="F3" s="1" t="s">
        <v>8</v>
      </c>
      <c r="G3" s="1"/>
      <c r="H3" s="1"/>
      <c r="I3" s="1" t="s">
        <v>9</v>
      </c>
      <c r="J3" s="1"/>
      <c r="K3" s="1" t="s">
        <v>10</v>
      </c>
      <c r="L3" s="1"/>
      <c r="M3" s="1" t="s">
        <v>11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pans="1:63" x14ac:dyDescent="0.25">
      <c r="A4" s="3"/>
      <c r="B4" s="4" t="s">
        <v>12</v>
      </c>
      <c r="C4" s="3"/>
      <c r="D4" s="3" t="s">
        <v>13</v>
      </c>
      <c r="E4" s="3"/>
      <c r="F4" s="3" t="s">
        <v>14</v>
      </c>
      <c r="G4" s="3"/>
      <c r="H4" s="3"/>
      <c r="I4" s="3"/>
      <c r="J4" s="3"/>
      <c r="K4" s="3"/>
      <c r="L4" s="3"/>
      <c r="M4" s="3" t="s">
        <v>15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</row>
    <row r="5" spans="1:63" x14ac:dyDescent="0.25">
      <c r="A5" s="1"/>
      <c r="B5" s="2" t="s">
        <v>16</v>
      </c>
      <c r="C5" s="1"/>
      <c r="D5" s="1" t="s">
        <v>17</v>
      </c>
      <c r="E5" s="1"/>
      <c r="F5" s="1" t="s">
        <v>18</v>
      </c>
      <c r="G5" s="1"/>
      <c r="H5" s="1"/>
      <c r="I5" s="1"/>
      <c r="J5" s="1"/>
      <c r="K5" s="1"/>
      <c r="L5" s="1"/>
      <c r="M5" s="1" t="s">
        <v>19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63" x14ac:dyDescent="0.25">
      <c r="A6" s="1"/>
      <c r="B6" s="2" t="s">
        <v>20</v>
      </c>
      <c r="C6" s="1"/>
      <c r="D6" s="1" t="s">
        <v>21</v>
      </c>
      <c r="E6" s="1"/>
      <c r="F6" s="1" t="s">
        <v>22</v>
      </c>
      <c r="G6" s="1"/>
      <c r="H6" s="1"/>
      <c r="I6" s="1"/>
      <c r="J6" s="1"/>
      <c r="K6" s="1"/>
      <c r="L6" s="1"/>
      <c r="M6" s="1" t="s">
        <v>23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</row>
    <row r="7" spans="1:63" x14ac:dyDescent="0.25">
      <c r="A7" s="1"/>
      <c r="B7" s="2" t="s">
        <v>24</v>
      </c>
      <c r="C7" s="1"/>
      <c r="D7" s="1" t="s">
        <v>25</v>
      </c>
      <c r="E7" s="1"/>
      <c r="F7" s="1" t="s">
        <v>26</v>
      </c>
      <c r="G7" s="1"/>
      <c r="H7" s="1"/>
      <c r="I7" s="1"/>
      <c r="J7" s="1"/>
      <c r="K7" s="1"/>
      <c r="L7" s="1"/>
      <c r="M7" s="1" t="s">
        <v>27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 x14ac:dyDescent="0.25">
      <c r="A8" s="1"/>
      <c r="B8" s="2" t="s">
        <v>28</v>
      </c>
      <c r="C8" s="1"/>
      <c r="D8" s="1" t="s">
        <v>29</v>
      </c>
      <c r="E8" s="1"/>
      <c r="F8" s="1" t="s">
        <v>30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 x14ac:dyDescent="0.25">
      <c r="A9" s="1"/>
      <c r="B9" s="2" t="s">
        <v>31</v>
      </c>
      <c r="C9" s="1"/>
      <c r="D9" s="1"/>
      <c r="E9" s="1"/>
      <c r="F9" s="1" t="s">
        <v>32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</row>
    <row r="10" spans="1:63" x14ac:dyDescent="0.25">
      <c r="A10" s="1"/>
      <c r="B10" s="2" t="s">
        <v>33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</row>
    <row r="11" spans="1:63" x14ac:dyDescent="0.25">
      <c r="A11" s="1"/>
      <c r="B11" s="2" t="s">
        <v>34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</row>
    <row r="12" spans="1:63" x14ac:dyDescent="0.25">
      <c r="A12" s="1"/>
      <c r="B12" s="2" t="s">
        <v>35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</row>
    <row r="13" spans="1:6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</row>
    <row r="14" spans="1:6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808" t="s">
        <v>36</v>
      </c>
      <c r="Y14" s="809"/>
      <c r="Z14" s="809"/>
      <c r="AA14" s="809"/>
      <c r="AB14" s="809"/>
      <c r="AC14" s="809"/>
      <c r="AD14" s="809"/>
      <c r="AE14" s="809"/>
      <c r="AF14" s="810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</row>
    <row r="15" spans="1:63" x14ac:dyDescent="0.25">
      <c r="A15" s="1"/>
      <c r="B15" s="808" t="s">
        <v>37</v>
      </c>
      <c r="C15" s="809"/>
      <c r="D15" s="809"/>
      <c r="E15" s="809"/>
      <c r="F15" s="809"/>
      <c r="G15" s="809"/>
      <c r="H15" s="809"/>
      <c r="I15" s="809"/>
      <c r="J15" s="810"/>
      <c r="K15" s="1"/>
      <c r="L15" s="1"/>
      <c r="M15" s="808" t="s">
        <v>38</v>
      </c>
      <c r="N15" s="809"/>
      <c r="O15" s="809"/>
      <c r="P15" s="809"/>
      <c r="Q15" s="809"/>
      <c r="R15" s="809"/>
      <c r="S15" s="809"/>
      <c r="T15" s="809"/>
      <c r="U15" s="810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808" t="s">
        <v>39</v>
      </c>
      <c r="AJ15" s="809"/>
      <c r="AK15" s="809"/>
      <c r="AL15" s="809"/>
      <c r="AM15" s="809"/>
      <c r="AN15" s="809"/>
      <c r="AO15" s="809"/>
      <c r="AP15" s="809"/>
      <c r="AQ15" s="810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</row>
    <row r="16" spans="1:6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</row>
    <row r="17" spans="1:63" x14ac:dyDescent="0.25">
      <c r="A17" s="1"/>
      <c r="B17" s="6" t="s">
        <v>40</v>
      </c>
      <c r="C17" s="6"/>
      <c r="D17" s="7"/>
      <c r="E17" s="7"/>
      <c r="F17" s="7"/>
      <c r="G17" s="7"/>
      <c r="H17" s="7"/>
      <c r="I17" s="7"/>
      <c r="J17" s="7"/>
      <c r="K17" s="1"/>
      <c r="L17" s="1"/>
      <c r="M17" s="6" t="s">
        <v>40</v>
      </c>
      <c r="N17" s="6"/>
      <c r="O17" s="7"/>
      <c r="P17" s="7"/>
      <c r="Q17" s="7"/>
      <c r="R17" s="7"/>
      <c r="S17" s="7"/>
      <c r="T17" s="7"/>
      <c r="U17" s="7"/>
      <c r="V17" s="1"/>
      <c r="W17" s="1"/>
      <c r="X17" s="6" t="s">
        <v>40</v>
      </c>
      <c r="Y17" s="6"/>
      <c r="Z17" s="7"/>
      <c r="AA17" s="7"/>
      <c r="AB17" s="7"/>
      <c r="AC17" s="7"/>
      <c r="AD17" s="7"/>
      <c r="AE17" s="7"/>
      <c r="AF17" s="7"/>
      <c r="AG17" s="1"/>
      <c r="AH17" s="1"/>
      <c r="AI17" s="6" t="s">
        <v>40</v>
      </c>
      <c r="AJ17" s="6"/>
      <c r="AK17" s="7"/>
      <c r="AL17" s="7"/>
      <c r="AM17" s="7"/>
      <c r="AN17" s="7"/>
      <c r="AO17" s="7"/>
      <c r="AP17" s="7"/>
      <c r="AQ17" s="7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</row>
    <row r="18" spans="1:63" x14ac:dyDescent="0.25">
      <c r="A18" s="1"/>
      <c r="B18" s="8" t="s">
        <v>41</v>
      </c>
      <c r="C18" s="9" t="s">
        <v>42</v>
      </c>
      <c r="D18" s="8" t="s">
        <v>43</v>
      </c>
      <c r="E18" s="8" t="s">
        <v>44</v>
      </c>
      <c r="F18" s="8" t="s">
        <v>45</v>
      </c>
      <c r="G18" s="8" t="s">
        <v>46</v>
      </c>
      <c r="H18" s="8" t="s">
        <v>47</v>
      </c>
      <c r="I18" s="8" t="s">
        <v>48</v>
      </c>
      <c r="J18" s="8" t="s">
        <v>49</v>
      </c>
      <c r="K18" s="1"/>
      <c r="L18" s="1"/>
      <c r="M18" s="8" t="s">
        <v>41</v>
      </c>
      <c r="N18" s="9" t="s">
        <v>42</v>
      </c>
      <c r="O18" s="8" t="s">
        <v>43</v>
      </c>
      <c r="P18" s="8" t="s">
        <v>44</v>
      </c>
      <c r="Q18" s="8" t="s">
        <v>45</v>
      </c>
      <c r="R18" s="8" t="s">
        <v>46</v>
      </c>
      <c r="S18" s="8" t="s">
        <v>47</v>
      </c>
      <c r="T18" s="8" t="s">
        <v>48</v>
      </c>
      <c r="U18" s="8" t="s">
        <v>49</v>
      </c>
      <c r="V18" s="1"/>
      <c r="W18" s="1"/>
      <c r="X18" s="8" t="s">
        <v>41</v>
      </c>
      <c r="Y18" s="9" t="s">
        <v>42</v>
      </c>
      <c r="Z18" s="8" t="s">
        <v>43</v>
      </c>
      <c r="AA18" s="8" t="s">
        <v>44</v>
      </c>
      <c r="AB18" s="8" t="s">
        <v>45</v>
      </c>
      <c r="AC18" s="8" t="s">
        <v>46</v>
      </c>
      <c r="AD18" s="8" t="s">
        <v>47</v>
      </c>
      <c r="AE18" s="8" t="s">
        <v>48</v>
      </c>
      <c r="AF18" s="8" t="s">
        <v>49</v>
      </c>
      <c r="AG18" s="1"/>
      <c r="AH18" s="1"/>
      <c r="AI18" s="8" t="s">
        <v>41</v>
      </c>
      <c r="AJ18" s="9" t="s">
        <v>42</v>
      </c>
      <c r="AK18" s="8" t="s">
        <v>43</v>
      </c>
      <c r="AL18" s="8" t="s">
        <v>44</v>
      </c>
      <c r="AM18" s="8" t="s">
        <v>45</v>
      </c>
      <c r="AN18" s="8" t="s">
        <v>46</v>
      </c>
      <c r="AO18" s="8" t="s">
        <v>47</v>
      </c>
      <c r="AP18" s="8" t="s">
        <v>48</v>
      </c>
      <c r="AQ18" s="8" t="s">
        <v>49</v>
      </c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</row>
    <row r="19" spans="1:63" ht="23.25" x14ac:dyDescent="0.25">
      <c r="A19" s="3"/>
      <c r="B19" s="10" t="s">
        <v>50</v>
      </c>
      <c r="C19" s="10" t="s">
        <v>51</v>
      </c>
      <c r="D19" s="10" t="s">
        <v>52</v>
      </c>
      <c r="E19" s="10" t="s">
        <v>53</v>
      </c>
      <c r="F19" s="10" t="s">
        <v>45</v>
      </c>
      <c r="G19" s="10" t="s">
        <v>54</v>
      </c>
      <c r="H19" s="10" t="s">
        <v>55</v>
      </c>
      <c r="I19" s="10" t="s">
        <v>56</v>
      </c>
      <c r="J19" s="10" t="s">
        <v>57</v>
      </c>
      <c r="K19" s="3"/>
      <c r="L19" s="3"/>
      <c r="M19" s="10" t="s">
        <v>50</v>
      </c>
      <c r="N19" s="10" t="s">
        <v>51</v>
      </c>
      <c r="O19" s="10" t="s">
        <v>52</v>
      </c>
      <c r="P19" s="10" t="s">
        <v>53</v>
      </c>
      <c r="Q19" s="10" t="s">
        <v>45</v>
      </c>
      <c r="R19" s="10" t="s">
        <v>54</v>
      </c>
      <c r="S19" s="10" t="s">
        <v>55</v>
      </c>
      <c r="T19" s="10" t="s">
        <v>56</v>
      </c>
      <c r="U19" s="10" t="s">
        <v>57</v>
      </c>
      <c r="V19" s="3"/>
      <c r="W19" s="3"/>
      <c r="X19" s="10" t="s">
        <v>50</v>
      </c>
      <c r="Y19" s="10" t="s">
        <v>51</v>
      </c>
      <c r="Z19" s="10" t="s">
        <v>52</v>
      </c>
      <c r="AA19" s="10" t="s">
        <v>53</v>
      </c>
      <c r="AB19" s="10" t="s">
        <v>45</v>
      </c>
      <c r="AC19" s="10" t="s">
        <v>54</v>
      </c>
      <c r="AD19" s="10" t="s">
        <v>55</v>
      </c>
      <c r="AE19" s="10" t="s">
        <v>56</v>
      </c>
      <c r="AF19" s="10" t="s">
        <v>57</v>
      </c>
      <c r="AG19" s="3"/>
      <c r="AH19" s="3"/>
      <c r="AI19" s="10" t="s">
        <v>50</v>
      </c>
      <c r="AJ19" s="10" t="s">
        <v>51</v>
      </c>
      <c r="AK19" s="10" t="s">
        <v>52</v>
      </c>
      <c r="AL19" s="10" t="s">
        <v>53</v>
      </c>
      <c r="AM19" s="10" t="s">
        <v>45</v>
      </c>
      <c r="AN19" s="10" t="s">
        <v>54</v>
      </c>
      <c r="AO19" s="10" t="s">
        <v>55</v>
      </c>
      <c r="AP19" s="10" t="s">
        <v>56</v>
      </c>
      <c r="AQ19" s="10" t="s">
        <v>57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</row>
    <row r="20" spans="1:63" x14ac:dyDescent="0.25">
      <c r="A20" s="1"/>
      <c r="B20" s="1" t="s">
        <v>58</v>
      </c>
      <c r="C20" s="1"/>
      <c r="D20" s="1" t="str">
        <f t="array" ref="D20:D29">+"R-"&amp;B3:B12</f>
        <v>R-CAM1</v>
      </c>
      <c r="E20" s="1" t="str">
        <f t="array" ref="E20:E29">+"Reservas de fluidos de "&amp;$B$3:$B$12</f>
        <v>Reservas de fluidos de CAM1</v>
      </c>
      <c r="F20" s="1" t="s">
        <v>59</v>
      </c>
      <c r="G20" s="1"/>
      <c r="H20" s="1"/>
      <c r="I20" s="1"/>
      <c r="J20" s="1"/>
      <c r="K20" s="1"/>
      <c r="L20" s="1"/>
      <c r="M20" s="1" t="s">
        <v>58</v>
      </c>
      <c r="N20" s="1"/>
      <c r="O20" s="1" t="str">
        <f t="array" ref="O20:O26">+F3:F9</f>
        <v>GSL</v>
      </c>
      <c r="P20" s="1" t="s">
        <v>60</v>
      </c>
      <c r="Q20" s="1" t="s">
        <v>59</v>
      </c>
      <c r="R20" s="1"/>
      <c r="S20" s="1"/>
      <c r="T20" s="1"/>
      <c r="U20" s="1"/>
      <c r="V20" s="1"/>
      <c r="W20" s="1"/>
      <c r="X20" s="1" t="s">
        <v>58</v>
      </c>
      <c r="Y20" s="1"/>
      <c r="Z20" s="1" t="str">
        <f t="array" ref="Z20:Z24">+"D"&amp;F3:F7</f>
        <v>DGSL</v>
      </c>
      <c r="AA20" s="1" t="str">
        <f t="array" ref="AA20:AA24">+"Demanda de "&amp;P20:P24</f>
        <v>Demanda de Gasolina</v>
      </c>
      <c r="AB20" s="1" t="s">
        <v>59</v>
      </c>
      <c r="AC20" s="1"/>
      <c r="AD20" s="1"/>
      <c r="AE20" s="1"/>
      <c r="AF20" s="1"/>
      <c r="AG20" s="1"/>
      <c r="AH20" s="1"/>
      <c r="AI20" s="1" t="s">
        <v>61</v>
      </c>
      <c r="AJ20" s="1"/>
      <c r="AK20" s="1" t="str">
        <f t="array" ref="AK20:AK29">+$K$3&amp;"-"&amp;B3:B12</f>
        <v>CO2e-CAM1</v>
      </c>
      <c r="AL20" s="1" t="str">
        <f t="array" ref="AL20:AL29">+"CO2eq del "&amp;B3:B12</f>
        <v>CO2eq del CAM1</v>
      </c>
      <c r="AM20" s="1" t="s">
        <v>62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</row>
    <row r="21" spans="1:63" ht="15.75" customHeight="1" x14ac:dyDescent="0.25">
      <c r="A21" s="1"/>
      <c r="B21" s="1"/>
      <c r="C21" s="1"/>
      <c r="D21" s="1" t="str">
        <v>R-CAM2</v>
      </c>
      <c r="E21" s="1" t="str">
        <v>Reservas de fluidos de CAM2</v>
      </c>
      <c r="F21" s="1" t="s">
        <v>59</v>
      </c>
      <c r="G21" s="1"/>
      <c r="H21" s="1"/>
      <c r="I21" s="1"/>
      <c r="J21" s="1"/>
      <c r="K21" s="1"/>
      <c r="L21" s="1"/>
      <c r="M21" s="1"/>
      <c r="N21" s="1"/>
      <c r="O21" s="1" t="str">
        <v>DSL</v>
      </c>
      <c r="P21" s="1" t="s">
        <v>63</v>
      </c>
      <c r="Q21" s="1" t="s">
        <v>59</v>
      </c>
      <c r="R21" s="1"/>
      <c r="S21" s="1"/>
      <c r="T21" s="1"/>
      <c r="U21" s="1"/>
      <c r="V21" s="1"/>
      <c r="W21" s="1"/>
      <c r="X21" s="1"/>
      <c r="Y21" s="1"/>
      <c r="Z21" s="1" t="str">
        <v>DDSL</v>
      </c>
      <c r="AA21" s="1" t="str">
        <v>Demanda de Diesel</v>
      </c>
      <c r="AB21" s="1" t="s">
        <v>59</v>
      </c>
      <c r="AC21" s="1"/>
      <c r="AD21" s="1"/>
      <c r="AE21" s="1"/>
      <c r="AF21" s="1"/>
      <c r="AG21" s="1"/>
      <c r="AH21" s="1"/>
      <c r="AI21" s="1"/>
      <c r="AJ21" s="1"/>
      <c r="AK21" s="1" t="str">
        <v>CO2e-CAM2</v>
      </c>
      <c r="AL21" s="1" t="str">
        <v>CO2eq del CAM2</v>
      </c>
      <c r="AM21" s="1" t="s">
        <v>62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</row>
    <row r="22" spans="1:63" ht="15.75" customHeight="1" x14ac:dyDescent="0.25">
      <c r="A22" s="1"/>
      <c r="B22" s="1"/>
      <c r="C22" s="1"/>
      <c r="D22" s="1" t="str">
        <v>R-CAM3</v>
      </c>
      <c r="E22" s="1" t="str">
        <v>Reservas de fluidos de CAM3</v>
      </c>
      <c r="F22" s="1" t="s">
        <v>59</v>
      </c>
      <c r="G22" s="1"/>
      <c r="H22" s="1"/>
      <c r="I22" s="1"/>
      <c r="J22" s="1"/>
      <c r="K22" s="1"/>
      <c r="L22" s="1"/>
      <c r="M22" s="1"/>
      <c r="N22" s="1"/>
      <c r="O22" s="1" t="str">
        <v>KER</v>
      </c>
      <c r="P22" s="1" t="s">
        <v>65</v>
      </c>
      <c r="Q22" s="1" t="s">
        <v>59</v>
      </c>
      <c r="R22" s="1"/>
      <c r="S22" s="1"/>
      <c r="T22" s="1"/>
      <c r="U22" s="1"/>
      <c r="V22" s="1"/>
      <c r="W22" s="1"/>
      <c r="X22" s="1"/>
      <c r="Y22" s="1"/>
      <c r="Z22" s="1" t="str">
        <v>DKER</v>
      </c>
      <c r="AA22" s="1" t="str">
        <v>Demanda de Keroseno-Jet</v>
      </c>
      <c r="AB22" s="1" t="s">
        <v>59</v>
      </c>
      <c r="AC22" s="1"/>
      <c r="AD22" s="1"/>
      <c r="AE22" s="1"/>
      <c r="AF22" s="1"/>
      <c r="AG22" s="1"/>
      <c r="AH22" s="1"/>
      <c r="AI22" s="1"/>
      <c r="AJ22" s="1"/>
      <c r="AK22" s="1" t="str">
        <v>CO2e-CAM3</v>
      </c>
      <c r="AL22" s="1" t="str">
        <v>CO2eq del CAM3</v>
      </c>
      <c r="AM22" s="1" t="s">
        <v>62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</row>
    <row r="23" spans="1:63" ht="15.75" customHeight="1" x14ac:dyDescent="0.25">
      <c r="A23" s="1"/>
      <c r="B23" s="1"/>
      <c r="C23" s="1"/>
      <c r="D23" s="1" t="str">
        <v>R-CAM4</v>
      </c>
      <c r="E23" s="1" t="str">
        <v>Reservas de fluidos de CAM4</v>
      </c>
      <c r="F23" s="1" t="s">
        <v>59</v>
      </c>
      <c r="G23" s="1"/>
      <c r="H23" s="1"/>
      <c r="I23" s="1"/>
      <c r="J23" s="1"/>
      <c r="K23" s="1"/>
      <c r="L23" s="1"/>
      <c r="M23" s="1"/>
      <c r="N23" s="1"/>
      <c r="O23" s="1" t="str">
        <v>LPG</v>
      </c>
      <c r="P23" s="1" t="s">
        <v>22</v>
      </c>
      <c r="Q23" s="1" t="s">
        <v>59</v>
      </c>
      <c r="R23" s="1"/>
      <c r="S23" s="1"/>
      <c r="T23" s="1"/>
      <c r="U23" s="1"/>
      <c r="V23" s="1"/>
      <c r="W23" s="1"/>
      <c r="X23" s="1"/>
      <c r="Y23" s="1"/>
      <c r="Z23" s="1" t="str">
        <v>DLPG</v>
      </c>
      <c r="AA23" s="1" t="str">
        <v>Demanda de LPG</v>
      </c>
      <c r="AB23" s="1" t="s">
        <v>59</v>
      </c>
      <c r="AC23" s="1"/>
      <c r="AD23" s="1"/>
      <c r="AE23" s="1"/>
      <c r="AF23" s="1"/>
      <c r="AG23" s="1"/>
      <c r="AH23" s="1"/>
      <c r="AI23" s="1"/>
      <c r="AJ23" s="1"/>
      <c r="AK23" s="1" t="str">
        <v>CO2e-CAM4</v>
      </c>
      <c r="AL23" s="1" t="str">
        <v>CO2eq del CAM4</v>
      </c>
      <c r="AM23" s="1" t="s">
        <v>62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</row>
    <row r="24" spans="1:63" ht="15.75" customHeight="1" x14ac:dyDescent="0.25">
      <c r="A24" s="1"/>
      <c r="B24" s="1"/>
      <c r="C24" s="1"/>
      <c r="D24" s="1" t="str">
        <v>R-CAM5</v>
      </c>
      <c r="E24" s="1" t="str">
        <v>Reservas de fluidos de CAM5</v>
      </c>
      <c r="F24" s="1" t="s">
        <v>59</v>
      </c>
      <c r="G24" s="1"/>
      <c r="H24" s="1"/>
      <c r="I24" s="1"/>
      <c r="J24" s="1"/>
      <c r="K24" s="1"/>
      <c r="L24" s="1"/>
      <c r="M24" s="1"/>
      <c r="N24" s="1"/>
      <c r="O24" s="1" t="str">
        <v>HFO</v>
      </c>
      <c r="P24" s="1" t="s">
        <v>69</v>
      </c>
      <c r="Q24" s="1" t="s">
        <v>59</v>
      </c>
      <c r="R24" s="1"/>
      <c r="S24" s="1"/>
      <c r="T24" s="1"/>
      <c r="U24" s="1"/>
      <c r="V24" s="1"/>
      <c r="W24" s="1"/>
      <c r="X24" s="1"/>
      <c r="Y24" s="1"/>
      <c r="Z24" s="1" t="str">
        <v>DHFO</v>
      </c>
      <c r="AA24" s="1" t="str">
        <v>Demanda de Combustoleo</v>
      </c>
      <c r="AB24" s="1" t="s">
        <v>59</v>
      </c>
      <c r="AC24" s="1"/>
      <c r="AD24" s="1"/>
      <c r="AE24" s="1"/>
      <c r="AF24" s="1"/>
      <c r="AG24" s="1"/>
      <c r="AH24" s="1"/>
      <c r="AI24" s="1"/>
      <c r="AJ24" s="1"/>
      <c r="AK24" s="1" t="str">
        <v>CO2e-CAM5</v>
      </c>
      <c r="AL24" s="1" t="str">
        <v>CO2eq del CAM5</v>
      </c>
      <c r="AM24" s="1" t="s">
        <v>62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</row>
    <row r="25" spans="1:63" ht="15.75" customHeight="1" x14ac:dyDescent="0.25">
      <c r="A25" s="1"/>
      <c r="B25" s="1"/>
      <c r="C25" s="1"/>
      <c r="D25" s="1" t="str">
        <v>R-CAM6</v>
      </c>
      <c r="E25" s="1" t="str">
        <v>Reservas de fluidos de CAM6</v>
      </c>
      <c r="F25" s="1" t="s">
        <v>59</v>
      </c>
      <c r="G25" s="1"/>
      <c r="H25" s="1"/>
      <c r="I25" s="1"/>
      <c r="J25" s="1"/>
      <c r="K25" s="1"/>
      <c r="L25" s="1"/>
      <c r="M25" s="1"/>
      <c r="N25" s="1"/>
      <c r="O25" s="1" t="str">
        <v>ETH</v>
      </c>
      <c r="P25" s="1" t="s">
        <v>72</v>
      </c>
      <c r="Q25" s="1" t="s">
        <v>59</v>
      </c>
      <c r="R25" s="1"/>
      <c r="S25" s="1"/>
      <c r="T25" s="1"/>
      <c r="U25" s="1"/>
      <c r="V25" s="1"/>
      <c r="W25" s="1"/>
      <c r="X25" s="1"/>
      <c r="Y25" s="1"/>
      <c r="Z25" s="1" t="str">
        <f t="array" ref="Z25:Z28">+"D"&amp;D3:D6</f>
        <v>DGAS</v>
      </c>
      <c r="AA25" s="1" t="str">
        <f t="array" ref="AA25:AA28">+"Demanda de "&amp;P27:P30</f>
        <v>Demanda de Gasolina natural</v>
      </c>
      <c r="AB25" s="1" t="s">
        <v>59</v>
      </c>
      <c r="AC25" s="1"/>
      <c r="AD25" s="1"/>
      <c r="AE25" s="1"/>
      <c r="AF25" s="1"/>
      <c r="AG25" s="1"/>
      <c r="AH25" s="1"/>
      <c r="AI25" s="1"/>
      <c r="AJ25" s="1"/>
      <c r="AK25" s="1" t="str">
        <v>CO2e-CAM6</v>
      </c>
      <c r="AL25" s="1" t="str">
        <v>CO2eq del CAM6</v>
      </c>
      <c r="AM25" s="1" t="s">
        <v>62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</row>
    <row r="26" spans="1:63" ht="15.75" customHeight="1" x14ac:dyDescent="0.25">
      <c r="A26" s="1"/>
      <c r="B26" s="1"/>
      <c r="C26" s="1"/>
      <c r="D26" s="1" t="str">
        <v>R-CAM7</v>
      </c>
      <c r="E26" s="1" t="str">
        <v>Reservas de fluidos de CAM7</v>
      </c>
      <c r="F26" s="1" t="s">
        <v>59</v>
      </c>
      <c r="G26" s="1"/>
      <c r="H26" s="1"/>
      <c r="I26" s="1"/>
      <c r="J26" s="1"/>
      <c r="K26" s="1"/>
      <c r="L26" s="1"/>
      <c r="M26" s="1"/>
      <c r="N26" s="1"/>
      <c r="O26" s="1" t="str">
        <v>BDSL</v>
      </c>
      <c r="P26" s="1" t="s">
        <v>74</v>
      </c>
      <c r="Q26" s="1" t="s">
        <v>59</v>
      </c>
      <c r="R26" s="1"/>
      <c r="S26" s="1"/>
      <c r="T26" s="1"/>
      <c r="U26" s="1"/>
      <c r="V26" s="1"/>
      <c r="W26" s="1"/>
      <c r="X26" s="1"/>
      <c r="Y26" s="1"/>
      <c r="Z26" s="1" t="str">
        <v>DLOIL</v>
      </c>
      <c r="AA26" s="1" t="str">
        <v>Demanda de Petroleo liviano</v>
      </c>
      <c r="AB26" s="1" t="s">
        <v>59</v>
      </c>
      <c r="AC26" s="1"/>
      <c r="AD26" s="1"/>
      <c r="AE26" s="1"/>
      <c r="AF26" s="1"/>
      <c r="AG26" s="1"/>
      <c r="AH26" s="1"/>
      <c r="AI26" s="1"/>
      <c r="AJ26" s="1"/>
      <c r="AK26" s="1" t="str">
        <v>CO2e-CAM7</v>
      </c>
      <c r="AL26" s="1" t="str">
        <v>CO2eq del CAM7</v>
      </c>
      <c r="AM26" s="1" t="s">
        <v>62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</row>
    <row r="27" spans="1:63" ht="15.75" customHeight="1" x14ac:dyDescent="0.25">
      <c r="A27" s="1"/>
      <c r="B27" s="1"/>
      <c r="C27" s="1"/>
      <c r="D27" s="1" t="str">
        <v>R-CAM8</v>
      </c>
      <c r="E27" s="1" t="str">
        <v>Reservas de fluidos de CAM8</v>
      </c>
      <c r="F27" s="1" t="s">
        <v>59</v>
      </c>
      <c r="G27" s="1"/>
      <c r="H27" s="1"/>
      <c r="I27" s="1"/>
      <c r="J27" s="1"/>
      <c r="K27" s="1"/>
      <c r="L27" s="1"/>
      <c r="M27" s="1"/>
      <c r="N27" s="1"/>
      <c r="O27" s="1" t="str">
        <f t="array" ref="O27:O30">+D3:D6</f>
        <v>GAS</v>
      </c>
      <c r="P27" s="1" t="s">
        <v>77</v>
      </c>
      <c r="Q27" s="1" t="s">
        <v>59</v>
      </c>
      <c r="R27" s="1"/>
      <c r="S27" s="1"/>
      <c r="T27" s="1"/>
      <c r="U27" s="1"/>
      <c r="V27" s="1"/>
      <c r="W27" s="1"/>
      <c r="X27" s="1"/>
      <c r="Y27" s="1"/>
      <c r="Z27" s="1" t="str">
        <v>DMOIL</v>
      </c>
      <c r="AA27" s="1" t="str">
        <v>Demanda de Petroleo mediano</v>
      </c>
      <c r="AB27" s="1" t="s">
        <v>59</v>
      </c>
      <c r="AC27" s="1"/>
      <c r="AD27" s="1"/>
      <c r="AE27" s="1"/>
      <c r="AF27" s="1"/>
      <c r="AG27" s="1"/>
      <c r="AH27" s="1"/>
      <c r="AI27" s="1"/>
      <c r="AJ27" s="1"/>
      <c r="AK27" s="1" t="str">
        <v>CO2e-CAM8</v>
      </c>
      <c r="AL27" s="1" t="str">
        <v>CO2eq del CAM8</v>
      </c>
      <c r="AM27" s="1" t="s">
        <v>62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</row>
    <row r="28" spans="1:63" ht="15.75" customHeight="1" x14ac:dyDescent="0.25">
      <c r="A28" s="1"/>
      <c r="B28" s="1"/>
      <c r="C28" s="1"/>
      <c r="D28" s="1" t="str">
        <v>R-CAM9</v>
      </c>
      <c r="E28" s="1" t="str">
        <v>Reservas de fluidos de CAM9</v>
      </c>
      <c r="F28" s="1" t="s">
        <v>59</v>
      </c>
      <c r="G28" s="1"/>
      <c r="H28" s="1"/>
      <c r="I28" s="1"/>
      <c r="J28" s="1"/>
      <c r="K28" s="1"/>
      <c r="L28" s="1"/>
      <c r="M28" s="1"/>
      <c r="N28" s="1"/>
      <c r="O28" s="1" t="str">
        <v>LOIL</v>
      </c>
      <c r="P28" s="1" t="s">
        <v>79</v>
      </c>
      <c r="Q28" s="1" t="s">
        <v>59</v>
      </c>
      <c r="R28" s="1"/>
      <c r="S28" s="1"/>
      <c r="T28" s="1"/>
      <c r="U28" s="1"/>
      <c r="V28" s="1"/>
      <c r="W28" s="1"/>
      <c r="X28" s="1"/>
      <c r="Y28" s="1"/>
      <c r="Z28" s="1" t="str">
        <v>DHOIL</v>
      </c>
      <c r="AA28" s="1" t="str">
        <v>Demanda de Petroleo pesado</v>
      </c>
      <c r="AB28" s="1" t="s">
        <v>59</v>
      </c>
      <c r="AC28" s="1"/>
      <c r="AD28" s="1"/>
      <c r="AE28" s="1"/>
      <c r="AF28" s="1"/>
      <c r="AG28" s="1"/>
      <c r="AH28" s="1"/>
      <c r="AI28" s="1"/>
      <c r="AJ28" s="1"/>
      <c r="AK28" s="1" t="str">
        <v>CO2e-CAM9</v>
      </c>
      <c r="AL28" s="1" t="str">
        <v>CO2eq del CAM9</v>
      </c>
      <c r="AM28" s="1" t="s">
        <v>62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</row>
    <row r="29" spans="1:63" ht="15.75" customHeight="1" x14ac:dyDescent="0.25">
      <c r="A29" s="1"/>
      <c r="B29" s="1"/>
      <c r="C29" s="1"/>
      <c r="D29" s="1" t="str">
        <v>R-CAM10</v>
      </c>
      <c r="E29" s="1" t="str">
        <v>Reservas de fluidos de CAM10</v>
      </c>
      <c r="F29" s="1" t="s">
        <v>59</v>
      </c>
      <c r="G29" s="1"/>
      <c r="H29" s="1"/>
      <c r="I29" s="1"/>
      <c r="J29" s="1"/>
      <c r="K29" s="1"/>
      <c r="L29" s="1"/>
      <c r="M29" s="1"/>
      <c r="N29" s="1"/>
      <c r="O29" s="1" t="str">
        <v>MOIL</v>
      </c>
      <c r="P29" s="1" t="s">
        <v>81</v>
      </c>
      <c r="Q29" s="1" t="s">
        <v>59</v>
      </c>
      <c r="R29" s="1"/>
      <c r="S29" s="1"/>
      <c r="T29" s="1"/>
      <c r="U29" s="1"/>
      <c r="V29" s="1"/>
      <c r="W29" s="1"/>
      <c r="X29" s="1"/>
      <c r="Y29" s="1"/>
      <c r="Z29" s="1" t="s">
        <v>82</v>
      </c>
      <c r="AA29" s="1" t="s">
        <v>83</v>
      </c>
      <c r="AB29" s="1" t="s">
        <v>59</v>
      </c>
      <c r="AC29" s="1"/>
      <c r="AD29" s="1"/>
      <c r="AE29" s="1"/>
      <c r="AF29" s="1"/>
      <c r="AG29" s="1"/>
      <c r="AH29" s="1"/>
      <c r="AI29" s="1"/>
      <c r="AJ29" s="1"/>
      <c r="AK29" s="1" t="str">
        <v>CO2e-CAM10</v>
      </c>
      <c r="AL29" s="1" t="str">
        <v>CO2eq del CAM10</v>
      </c>
      <c r="AM29" s="1" t="s">
        <v>62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</row>
    <row r="30" spans="1:63" ht="15.75" customHeight="1" x14ac:dyDescent="0.25">
      <c r="A30" s="1"/>
      <c r="B30" s="1"/>
      <c r="C30" s="1"/>
      <c r="D30" s="1" t="str">
        <f t="array" ref="D30:D39">+$D$3&amp;"-"&amp;$B$3:$B$12</f>
        <v>GAS-CAM1</v>
      </c>
      <c r="E30" s="1" t="str">
        <f t="array" ref="E30:E39">+"Gas natural producido de "&amp;$B$3:$B$12</f>
        <v>Gas natural producido de CAM1</v>
      </c>
      <c r="F30" s="1" t="s">
        <v>59</v>
      </c>
      <c r="G30" s="1"/>
      <c r="H30" s="1"/>
      <c r="I30" s="1"/>
      <c r="J30" s="1"/>
      <c r="K30" s="1"/>
      <c r="L30" s="1"/>
      <c r="M30" s="1"/>
      <c r="N30" s="1"/>
      <c r="O30" s="1" t="str">
        <v>HOIL</v>
      </c>
      <c r="P30" s="1" t="s">
        <v>84</v>
      </c>
      <c r="Q30" s="1" t="s">
        <v>59</v>
      </c>
      <c r="R30" s="1"/>
      <c r="S30" s="1"/>
      <c r="T30" s="1"/>
      <c r="U30" s="1"/>
      <c r="V30" s="1"/>
      <c r="W30" s="1"/>
      <c r="X30" s="1" t="s">
        <v>85</v>
      </c>
      <c r="Y30" s="1"/>
      <c r="Z30" s="1" t="str">
        <f t="array" ref="Z30:Z34">+"D"&amp;M3:M7</f>
        <v>DAGR</v>
      </c>
      <c r="AA30" s="1" t="s">
        <v>86</v>
      </c>
      <c r="AB30" s="1" t="s">
        <v>59</v>
      </c>
      <c r="AC30" s="1"/>
      <c r="AD30" s="1"/>
      <c r="AE30" s="1"/>
      <c r="AF30" s="1"/>
      <c r="AG30" s="1"/>
      <c r="AH30" s="1"/>
      <c r="AI30" s="1"/>
      <c r="AJ30" s="1"/>
      <c r="AK30" s="1" t="s">
        <v>87</v>
      </c>
      <c r="AL30" s="1" t="s">
        <v>88</v>
      </c>
      <c r="AM30" s="1" t="s">
        <v>62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</row>
    <row r="31" spans="1:63" ht="15.75" customHeight="1" x14ac:dyDescent="0.25">
      <c r="A31" s="1"/>
      <c r="B31" s="1"/>
      <c r="C31" s="1"/>
      <c r="D31" s="1" t="str">
        <v>GAS-CAM2</v>
      </c>
      <c r="E31" s="1" t="str">
        <v>Gas natural producido de CAM2</v>
      </c>
      <c r="F31" s="1" t="s">
        <v>59</v>
      </c>
      <c r="G31" s="1"/>
      <c r="H31" s="1"/>
      <c r="I31" s="1"/>
      <c r="J31" s="1"/>
      <c r="K31" s="1"/>
      <c r="L31" s="1"/>
      <c r="M31" s="1"/>
      <c r="N31" s="1"/>
      <c r="O31" s="1" t="s">
        <v>90</v>
      </c>
      <c r="P31" s="1" t="s">
        <v>91</v>
      </c>
      <c r="Q31" s="1" t="s">
        <v>59</v>
      </c>
      <c r="R31" s="1"/>
      <c r="S31" s="1"/>
      <c r="T31" s="1"/>
      <c r="U31" s="1"/>
      <c r="V31" s="1"/>
      <c r="W31" s="1"/>
      <c r="X31" s="1"/>
      <c r="Y31" s="1"/>
      <c r="Z31" s="1" t="str">
        <v>DTER</v>
      </c>
      <c r="AA31" s="1" t="s">
        <v>93</v>
      </c>
      <c r="AB31" s="1" t="s">
        <v>59</v>
      </c>
      <c r="AC31" s="1"/>
      <c r="AD31" s="1"/>
      <c r="AE31" s="1"/>
      <c r="AF31" s="1"/>
      <c r="AG31" s="1"/>
      <c r="AH31" s="1"/>
      <c r="AI31" s="1"/>
      <c r="AJ31" s="1"/>
      <c r="AK31" s="1" t="s">
        <v>94</v>
      </c>
      <c r="AL31" s="1" t="s">
        <v>95</v>
      </c>
      <c r="AM31" s="1" t="s">
        <v>62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</row>
    <row r="32" spans="1:63" ht="15.75" customHeight="1" x14ac:dyDescent="0.25">
      <c r="A32" s="1"/>
      <c r="B32" s="1"/>
      <c r="C32" s="1"/>
      <c r="D32" s="1" t="str">
        <v>GAS-CAM3</v>
      </c>
      <c r="E32" s="1" t="str">
        <v>Gas natural producido de CAM3</v>
      </c>
      <c r="F32" s="1" t="s">
        <v>59</v>
      </c>
      <c r="G32" s="1"/>
      <c r="H32" s="1"/>
      <c r="I32" s="1"/>
      <c r="J32" s="1"/>
      <c r="K32" s="1"/>
      <c r="L32" s="1"/>
      <c r="M32" s="1"/>
      <c r="N32" s="1"/>
      <c r="O32" s="1" t="s">
        <v>97</v>
      </c>
      <c r="P32" s="1" t="s">
        <v>98</v>
      </c>
      <c r="Q32" s="1" t="s">
        <v>59</v>
      </c>
      <c r="R32" s="1"/>
      <c r="S32" s="1"/>
      <c r="T32" s="1"/>
      <c r="U32" s="1"/>
      <c r="V32" s="1"/>
      <c r="W32" s="1"/>
      <c r="X32" s="1"/>
      <c r="Y32" s="1"/>
      <c r="Z32" s="1" t="str">
        <v>DRSD</v>
      </c>
      <c r="AA32" s="1" t="s">
        <v>100</v>
      </c>
      <c r="AB32" s="1" t="s">
        <v>59</v>
      </c>
      <c r="AC32" s="1"/>
      <c r="AD32" s="1"/>
      <c r="AE32" s="1"/>
      <c r="AF32" s="1"/>
      <c r="AG32" s="1"/>
      <c r="AH32" s="1"/>
      <c r="AI32" s="1"/>
      <c r="AJ32" s="1"/>
      <c r="AK32" s="1" t="str">
        <f t="array" ref="AK32:AK40">+"CO2e-"&amp;Z20:Z28</f>
        <v>CO2e-DGSL</v>
      </c>
      <c r="AL32" s="1" t="str">
        <f t="array" ref="AL32:AL40">+"CO2eq de "&amp;AA20:AA28</f>
        <v>CO2eq de Demanda de Gasolina</v>
      </c>
      <c r="AM32" s="1" t="s">
        <v>62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</row>
    <row r="33" spans="1:63" ht="15.75" customHeight="1" x14ac:dyDescent="0.25">
      <c r="A33" s="1"/>
      <c r="B33" s="1"/>
      <c r="C33" s="1"/>
      <c r="D33" s="1" t="str">
        <v>GAS-CAM4</v>
      </c>
      <c r="E33" s="1" t="str">
        <v>Gas natural producido de CAM4</v>
      </c>
      <c r="F33" s="1" t="s">
        <v>59</v>
      </c>
      <c r="G33" s="1"/>
      <c r="H33" s="1"/>
      <c r="I33" s="1"/>
      <c r="J33" s="1"/>
      <c r="K33" s="1"/>
      <c r="L33" s="1"/>
      <c r="M33" s="1"/>
      <c r="N33" s="1"/>
      <c r="O33" s="1" t="s">
        <v>102</v>
      </c>
      <c r="P33" s="1" t="s">
        <v>103</v>
      </c>
      <c r="Q33" s="1" t="s">
        <v>59</v>
      </c>
      <c r="R33" s="1"/>
      <c r="S33" s="1"/>
      <c r="T33" s="1"/>
      <c r="U33" s="1"/>
      <c r="V33" s="1"/>
      <c r="W33" s="1"/>
      <c r="X33" s="1"/>
      <c r="Y33" s="1"/>
      <c r="Z33" s="1" t="str">
        <v>DIND</v>
      </c>
      <c r="AA33" s="1" t="s">
        <v>105</v>
      </c>
      <c r="AB33" s="1" t="s">
        <v>59</v>
      </c>
      <c r="AC33" s="1"/>
      <c r="AD33" s="1"/>
      <c r="AE33" s="1"/>
      <c r="AF33" s="1"/>
      <c r="AG33" s="1"/>
      <c r="AH33" s="1"/>
      <c r="AI33" s="1"/>
      <c r="AJ33" s="1"/>
      <c r="AK33" s="1" t="str">
        <v>CO2e-DDSL</v>
      </c>
      <c r="AL33" s="1" t="str">
        <v>CO2eq de Demanda de Diesel</v>
      </c>
      <c r="AM33" s="1" t="s">
        <v>62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</row>
    <row r="34" spans="1:63" ht="15.75" customHeight="1" x14ac:dyDescent="0.25">
      <c r="A34" s="1"/>
      <c r="B34" s="1"/>
      <c r="C34" s="1"/>
      <c r="D34" s="1" t="str">
        <v>GAS-CAM5</v>
      </c>
      <c r="E34" s="1" t="str">
        <v>Gas natural producido de CAM5</v>
      </c>
      <c r="F34" s="1" t="s">
        <v>59</v>
      </c>
      <c r="G34" s="1"/>
      <c r="H34" s="1"/>
      <c r="I34" s="1"/>
      <c r="J34" s="1"/>
      <c r="K34" s="1"/>
      <c r="L34" s="1"/>
      <c r="M34" s="1"/>
      <c r="N34" s="1"/>
      <c r="O34" s="1" t="s">
        <v>107</v>
      </c>
      <c r="P34" s="1" t="s">
        <v>108</v>
      </c>
      <c r="Q34" s="1" t="s">
        <v>59</v>
      </c>
      <c r="R34" s="1"/>
      <c r="S34" s="1"/>
      <c r="T34" s="1"/>
      <c r="U34" s="1"/>
      <c r="V34" s="1"/>
      <c r="W34" s="1"/>
      <c r="X34" s="1"/>
      <c r="Y34" s="1"/>
      <c r="Z34" s="1" t="str">
        <v>DTRA</v>
      </c>
      <c r="AA34" s="1" t="s">
        <v>110</v>
      </c>
      <c r="AB34" s="1" t="s">
        <v>59</v>
      </c>
      <c r="AC34" s="1"/>
      <c r="AD34" s="1"/>
      <c r="AE34" s="1"/>
      <c r="AF34" s="1"/>
      <c r="AG34" s="1"/>
      <c r="AH34" s="1"/>
      <c r="AI34" s="1"/>
      <c r="AJ34" s="1"/>
      <c r="AK34" s="1" t="str">
        <v>CO2e-DKER</v>
      </c>
      <c r="AL34" s="1" t="str">
        <v>CO2eq de Demanda de Keroseno-Jet</v>
      </c>
      <c r="AM34" s="1" t="s">
        <v>62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</row>
    <row r="35" spans="1:63" ht="15.75" customHeight="1" x14ac:dyDescent="0.25">
      <c r="A35" s="1"/>
      <c r="B35" s="1"/>
      <c r="C35" s="1"/>
      <c r="D35" s="1" t="str">
        <v>GAS-CAM6</v>
      </c>
      <c r="E35" s="1" t="str">
        <v>Gas natural producido de CAM6</v>
      </c>
      <c r="F35" s="1" t="s">
        <v>59</v>
      </c>
      <c r="G35" s="1"/>
      <c r="H35" s="1"/>
      <c r="I35" s="1"/>
      <c r="J35" s="1"/>
      <c r="K35" s="1"/>
      <c r="L35" s="1"/>
      <c r="M35" s="1"/>
      <c r="N35" s="1"/>
      <c r="O35" s="1" t="s">
        <v>112</v>
      </c>
      <c r="P35" s="1" t="s">
        <v>113</v>
      </c>
      <c r="Q35" s="1" t="s">
        <v>59</v>
      </c>
      <c r="R35" s="1"/>
      <c r="S35" s="1"/>
      <c r="T35" s="1"/>
      <c r="U35" s="1"/>
      <c r="V35" s="1"/>
      <c r="W35" s="1"/>
      <c r="X35" s="1" t="s">
        <v>58</v>
      </c>
      <c r="Y35" s="1"/>
      <c r="Z35" s="1" t="s">
        <v>114</v>
      </c>
      <c r="AA35" s="1" t="s">
        <v>115</v>
      </c>
      <c r="AB35" s="1" t="s">
        <v>59</v>
      </c>
      <c r="AC35" s="1"/>
      <c r="AD35" s="1"/>
      <c r="AE35" s="1"/>
      <c r="AF35" s="1"/>
      <c r="AG35" s="1"/>
      <c r="AH35" s="1"/>
      <c r="AI35" s="1"/>
      <c r="AJ35" s="1"/>
      <c r="AK35" s="1" t="str">
        <v>CO2e-DLPG</v>
      </c>
      <c r="AL35" s="1" t="str">
        <v>CO2eq de Demanda de LPG</v>
      </c>
      <c r="AM35" s="1" t="s">
        <v>62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</row>
    <row r="36" spans="1:63" ht="15.75" customHeight="1" x14ac:dyDescent="0.25">
      <c r="A36" s="1"/>
      <c r="B36" s="1"/>
      <c r="C36" s="1"/>
      <c r="D36" s="1" t="str">
        <v>GAS-CAM7</v>
      </c>
      <c r="E36" s="1" t="str">
        <v>Gas natural producido de CAM7</v>
      </c>
      <c r="F36" s="1" t="s">
        <v>59</v>
      </c>
      <c r="G36" s="1"/>
      <c r="H36" s="1"/>
      <c r="I36" s="1"/>
      <c r="J36" s="1"/>
      <c r="K36" s="1"/>
      <c r="L36" s="1"/>
      <c r="M36" s="1"/>
      <c r="N36" s="1"/>
      <c r="O36" s="1" t="s">
        <v>117</v>
      </c>
      <c r="P36" s="1" t="s">
        <v>118</v>
      </c>
      <c r="Q36" s="1" t="s">
        <v>59</v>
      </c>
      <c r="R36" s="1"/>
      <c r="S36" s="1"/>
      <c r="T36" s="1"/>
      <c r="U36" s="1"/>
      <c r="V36" s="1"/>
      <c r="W36" s="1"/>
      <c r="X36" s="1"/>
      <c r="Y36" s="1"/>
      <c r="Z36" s="1" t="s">
        <v>119</v>
      </c>
      <c r="AA36" s="1" t="s">
        <v>120</v>
      </c>
      <c r="AB36" s="1" t="s">
        <v>59</v>
      </c>
      <c r="AC36" s="1"/>
      <c r="AD36" s="1"/>
      <c r="AE36" s="1"/>
      <c r="AF36" s="1"/>
      <c r="AG36" s="1"/>
      <c r="AH36" s="1"/>
      <c r="AI36" s="1"/>
      <c r="AJ36" s="1"/>
      <c r="AK36" s="1" t="str">
        <v>CO2e-DHFO</v>
      </c>
      <c r="AL36" s="1" t="str">
        <v>CO2eq de Demanda de Combustoleo</v>
      </c>
      <c r="AM36" s="1" t="s">
        <v>62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</row>
    <row r="37" spans="1:63" ht="15.75" customHeight="1" x14ac:dyDescent="0.25">
      <c r="A37" s="1"/>
      <c r="B37" s="1"/>
      <c r="C37" s="1"/>
      <c r="D37" s="1" t="str">
        <v>GAS-CAM8</v>
      </c>
      <c r="E37" s="1" t="str">
        <v>Gas natural producido de CAM8</v>
      </c>
      <c r="F37" s="1" t="s">
        <v>59</v>
      </c>
      <c r="G37" s="1"/>
      <c r="H37" s="1"/>
      <c r="I37" s="1"/>
      <c r="J37" s="1"/>
      <c r="K37" s="1"/>
      <c r="L37" s="1"/>
      <c r="M37" s="1"/>
      <c r="N37" s="1"/>
      <c r="O37" s="1" t="s">
        <v>121</v>
      </c>
      <c r="P37" s="1" t="s">
        <v>122</v>
      </c>
      <c r="Q37" s="1"/>
      <c r="R37" s="1"/>
      <c r="S37" s="1"/>
      <c r="T37" s="1"/>
      <c r="U37" s="1"/>
      <c r="V37" s="1"/>
      <c r="W37" s="1"/>
      <c r="X37" s="1"/>
      <c r="Y37" s="1"/>
      <c r="Z37" s="1" t="s">
        <v>123</v>
      </c>
      <c r="AA37" s="1" t="s">
        <v>124</v>
      </c>
      <c r="AB37" s="1" t="s">
        <v>59</v>
      </c>
      <c r="AC37" s="1"/>
      <c r="AD37" s="1"/>
      <c r="AE37" s="1"/>
      <c r="AF37" s="1"/>
      <c r="AG37" s="1"/>
      <c r="AH37" s="1"/>
      <c r="AI37" s="1"/>
      <c r="AJ37" s="1"/>
      <c r="AK37" s="1" t="str">
        <v>CO2e-DGAS</v>
      </c>
      <c r="AL37" s="1" t="str">
        <v>CO2eq de Demanda de Gasolina natural</v>
      </c>
      <c r="AM37" s="1" t="s">
        <v>62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</row>
    <row r="38" spans="1:63" ht="15.75" customHeight="1" x14ac:dyDescent="0.25">
      <c r="A38" s="1"/>
      <c r="B38" s="1"/>
      <c r="C38" s="1"/>
      <c r="D38" s="1" t="str">
        <v>GAS-CAM9</v>
      </c>
      <c r="E38" s="1" t="str">
        <v>Gas natural producido de CAM9</v>
      </c>
      <c r="F38" s="1" t="s">
        <v>59</v>
      </c>
      <c r="G38" s="1"/>
      <c r="H38" s="1"/>
      <c r="I38" s="1"/>
      <c r="J38" s="1"/>
      <c r="K38" s="1"/>
      <c r="L38" s="1"/>
      <c r="M38" s="1"/>
      <c r="N38" s="1"/>
      <c r="O38" s="1" t="s">
        <v>125</v>
      </c>
      <c r="P38" s="1" t="s">
        <v>126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 t="str">
        <v>CO2e-DLOIL</v>
      </c>
      <c r="AL38" s="1" t="str">
        <v>CO2eq de Demanda de Petroleo liviano</v>
      </c>
      <c r="AM38" s="1" t="s">
        <v>62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</row>
    <row r="39" spans="1:63" ht="15.75" customHeight="1" x14ac:dyDescent="0.25">
      <c r="A39" s="1"/>
      <c r="B39" s="1"/>
      <c r="C39" s="1"/>
      <c r="D39" s="1" t="str">
        <v>GAS-CAM10</v>
      </c>
      <c r="E39" s="1" t="str">
        <v>Gas natural producido de CAM10</v>
      </c>
      <c r="F39" s="1" t="s">
        <v>59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 t="str">
        <v>CO2e-DMOIL</v>
      </c>
      <c r="AL39" s="1" t="str">
        <v>CO2eq de Demanda de Petroleo mediano</v>
      </c>
      <c r="AM39" s="1" t="s">
        <v>62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</row>
    <row r="40" spans="1:63" ht="15.75" customHeight="1" x14ac:dyDescent="0.25">
      <c r="A40" s="1"/>
      <c r="B40" s="1"/>
      <c r="C40" s="1"/>
      <c r="D40" s="1" t="str">
        <f t="array" ref="D40:D49">+$D$4&amp;"-"&amp;$B$3:$B$12</f>
        <v>LOIL-CAM1</v>
      </c>
      <c r="E40" s="1" t="str">
        <f t="array" ref="E40:E49">+"Petroleo liviano producido de "&amp;$B$3:$B$12</f>
        <v>Petroleo liviano producido de CAM1</v>
      </c>
      <c r="F40" s="1" t="s">
        <v>59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 t="str">
        <v>CO2e-DHOIL</v>
      </c>
      <c r="AL40" s="1" t="str">
        <v>CO2eq de Demanda de Petroleo pesado</v>
      </c>
      <c r="AM40" s="1" t="s">
        <v>62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</row>
    <row r="41" spans="1:63" ht="15.75" customHeight="1" x14ac:dyDescent="0.25">
      <c r="A41" s="1"/>
      <c r="B41" s="1"/>
      <c r="C41" s="1"/>
      <c r="D41" s="1" t="str">
        <v>LOIL-CAM2</v>
      </c>
      <c r="E41" s="1" t="str">
        <v>Petroleo liviano producido de CAM2</v>
      </c>
      <c r="F41" s="1" t="s">
        <v>59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 t="s">
        <v>128</v>
      </c>
      <c r="AL41" s="1" t="s">
        <v>129</v>
      </c>
      <c r="AM41" s="1" t="s">
        <v>62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</row>
    <row r="42" spans="1:63" ht="15.75" customHeight="1" x14ac:dyDescent="0.25">
      <c r="A42" s="1"/>
      <c r="B42" s="1"/>
      <c r="C42" s="1"/>
      <c r="D42" s="1" t="str">
        <v>LOIL-CAM3</v>
      </c>
      <c r="E42" s="1" t="str">
        <v>Petroleo liviano producido de CAM3</v>
      </c>
      <c r="F42" s="1" t="s">
        <v>59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 t="s">
        <v>130</v>
      </c>
      <c r="AL42" s="1" t="s">
        <v>131</v>
      </c>
      <c r="AM42" s="1" t="s">
        <v>62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</row>
    <row r="43" spans="1:63" ht="15.75" customHeight="1" x14ac:dyDescent="0.25">
      <c r="A43" s="1"/>
      <c r="B43" s="1"/>
      <c r="C43" s="1"/>
      <c r="D43" s="1" t="str">
        <v>LOIL-CAM4</v>
      </c>
      <c r="E43" s="1" t="str">
        <v>Petroleo liviano producido de CAM4</v>
      </c>
      <c r="F43" s="1" t="s">
        <v>59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 t="s">
        <v>133</v>
      </c>
      <c r="AL43" s="1" t="s">
        <v>134</v>
      </c>
      <c r="AM43" s="1" t="s">
        <v>62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</row>
    <row r="44" spans="1:63" ht="15.75" customHeight="1" x14ac:dyDescent="0.25">
      <c r="A44" s="1"/>
      <c r="B44" s="1"/>
      <c r="C44" s="1"/>
      <c r="D44" s="1" t="str">
        <v>LOIL-CAM5</v>
      </c>
      <c r="E44" s="1" t="str">
        <v>Petroleo liviano producido de CAM5</v>
      </c>
      <c r="F44" s="1" t="s">
        <v>59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 t="s">
        <v>135</v>
      </c>
      <c r="AL44" s="1" t="s">
        <v>136</v>
      </c>
      <c r="AM44" s="1" t="s">
        <v>62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</row>
    <row r="45" spans="1:63" ht="15.75" customHeight="1" x14ac:dyDescent="0.25">
      <c r="A45" s="1"/>
      <c r="B45" s="1"/>
      <c r="C45" s="1"/>
      <c r="D45" s="1" t="str">
        <v>LOIL-CAM6</v>
      </c>
      <c r="E45" s="1" t="str">
        <v>Petroleo liviano producido de CAM6</v>
      </c>
      <c r="F45" s="1" t="s">
        <v>59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 t="s">
        <v>137</v>
      </c>
      <c r="AL45" s="1" t="s">
        <v>136</v>
      </c>
      <c r="AM45" s="1" t="s">
        <v>62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</row>
    <row r="46" spans="1:63" ht="15.75" customHeight="1" x14ac:dyDescent="0.25">
      <c r="A46" s="1"/>
      <c r="B46" s="1"/>
      <c r="C46" s="1"/>
      <c r="D46" s="1" t="str">
        <v>LOIL-CAM7</v>
      </c>
      <c r="E46" s="1" t="str">
        <v>Petroleo liviano producido de CAM7</v>
      </c>
      <c r="F46" s="1" t="s">
        <v>59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</row>
    <row r="47" spans="1:63" ht="15.75" customHeight="1" x14ac:dyDescent="0.25">
      <c r="A47" s="1"/>
      <c r="B47" s="1"/>
      <c r="C47" s="1"/>
      <c r="D47" s="1" t="str">
        <v>LOIL-CAM8</v>
      </c>
      <c r="E47" s="1" t="str">
        <v>Petroleo liviano producido de CAM8</v>
      </c>
      <c r="F47" s="1" t="s">
        <v>59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</row>
    <row r="48" spans="1:63" ht="15.75" customHeight="1" x14ac:dyDescent="0.25">
      <c r="A48" s="1"/>
      <c r="B48" s="1"/>
      <c r="C48" s="1"/>
      <c r="D48" s="1" t="str">
        <v>LOIL-CAM9</v>
      </c>
      <c r="E48" s="1" t="str">
        <v>Petroleo liviano producido de CAM9</v>
      </c>
      <c r="F48" s="1" t="s">
        <v>59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</row>
    <row r="49" spans="1:63" ht="15.75" customHeight="1" x14ac:dyDescent="0.25">
      <c r="A49" s="1"/>
      <c r="B49" s="1"/>
      <c r="C49" s="1"/>
      <c r="D49" s="1" t="str">
        <v>LOIL-CAM10</v>
      </c>
      <c r="E49" s="1" t="str">
        <v>Petroleo liviano producido de CAM10</v>
      </c>
      <c r="F49" s="1" t="s">
        <v>59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</row>
    <row r="50" spans="1:63" ht="15.75" customHeight="1" x14ac:dyDescent="0.25">
      <c r="A50" s="1"/>
      <c r="B50" s="1"/>
      <c r="C50" s="1"/>
      <c r="D50" s="1" t="str">
        <f t="array" ref="D50:D59">+$D$5&amp;"-"&amp;$B$3:$B$12</f>
        <v>MOIL-CAM1</v>
      </c>
      <c r="E50" s="1" t="str">
        <f t="array" ref="E50:E59">+"Petroleo mediano producido de "&amp;$B$3:$B$12</f>
        <v>Petroleo mediano producido de CAM1</v>
      </c>
      <c r="F50" s="1" t="s">
        <v>59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</row>
    <row r="51" spans="1:63" ht="15.75" customHeight="1" x14ac:dyDescent="0.25">
      <c r="A51" s="1"/>
      <c r="B51" s="1"/>
      <c r="C51" s="1"/>
      <c r="D51" s="1" t="str">
        <v>MOIL-CAM2</v>
      </c>
      <c r="E51" s="1" t="str">
        <v>Petroleo mediano producido de CAM2</v>
      </c>
      <c r="F51" s="1" t="s">
        <v>59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</row>
    <row r="52" spans="1:63" ht="15.75" customHeight="1" x14ac:dyDescent="0.25">
      <c r="A52" s="1"/>
      <c r="B52" s="1"/>
      <c r="C52" s="1"/>
      <c r="D52" s="1" t="str">
        <v>MOIL-CAM3</v>
      </c>
      <c r="E52" s="1" t="str">
        <v>Petroleo mediano producido de CAM3</v>
      </c>
      <c r="F52" s="1" t="s">
        <v>59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1:63" ht="15.75" customHeight="1" x14ac:dyDescent="0.25">
      <c r="A53" s="1"/>
      <c r="B53" s="1"/>
      <c r="C53" s="1"/>
      <c r="D53" s="1" t="str">
        <v>MOIL-CAM4</v>
      </c>
      <c r="E53" s="1" t="str">
        <v>Petroleo mediano producido de CAM4</v>
      </c>
      <c r="F53" s="1" t="s">
        <v>59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1:63" ht="15.75" customHeight="1" x14ac:dyDescent="0.25">
      <c r="A54" s="1"/>
      <c r="B54" s="1"/>
      <c r="C54" s="1"/>
      <c r="D54" s="1" t="str">
        <v>MOIL-CAM5</v>
      </c>
      <c r="E54" s="1" t="str">
        <v>Petroleo mediano producido de CAM5</v>
      </c>
      <c r="F54" s="1" t="s">
        <v>59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1:63" ht="15.75" customHeight="1" x14ac:dyDescent="0.25">
      <c r="A55" s="1"/>
      <c r="B55" s="1"/>
      <c r="C55" s="1"/>
      <c r="D55" s="1" t="str">
        <v>MOIL-CAM6</v>
      </c>
      <c r="E55" s="1" t="str">
        <v>Petroleo mediano producido de CAM6</v>
      </c>
      <c r="F55" s="1" t="s">
        <v>59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1:63" ht="15.75" customHeight="1" x14ac:dyDescent="0.25">
      <c r="A56" s="1"/>
      <c r="B56" s="1"/>
      <c r="C56" s="1"/>
      <c r="D56" s="1" t="str">
        <v>MOIL-CAM7</v>
      </c>
      <c r="E56" s="1" t="str">
        <v>Petroleo mediano producido de CAM7</v>
      </c>
      <c r="F56" s="1" t="s">
        <v>59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1:63" ht="15.75" customHeight="1" x14ac:dyDescent="0.25">
      <c r="A57" s="1"/>
      <c r="B57" s="1"/>
      <c r="C57" s="1"/>
      <c r="D57" s="1" t="str">
        <v>MOIL-CAM8</v>
      </c>
      <c r="E57" s="1" t="str">
        <v>Petroleo mediano producido de CAM8</v>
      </c>
      <c r="F57" s="1" t="s">
        <v>59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1:63" ht="15.75" customHeight="1" x14ac:dyDescent="0.25">
      <c r="A58" s="1"/>
      <c r="B58" s="1"/>
      <c r="C58" s="1"/>
      <c r="D58" s="1" t="str">
        <v>MOIL-CAM9</v>
      </c>
      <c r="E58" s="1" t="str">
        <v>Petroleo mediano producido de CAM9</v>
      </c>
      <c r="F58" s="1" t="s">
        <v>59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1:63" ht="15.75" customHeight="1" x14ac:dyDescent="0.25">
      <c r="A59" s="1"/>
      <c r="B59" s="1"/>
      <c r="C59" s="1"/>
      <c r="D59" s="1" t="str">
        <v>MOIL-CAM10</v>
      </c>
      <c r="E59" s="1" t="str">
        <v>Petroleo mediano producido de CAM10</v>
      </c>
      <c r="F59" s="1" t="s">
        <v>59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1:63" ht="15.75" customHeight="1" x14ac:dyDescent="0.25">
      <c r="A60" s="1"/>
      <c r="B60" s="1"/>
      <c r="C60" s="1"/>
      <c r="D60" s="1" t="str">
        <f t="array" ref="D60:D69">+$D$6&amp;"-"&amp;$B$3:$B$12</f>
        <v>HOIL-CAM1</v>
      </c>
      <c r="E60" s="1" t="str">
        <f t="array" ref="E60:E69">+"Petroleo pesado producido de "&amp;$B$3:$B$12</f>
        <v>Petroleo pesado producido de CAM1</v>
      </c>
      <c r="F60" s="1" t="s">
        <v>59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1:63" ht="15.75" customHeight="1" x14ac:dyDescent="0.25">
      <c r="A61" s="1"/>
      <c r="B61" s="1"/>
      <c r="C61" s="1"/>
      <c r="D61" s="1" t="str">
        <v>HOIL-CAM2</v>
      </c>
      <c r="E61" s="1" t="str">
        <v>Petroleo pesado producido de CAM2</v>
      </c>
      <c r="F61" s="1" t="s">
        <v>59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1:63" ht="15.75" customHeight="1" x14ac:dyDescent="0.25">
      <c r="A62" s="1"/>
      <c r="B62" s="1"/>
      <c r="C62" s="1"/>
      <c r="D62" s="1" t="str">
        <v>HOIL-CAM3</v>
      </c>
      <c r="E62" s="1" t="str">
        <v>Petroleo pesado producido de CAM3</v>
      </c>
      <c r="F62" s="1" t="s">
        <v>59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1:63" ht="15.75" customHeight="1" x14ac:dyDescent="0.25">
      <c r="A63" s="1"/>
      <c r="B63" s="1"/>
      <c r="C63" s="1"/>
      <c r="D63" s="1" t="str">
        <v>HOIL-CAM4</v>
      </c>
      <c r="E63" s="1" t="str">
        <v>Petroleo pesado producido de CAM4</v>
      </c>
      <c r="F63" s="1" t="s">
        <v>59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1:63" ht="15.75" customHeight="1" x14ac:dyDescent="0.25">
      <c r="A64" s="1"/>
      <c r="B64" s="1"/>
      <c r="C64" s="1"/>
      <c r="D64" s="1" t="str">
        <v>HOIL-CAM5</v>
      </c>
      <c r="E64" s="1" t="str">
        <v>Petroleo pesado producido de CAM5</v>
      </c>
      <c r="F64" s="1" t="s">
        <v>59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1:63" ht="15.75" customHeight="1" x14ac:dyDescent="0.25">
      <c r="A65" s="1"/>
      <c r="B65" s="1"/>
      <c r="C65" s="1"/>
      <c r="D65" s="1" t="str">
        <v>HOIL-CAM6</v>
      </c>
      <c r="E65" s="1" t="str">
        <v>Petroleo pesado producido de CAM6</v>
      </c>
      <c r="F65" s="1" t="s">
        <v>59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1:63" ht="15.75" customHeight="1" x14ac:dyDescent="0.25">
      <c r="A66" s="1"/>
      <c r="B66" s="1"/>
      <c r="C66" s="1"/>
      <c r="D66" s="1" t="str">
        <v>HOIL-CAM7</v>
      </c>
      <c r="E66" s="1" t="str">
        <v>Petroleo pesado producido de CAM7</v>
      </c>
      <c r="F66" s="1" t="s">
        <v>59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1:63" ht="15.75" customHeight="1" x14ac:dyDescent="0.25">
      <c r="A67" s="1"/>
      <c r="B67" s="1"/>
      <c r="C67" s="1"/>
      <c r="D67" s="1" t="str">
        <v>HOIL-CAM8</v>
      </c>
      <c r="E67" s="1" t="str">
        <v>Petroleo pesado producido de CAM8</v>
      </c>
      <c r="F67" s="1" t="s">
        <v>59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1:63" ht="15.75" customHeight="1" x14ac:dyDescent="0.25">
      <c r="A68" s="1"/>
      <c r="B68" s="1"/>
      <c r="C68" s="1"/>
      <c r="D68" s="1" t="str">
        <v>HOIL-CAM9</v>
      </c>
      <c r="E68" s="1" t="str">
        <v>Petroleo pesado producido de CAM9</v>
      </c>
      <c r="F68" s="1" t="s">
        <v>59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1:63" ht="15.75" customHeight="1" x14ac:dyDescent="0.25">
      <c r="A69" s="1"/>
      <c r="B69" s="1"/>
      <c r="C69" s="1"/>
      <c r="D69" s="1" t="str">
        <v>HOIL-CAM10</v>
      </c>
      <c r="E69" s="1" t="str">
        <v>Petroleo pesado producido de CAM10</v>
      </c>
      <c r="F69" s="1" t="s">
        <v>59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1:63" ht="15.75" customHeight="1" x14ac:dyDescent="0.25">
      <c r="A70" s="1"/>
      <c r="B70" s="1"/>
      <c r="C70" s="1"/>
      <c r="D70" s="1" t="str">
        <f t="array" ref="D70:D79">+$D$8&amp;"-"&amp;$B$3:$B$12</f>
        <v>GAS-plt-CAM1</v>
      </c>
      <c r="E70" s="1" t="str">
        <f t="array" ref="E70:E79">+"Gas natural rementen de planta de "&amp;$B$3:$B$12</f>
        <v>Gas natural rementen de planta de CAM1</v>
      </c>
      <c r="F70" s="1" t="s">
        <v>59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1:63" ht="15.75" customHeight="1" x14ac:dyDescent="0.25">
      <c r="A71" s="1"/>
      <c r="B71" s="1"/>
      <c r="C71" s="1"/>
      <c r="D71" s="1" t="str">
        <v>GAS-plt-CAM2</v>
      </c>
      <c r="E71" s="1" t="str">
        <v>Gas natural rementen de planta de CAM2</v>
      </c>
      <c r="F71" s="1" t="s">
        <v>59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1:63" ht="15.75" customHeight="1" x14ac:dyDescent="0.25">
      <c r="A72" s="1"/>
      <c r="B72" s="1"/>
      <c r="C72" s="1"/>
      <c r="D72" s="1" t="str">
        <v>GAS-plt-CAM3</v>
      </c>
      <c r="E72" s="1" t="str">
        <v>Gas natural rementen de planta de CAM3</v>
      </c>
      <c r="F72" s="1" t="s">
        <v>59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1:63" ht="15.75" customHeight="1" x14ac:dyDescent="0.25">
      <c r="A73" s="1"/>
      <c r="B73" s="1"/>
      <c r="C73" s="1"/>
      <c r="D73" s="1" t="str">
        <v>GAS-plt-CAM4</v>
      </c>
      <c r="E73" s="1" t="str">
        <v>Gas natural rementen de planta de CAM4</v>
      </c>
      <c r="F73" s="1" t="s">
        <v>59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1:63" ht="15.75" customHeight="1" x14ac:dyDescent="0.25">
      <c r="A74" s="1"/>
      <c r="B74" s="1"/>
      <c r="C74" s="1"/>
      <c r="D74" s="1" t="str">
        <v>GAS-plt-CAM5</v>
      </c>
      <c r="E74" s="1" t="str">
        <v>Gas natural rementen de planta de CAM5</v>
      </c>
      <c r="F74" s="1" t="s">
        <v>59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1:63" ht="15.75" customHeight="1" x14ac:dyDescent="0.25">
      <c r="A75" s="1"/>
      <c r="B75" s="1"/>
      <c r="C75" s="1"/>
      <c r="D75" s="1" t="str">
        <v>GAS-plt-CAM6</v>
      </c>
      <c r="E75" s="1" t="str">
        <v>Gas natural rementen de planta de CAM6</v>
      </c>
      <c r="F75" s="1" t="s">
        <v>59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1:63" ht="15.75" customHeight="1" x14ac:dyDescent="0.25">
      <c r="A76" s="1"/>
      <c r="B76" s="1"/>
      <c r="C76" s="1"/>
      <c r="D76" s="1" t="str">
        <v>GAS-plt-CAM7</v>
      </c>
      <c r="E76" s="1" t="str">
        <v>Gas natural rementen de planta de CAM7</v>
      </c>
      <c r="F76" s="1" t="s">
        <v>59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1:63" ht="15.75" customHeight="1" x14ac:dyDescent="0.25">
      <c r="A77" s="1"/>
      <c r="B77" s="1"/>
      <c r="C77" s="1"/>
      <c r="D77" s="1" t="str">
        <v>GAS-plt-CAM8</v>
      </c>
      <c r="E77" s="1" t="str">
        <v>Gas natural rementen de planta de CAM8</v>
      </c>
      <c r="F77" s="1" t="s">
        <v>59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1:63" ht="15.75" customHeight="1" x14ac:dyDescent="0.25">
      <c r="A78" s="1"/>
      <c r="B78" s="1"/>
      <c r="C78" s="1"/>
      <c r="D78" s="1" t="str">
        <v>GAS-plt-CAM9</v>
      </c>
      <c r="E78" s="1" t="str">
        <v>Gas natural rementen de planta de CAM9</v>
      </c>
      <c r="F78" s="1" t="s">
        <v>59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1:63" ht="15.75" customHeight="1" x14ac:dyDescent="0.25">
      <c r="A79" s="1"/>
      <c r="B79" s="1"/>
      <c r="C79" s="1"/>
      <c r="D79" s="1" t="str">
        <v>GAS-plt-CAM10</v>
      </c>
      <c r="E79" s="1" t="str">
        <v>Gas natural rementen de planta de CAM10</v>
      </c>
      <c r="F79" s="1" t="s">
        <v>59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1:63" ht="15.75" customHeight="1" x14ac:dyDescent="0.25">
      <c r="A80" s="1"/>
      <c r="B80" s="1"/>
      <c r="C80" s="1"/>
      <c r="D80" s="1" t="str">
        <f t="array" ref="D80:D89">+"FLU-"&amp;B3:B12</f>
        <v>FLU-CAM1</v>
      </c>
      <c r="E80" s="1" t="s">
        <v>147</v>
      </c>
      <c r="F80" s="1" t="s">
        <v>59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1:63" ht="15.75" customHeight="1" x14ac:dyDescent="0.25">
      <c r="A81" s="1"/>
      <c r="B81" s="1"/>
      <c r="C81" s="1"/>
      <c r="D81" s="1" t="str">
        <v>FLU-CAM2</v>
      </c>
      <c r="E81" s="1" t="s">
        <v>148</v>
      </c>
      <c r="F81" s="1" t="s">
        <v>59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1:63" ht="15.75" customHeight="1" x14ac:dyDescent="0.25">
      <c r="A82" s="1"/>
      <c r="B82" s="1"/>
      <c r="C82" s="1"/>
      <c r="D82" s="1" t="str">
        <v>FLU-CAM3</v>
      </c>
      <c r="E82" s="1" t="s">
        <v>149</v>
      </c>
      <c r="F82" s="1" t="s">
        <v>59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1:63" ht="15.75" customHeight="1" x14ac:dyDescent="0.25">
      <c r="A83" s="1"/>
      <c r="B83" s="1"/>
      <c r="C83" s="1"/>
      <c r="D83" s="1" t="str">
        <v>FLU-CAM4</v>
      </c>
      <c r="E83" s="1" t="s">
        <v>150</v>
      </c>
      <c r="F83" s="1" t="s">
        <v>59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1:63" ht="15.75" customHeight="1" x14ac:dyDescent="0.25">
      <c r="A84" s="1"/>
      <c r="B84" s="1"/>
      <c r="C84" s="1"/>
      <c r="D84" s="1" t="str">
        <v>FLU-CAM5</v>
      </c>
      <c r="E84" s="1" t="s">
        <v>151</v>
      </c>
      <c r="F84" s="1" t="s">
        <v>59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spans="1:63" ht="15.75" customHeight="1" x14ac:dyDescent="0.25">
      <c r="A85" s="1"/>
      <c r="B85" s="1"/>
      <c r="C85" s="1"/>
      <c r="D85" s="1" t="str">
        <v>FLU-CAM6</v>
      </c>
      <c r="E85" s="1" t="s">
        <v>152</v>
      </c>
      <c r="F85" s="1" t="s">
        <v>59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</row>
    <row r="86" spans="1:63" ht="15.75" customHeight="1" x14ac:dyDescent="0.25">
      <c r="A86" s="1"/>
      <c r="B86" s="1"/>
      <c r="C86" s="1"/>
      <c r="D86" s="1" t="str">
        <v>FLU-CAM7</v>
      </c>
      <c r="E86" s="1" t="s">
        <v>153</v>
      </c>
      <c r="F86" s="1" t="s">
        <v>59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</row>
    <row r="87" spans="1:63" ht="15.75" customHeight="1" x14ac:dyDescent="0.25">
      <c r="A87" s="1"/>
      <c r="B87" s="1"/>
      <c r="C87" s="1"/>
      <c r="D87" s="1" t="str">
        <v>FLU-CAM8</v>
      </c>
      <c r="E87" s="1" t="s">
        <v>154</v>
      </c>
      <c r="F87" s="1" t="s">
        <v>59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</row>
    <row r="88" spans="1:63" ht="15.75" customHeight="1" x14ac:dyDescent="0.25">
      <c r="A88" s="1"/>
      <c r="B88" s="1"/>
      <c r="C88" s="1"/>
      <c r="D88" s="1" t="str">
        <v>FLU-CAM9</v>
      </c>
      <c r="E88" s="1" t="s">
        <v>155</v>
      </c>
      <c r="F88" s="1" t="s">
        <v>59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</row>
    <row r="89" spans="1:63" ht="15.75" customHeight="1" x14ac:dyDescent="0.25">
      <c r="A89" s="1"/>
      <c r="B89" s="1"/>
      <c r="C89" s="1"/>
      <c r="D89" s="1" t="str">
        <v>FLU-CAM10</v>
      </c>
      <c r="E89" s="1" t="s">
        <v>156</v>
      </c>
      <c r="F89" s="1" t="s">
        <v>59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</row>
    <row r="90" spans="1:63" ht="15.75" customHeight="1" x14ac:dyDescent="0.25">
      <c r="A90" s="1"/>
      <c r="B90" s="1"/>
      <c r="C90" s="1"/>
      <c r="D90" s="1" t="s">
        <v>157</v>
      </c>
      <c r="E90" s="1" t="s">
        <v>158</v>
      </c>
      <c r="F90" s="1" t="s">
        <v>59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</row>
    <row r="91" spans="1:63" ht="15.75" customHeight="1" x14ac:dyDescent="0.25">
      <c r="A91" s="1"/>
      <c r="B91" s="1"/>
      <c r="C91" s="1"/>
      <c r="D91" s="1" t="s">
        <v>159</v>
      </c>
      <c r="E91" s="1" t="s">
        <v>160</v>
      </c>
      <c r="F91" s="1" t="s">
        <v>59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</row>
    <row r="92" spans="1:63" ht="15.75" customHeight="1" x14ac:dyDescent="0.25">
      <c r="A92" s="1"/>
      <c r="B92" s="1"/>
      <c r="C92" s="1"/>
      <c r="D92" s="1" t="s">
        <v>161</v>
      </c>
      <c r="E92" s="1" t="s">
        <v>162</v>
      </c>
      <c r="F92" s="1" t="s">
        <v>59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</row>
    <row r="93" spans="1:63" ht="15.75" customHeight="1" x14ac:dyDescent="0.25">
      <c r="A93" s="1"/>
      <c r="B93" s="1"/>
      <c r="C93" s="1"/>
      <c r="D93" s="1" t="s">
        <v>163</v>
      </c>
      <c r="E93" s="1" t="s">
        <v>164</v>
      </c>
      <c r="F93" s="1" t="s">
        <v>59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</row>
    <row r="94" spans="1:63" ht="15.75" customHeight="1" x14ac:dyDescent="0.25">
      <c r="A94" s="1"/>
      <c r="B94" s="1"/>
      <c r="C94" s="1"/>
      <c r="D94" s="1" t="s">
        <v>165</v>
      </c>
      <c r="E94" s="1" t="s">
        <v>166</v>
      </c>
      <c r="F94" s="1" t="s">
        <v>59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</row>
    <row r="95" spans="1:63" ht="15.75" customHeight="1" x14ac:dyDescent="0.25">
      <c r="A95" s="1"/>
      <c r="B95" s="1"/>
      <c r="C95" s="1"/>
      <c r="D95" s="1" t="s">
        <v>167</v>
      </c>
      <c r="E95" s="1" t="s">
        <v>168</v>
      </c>
      <c r="F95" s="1" t="s">
        <v>59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</row>
    <row r="96" spans="1:63" ht="15.75" customHeight="1" x14ac:dyDescent="0.25">
      <c r="A96" s="1"/>
      <c r="B96" s="1"/>
      <c r="C96" s="1"/>
      <c r="D96" s="1" t="s">
        <v>169</v>
      </c>
      <c r="E96" s="1" t="s">
        <v>170</v>
      </c>
      <c r="F96" s="1" t="s">
        <v>59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</row>
    <row r="97" spans="1:63" ht="15.75" customHeight="1" x14ac:dyDescent="0.25">
      <c r="A97" s="1"/>
      <c r="B97" s="1"/>
      <c r="C97" s="1"/>
      <c r="D97" s="1" t="s">
        <v>171</v>
      </c>
      <c r="E97" s="1" t="s">
        <v>172</v>
      </c>
      <c r="F97" s="1" t="s">
        <v>59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</row>
    <row r="98" spans="1:63" ht="15.75" customHeight="1" x14ac:dyDescent="0.25">
      <c r="A98" s="1"/>
      <c r="B98" s="1"/>
      <c r="C98" s="1"/>
      <c r="D98" s="1" t="s">
        <v>173</v>
      </c>
      <c r="E98" s="1" t="s">
        <v>174</v>
      </c>
      <c r="F98" s="1" t="s">
        <v>59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</row>
    <row r="99" spans="1:63" ht="15.75" customHeight="1" x14ac:dyDescent="0.25">
      <c r="A99" s="1"/>
      <c r="B99" s="1"/>
      <c r="C99" s="1"/>
      <c r="D99" s="1" t="s">
        <v>175</v>
      </c>
      <c r="E99" s="1" t="s">
        <v>176</v>
      </c>
      <c r="F99" s="1" t="s">
        <v>59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</row>
    <row r="100" spans="1:63" ht="15.75" customHeight="1" x14ac:dyDescent="0.25">
      <c r="A100" s="1"/>
      <c r="B100" s="1"/>
      <c r="C100" s="1"/>
      <c r="D100" s="1" t="s">
        <v>177</v>
      </c>
      <c r="E100" s="1" t="s">
        <v>178</v>
      </c>
      <c r="F100" s="1" t="s">
        <v>59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</row>
    <row r="101" spans="1:63" ht="15.75" customHeight="1" x14ac:dyDescent="0.25">
      <c r="A101" s="1"/>
      <c r="B101" s="1"/>
      <c r="C101" s="1"/>
      <c r="D101" s="1" t="s">
        <v>179</v>
      </c>
      <c r="E101" s="1" t="s">
        <v>180</v>
      </c>
      <c r="F101" s="1" t="s">
        <v>59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</row>
    <row r="102" spans="1:63" ht="15.75" customHeight="1" x14ac:dyDescent="0.25">
      <c r="A102" s="1"/>
      <c r="B102" s="1"/>
      <c r="C102" s="1"/>
      <c r="D102" s="1" t="s">
        <v>181</v>
      </c>
      <c r="E102" s="1" t="s">
        <v>182</v>
      </c>
      <c r="F102" s="1" t="s">
        <v>59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</row>
    <row r="103" spans="1:63" ht="15.75" customHeight="1" x14ac:dyDescent="0.25">
      <c r="A103" s="1"/>
      <c r="B103" s="1"/>
      <c r="C103" s="1"/>
      <c r="D103" s="1" t="s">
        <v>183</v>
      </c>
      <c r="E103" s="1" t="s">
        <v>184</v>
      </c>
      <c r="F103" s="1" t="s">
        <v>59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</row>
    <row r="104" spans="1:63" ht="15.75" customHeight="1" x14ac:dyDescent="0.25">
      <c r="A104" s="1"/>
      <c r="B104" s="1"/>
      <c r="C104" s="1"/>
      <c r="D104" s="1" t="s">
        <v>185</v>
      </c>
      <c r="E104" s="1" t="s">
        <v>186</v>
      </c>
      <c r="F104" s="1" t="s">
        <v>59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</row>
    <row r="105" spans="1:63" ht="15.75" customHeight="1" x14ac:dyDescent="0.25">
      <c r="A105" s="1"/>
      <c r="B105" s="1"/>
      <c r="C105" s="1"/>
      <c r="D105" s="1" t="s">
        <v>187</v>
      </c>
      <c r="E105" s="1" t="s">
        <v>188</v>
      </c>
      <c r="F105" s="1" t="s">
        <v>59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</row>
    <row r="106" spans="1:63" ht="15.75" customHeight="1" x14ac:dyDescent="0.25">
      <c r="A106" s="1"/>
      <c r="B106" s="1"/>
      <c r="C106" s="1"/>
      <c r="D106" s="1" t="s">
        <v>189</v>
      </c>
      <c r="E106" s="1" t="s">
        <v>190</v>
      </c>
      <c r="F106" s="1" t="s">
        <v>59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</row>
    <row r="107" spans="1:63" ht="15.75" customHeight="1" x14ac:dyDescent="0.25">
      <c r="A107" s="1"/>
      <c r="B107" s="1"/>
      <c r="C107" s="1"/>
      <c r="D107" s="1" t="s">
        <v>191</v>
      </c>
      <c r="E107" s="1" t="s">
        <v>192</v>
      </c>
      <c r="F107" s="1" t="s">
        <v>59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</row>
    <row r="108" spans="1:63" ht="15.75" customHeight="1" x14ac:dyDescent="0.25">
      <c r="A108" s="1"/>
      <c r="B108" s="1"/>
      <c r="C108" s="1"/>
      <c r="D108" s="1" t="s">
        <v>193</v>
      </c>
      <c r="E108" s="1" t="s">
        <v>194</v>
      </c>
      <c r="F108" s="1" t="s">
        <v>59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spans="1:63" ht="15.75" customHeight="1" x14ac:dyDescent="0.25">
      <c r="A109" s="1"/>
      <c r="B109" s="1"/>
      <c r="C109" s="1"/>
      <c r="D109" s="1" t="s">
        <v>195</v>
      </c>
      <c r="E109" s="1" t="s">
        <v>196</v>
      </c>
      <c r="F109" s="1" t="s">
        <v>59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1:63" ht="15.75" customHeight="1" x14ac:dyDescent="0.25">
      <c r="A110" s="1"/>
      <c r="B110" s="1"/>
      <c r="C110" s="1"/>
      <c r="D110" s="1" t="s">
        <v>197</v>
      </c>
      <c r="E110" s="1" t="s">
        <v>198</v>
      </c>
      <c r="F110" s="1" t="s">
        <v>59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1:63" ht="15.75" customHeight="1" x14ac:dyDescent="0.25">
      <c r="A111" s="1"/>
      <c r="B111" s="1"/>
      <c r="C111" s="1"/>
      <c r="D111" s="1" t="s">
        <v>199</v>
      </c>
      <c r="E111" s="1" t="s">
        <v>200</v>
      </c>
      <c r="F111" s="1" t="s">
        <v>59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1:63" ht="15.75" customHeight="1" x14ac:dyDescent="0.25">
      <c r="A112" s="1"/>
      <c r="B112" s="1"/>
      <c r="C112" s="1"/>
      <c r="D112" s="1" t="s">
        <v>201</v>
      </c>
      <c r="E112" s="1" t="s">
        <v>202</v>
      </c>
      <c r="F112" s="1" t="s">
        <v>59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1:63" ht="15.75" customHeight="1" x14ac:dyDescent="0.25">
      <c r="A113" s="1"/>
      <c r="B113" s="1"/>
      <c r="C113" s="1"/>
      <c r="D113" s="1" t="s">
        <v>203</v>
      </c>
      <c r="E113" s="1" t="s">
        <v>204</v>
      </c>
      <c r="F113" s="1" t="s">
        <v>59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1:63" ht="15.75" customHeight="1" x14ac:dyDescent="0.25">
      <c r="A114" s="1"/>
      <c r="B114" s="1"/>
      <c r="C114" s="1"/>
      <c r="D114" s="1" t="s">
        <v>205</v>
      </c>
      <c r="E114" s="1" t="s">
        <v>206</v>
      </c>
      <c r="F114" s="1" t="s">
        <v>59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1:63" ht="15.75" customHeight="1" x14ac:dyDescent="0.25">
      <c r="A115" s="1"/>
      <c r="B115" s="1"/>
      <c r="C115" s="1"/>
      <c r="D115" s="1" t="s">
        <v>207</v>
      </c>
      <c r="E115" s="1" t="s">
        <v>208</v>
      </c>
      <c r="F115" s="1" t="s">
        <v>59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1:63" ht="15.75" customHeight="1" x14ac:dyDescent="0.25">
      <c r="A116" s="1"/>
      <c r="B116" s="1"/>
      <c r="C116" s="1"/>
      <c r="D116" s="1" t="s">
        <v>209</v>
      </c>
      <c r="E116" s="1" t="s">
        <v>210</v>
      </c>
      <c r="F116" s="1" t="s">
        <v>59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1:63" ht="15.75" customHeight="1" x14ac:dyDescent="0.25">
      <c r="A117" s="1"/>
      <c r="B117" s="1"/>
      <c r="C117" s="1"/>
      <c r="D117" s="1" t="s">
        <v>211</v>
      </c>
      <c r="E117" s="1" t="s">
        <v>212</v>
      </c>
      <c r="F117" s="1" t="s">
        <v>59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1:63" ht="15.75" customHeight="1" x14ac:dyDescent="0.25">
      <c r="A118" s="1"/>
      <c r="B118" s="1"/>
      <c r="C118" s="1"/>
      <c r="D118" s="1" t="s">
        <v>213</v>
      </c>
      <c r="E118" s="1" t="s">
        <v>214</v>
      </c>
      <c r="F118" s="1" t="s">
        <v>59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1:63" ht="15.75" customHeight="1" x14ac:dyDescent="0.25">
      <c r="A119" s="1"/>
      <c r="B119" s="1"/>
      <c r="C119" s="1"/>
      <c r="D119" s="1" t="s">
        <v>215</v>
      </c>
      <c r="E119" s="1" t="s">
        <v>216</v>
      </c>
      <c r="F119" s="1" t="s">
        <v>59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1:63" ht="15.75" customHeight="1" x14ac:dyDescent="0.25">
      <c r="A120" s="1"/>
      <c r="B120" s="1"/>
      <c r="C120" s="1"/>
      <c r="D120" s="1" t="s">
        <v>217</v>
      </c>
      <c r="E120" s="1" t="s">
        <v>218</v>
      </c>
      <c r="F120" s="1" t="s">
        <v>59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1:63" ht="15.75" customHeight="1" x14ac:dyDescent="0.25">
      <c r="A121" s="1"/>
      <c r="B121" s="1"/>
      <c r="C121" s="1"/>
      <c r="D121" s="1" t="s">
        <v>219</v>
      </c>
      <c r="E121" s="1" t="s">
        <v>220</v>
      </c>
      <c r="F121" s="1" t="s">
        <v>59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1:63" ht="15.75" customHeight="1" x14ac:dyDescent="0.25">
      <c r="A122" s="1"/>
      <c r="B122" s="1"/>
      <c r="C122" s="1"/>
      <c r="D122" s="1" t="s">
        <v>221</v>
      </c>
      <c r="E122" s="1" t="s">
        <v>222</v>
      </c>
      <c r="F122" s="1" t="s">
        <v>59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1:63" ht="15.75" customHeight="1" x14ac:dyDescent="0.25">
      <c r="A123" s="1"/>
      <c r="B123" s="1"/>
      <c r="C123" s="1"/>
      <c r="D123" s="1" t="s">
        <v>223</v>
      </c>
      <c r="E123" s="1" t="s">
        <v>224</v>
      </c>
      <c r="F123" s="1" t="s">
        <v>59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1:63" ht="15.75" customHeight="1" x14ac:dyDescent="0.25">
      <c r="A124" s="1"/>
      <c r="B124" s="1"/>
      <c r="C124" s="1"/>
      <c r="D124" s="1" t="s">
        <v>225</v>
      </c>
      <c r="E124" s="1" t="s">
        <v>226</v>
      </c>
      <c r="F124" s="1" t="s">
        <v>59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1:63" ht="15.75" customHeight="1" x14ac:dyDescent="0.25">
      <c r="A125" s="1"/>
      <c r="B125" s="1"/>
      <c r="C125" s="1"/>
      <c r="D125" s="1" t="s">
        <v>227</v>
      </c>
      <c r="E125" s="1" t="s">
        <v>228</v>
      </c>
      <c r="F125" s="1" t="s">
        <v>59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1:63" ht="15.75" customHeight="1" x14ac:dyDescent="0.25">
      <c r="A126" s="1"/>
      <c r="B126" s="1"/>
      <c r="C126" s="1"/>
      <c r="D126" s="1" t="s">
        <v>229</v>
      </c>
      <c r="E126" s="1" t="s">
        <v>230</v>
      </c>
      <c r="F126" s="1" t="s">
        <v>59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1:63" ht="15.75" customHeight="1" x14ac:dyDescent="0.25">
      <c r="A127" s="1"/>
      <c r="B127" s="1"/>
      <c r="C127" s="1"/>
      <c r="D127" s="1" t="s">
        <v>231</v>
      </c>
      <c r="E127" s="1" t="s">
        <v>232</v>
      </c>
      <c r="F127" s="1" t="s">
        <v>59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1:63" ht="15.75" customHeight="1" x14ac:dyDescent="0.25">
      <c r="A128" s="1"/>
      <c r="B128" s="1"/>
      <c r="C128" s="1"/>
      <c r="D128" s="1" t="str">
        <f t="array" ref="D128:D134">+"FUEL-DSL-"&amp;B3:B9</f>
        <v>FUEL-DSL-CAM1</v>
      </c>
      <c r="E128" s="1" t="s">
        <v>233</v>
      </c>
      <c r="F128" s="1" t="s">
        <v>59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1:63" ht="15.75" customHeight="1" x14ac:dyDescent="0.25">
      <c r="A129" s="1"/>
      <c r="B129" s="1"/>
      <c r="C129" s="1"/>
      <c r="D129" s="1" t="str">
        <v>FUEL-DSL-CAM2</v>
      </c>
      <c r="E129" s="1" t="s">
        <v>234</v>
      </c>
      <c r="F129" s="1" t="s">
        <v>59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1:63" ht="15.75" customHeight="1" x14ac:dyDescent="0.25">
      <c r="A130" s="1"/>
      <c r="B130" s="1"/>
      <c r="C130" s="1"/>
      <c r="D130" s="1" t="str">
        <v>FUEL-DSL-CAM3</v>
      </c>
      <c r="E130" s="1" t="s">
        <v>235</v>
      </c>
      <c r="F130" s="1" t="s">
        <v>59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1:63" ht="15.75" customHeight="1" x14ac:dyDescent="0.25">
      <c r="A131" s="1"/>
      <c r="B131" s="1"/>
      <c r="C131" s="1"/>
      <c r="D131" s="1" t="str">
        <v>FUEL-DSL-CAM4</v>
      </c>
      <c r="E131" s="1" t="s">
        <v>236</v>
      </c>
      <c r="F131" s="1" t="s">
        <v>59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1:63" ht="15.75" customHeight="1" x14ac:dyDescent="0.25">
      <c r="A132" s="1"/>
      <c r="B132" s="1"/>
      <c r="C132" s="1"/>
      <c r="D132" s="1" t="str">
        <v>FUEL-DSL-CAM5</v>
      </c>
      <c r="E132" s="1" t="s">
        <v>237</v>
      </c>
      <c r="F132" s="1" t="s">
        <v>59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1:63" ht="15.75" customHeight="1" x14ac:dyDescent="0.25">
      <c r="A133" s="1"/>
      <c r="B133" s="1"/>
      <c r="C133" s="1"/>
      <c r="D133" s="1" t="str">
        <v>FUEL-DSL-CAM6</v>
      </c>
      <c r="E133" s="1" t="s">
        <v>238</v>
      </c>
      <c r="F133" s="1" t="s">
        <v>59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1:63" ht="15.75" customHeight="1" x14ac:dyDescent="0.25">
      <c r="A134" s="1"/>
      <c r="B134" s="1"/>
      <c r="C134" s="1"/>
      <c r="D134" s="1" t="str">
        <v>FUEL-DSL-CAM7</v>
      </c>
      <c r="E134" s="1" t="s">
        <v>239</v>
      </c>
      <c r="F134" s="1" t="s">
        <v>59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1:63" ht="15.75" customHeight="1" x14ac:dyDescent="0.25">
      <c r="A135" s="1"/>
      <c r="B135" s="1"/>
      <c r="C135" s="1"/>
      <c r="D135" s="1" t="s">
        <v>240</v>
      </c>
      <c r="E135" s="1" t="s">
        <v>241</v>
      </c>
      <c r="F135" s="1" t="s">
        <v>59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1:63" ht="15.75" customHeight="1" x14ac:dyDescent="0.25">
      <c r="A136" s="1"/>
      <c r="B136" s="1"/>
      <c r="C136" s="1"/>
      <c r="D136" s="1" t="str">
        <f>+'1. EXP_IMP'!J51</f>
        <v>ELC-SIN</v>
      </c>
      <c r="E136" s="1" t="s">
        <v>242</v>
      </c>
      <c r="F136" s="1" t="s">
        <v>59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1:63" ht="15.75" customHeight="1" x14ac:dyDescent="0.25">
      <c r="A137" s="1"/>
      <c r="B137" s="1"/>
      <c r="C137" s="1"/>
      <c r="D137" s="1" t="s">
        <v>243</v>
      </c>
      <c r="E137" s="1" t="s">
        <v>244</v>
      </c>
      <c r="F137" s="1" t="s">
        <v>59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1:63" ht="15.75" customHeight="1" x14ac:dyDescent="0.25">
      <c r="A138" s="1"/>
      <c r="B138" s="1"/>
      <c r="C138" s="1"/>
      <c r="D138" s="1" t="s">
        <v>245</v>
      </c>
      <c r="E138" s="1" t="s">
        <v>246</v>
      </c>
      <c r="F138" s="1" t="s">
        <v>59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1:63" ht="15.75" customHeight="1" x14ac:dyDescent="0.25">
      <c r="A139" s="1"/>
      <c r="B139" s="1"/>
      <c r="C139" s="1"/>
      <c r="D139" s="1" t="s">
        <v>247</v>
      </c>
      <c r="E139" s="1" t="s">
        <v>248</v>
      </c>
      <c r="F139" s="1" t="s">
        <v>59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1:63" ht="15.75" customHeight="1" x14ac:dyDescent="0.25">
      <c r="A140" s="1"/>
      <c r="B140" s="1"/>
      <c r="C140" s="1"/>
      <c r="D140" s="1" t="s">
        <v>249</v>
      </c>
      <c r="E140" s="1" t="s">
        <v>250</v>
      </c>
      <c r="F140" s="1" t="s">
        <v>59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1:63" ht="15.75" customHeight="1" x14ac:dyDescent="0.25">
      <c r="A141" s="1"/>
      <c r="B141" s="1"/>
      <c r="C141" s="1"/>
      <c r="D141" s="1" t="s">
        <v>251</v>
      </c>
      <c r="E141" s="1" t="s">
        <v>252</v>
      </c>
      <c r="F141" s="1" t="s">
        <v>59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1:63" ht="15.75" customHeight="1" x14ac:dyDescent="0.25">
      <c r="A142" s="1"/>
      <c r="B142" s="1"/>
      <c r="C142" s="1"/>
      <c r="D142" s="1" t="s">
        <v>253</v>
      </c>
      <c r="E142" s="1" t="s">
        <v>254</v>
      </c>
      <c r="F142" s="1" t="s">
        <v>59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1:63" ht="15.75" customHeight="1" x14ac:dyDescent="0.25">
      <c r="A143" s="1"/>
      <c r="B143" s="1"/>
      <c r="C143" s="1"/>
      <c r="D143" s="1" t="s">
        <v>255</v>
      </c>
      <c r="E143" s="1" t="s">
        <v>256</v>
      </c>
      <c r="F143" s="1" t="s">
        <v>59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1:63" ht="15.75" customHeight="1" x14ac:dyDescent="0.25">
      <c r="A144" s="1"/>
      <c r="B144" s="1"/>
      <c r="C144" s="1"/>
      <c r="D144" s="1" t="s">
        <v>257</v>
      </c>
      <c r="E144" s="1" t="s">
        <v>258</v>
      </c>
      <c r="F144" s="1" t="s">
        <v>59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1:63" ht="15.75" customHeight="1" x14ac:dyDescent="0.25">
      <c r="A145" s="1"/>
      <c r="B145" s="1"/>
      <c r="C145" s="1"/>
      <c r="D145" s="1" t="s">
        <v>259</v>
      </c>
      <c r="E145" s="1" t="s">
        <v>260</v>
      </c>
      <c r="F145" s="1" t="s">
        <v>59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1:63" ht="15.75" customHeight="1" x14ac:dyDescent="0.25">
      <c r="A146" s="1"/>
      <c r="B146" s="1"/>
      <c r="C146" s="1"/>
      <c r="D146" s="1" t="s">
        <v>261</v>
      </c>
      <c r="E146" s="1" t="s">
        <v>262</v>
      </c>
      <c r="F146" s="1" t="s">
        <v>59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1:63" ht="15.75" customHeight="1" x14ac:dyDescent="0.25">
      <c r="A147" s="1"/>
      <c r="B147" s="1"/>
      <c r="C147" s="1"/>
      <c r="D147" s="1" t="s">
        <v>263</v>
      </c>
      <c r="E147" s="1" t="s">
        <v>264</v>
      </c>
      <c r="F147" s="1" t="s">
        <v>59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1:63" ht="15.75" customHeight="1" x14ac:dyDescent="0.25">
      <c r="A148" s="1"/>
      <c r="B148" s="1"/>
      <c r="C148" s="1"/>
      <c r="D148" s="1" t="s">
        <v>265</v>
      </c>
      <c r="E148" s="1" t="s">
        <v>266</v>
      </c>
      <c r="F148" s="1" t="s">
        <v>59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1:63" ht="15.75" customHeight="1" x14ac:dyDescent="0.25">
      <c r="A149" s="1"/>
      <c r="B149" s="1"/>
      <c r="C149" s="1"/>
      <c r="D149" s="1" t="s">
        <v>267</v>
      </c>
      <c r="E149" s="1" t="s">
        <v>268</v>
      </c>
      <c r="F149" s="1" t="s">
        <v>59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1:63" ht="15.75" customHeight="1" x14ac:dyDescent="0.25">
      <c r="A150" s="1"/>
      <c r="B150" s="1"/>
      <c r="C150" s="1"/>
      <c r="D150" s="1" t="s">
        <v>269</v>
      </c>
      <c r="E150" s="1" t="s">
        <v>270</v>
      </c>
      <c r="F150" s="1" t="s">
        <v>59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1:63" ht="15.75" customHeight="1" x14ac:dyDescent="0.25">
      <c r="A151" s="1"/>
      <c r="B151" s="1"/>
      <c r="C151" s="1"/>
      <c r="D151" s="11" t="s">
        <v>271</v>
      </c>
      <c r="E151" s="1" t="s">
        <v>272</v>
      </c>
      <c r="F151" s="1" t="s">
        <v>59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1:63" ht="15.75" customHeight="1" x14ac:dyDescent="0.25">
      <c r="A152" s="1"/>
      <c r="B152" s="1"/>
      <c r="C152" s="1"/>
      <c r="D152" s="12" t="s">
        <v>273</v>
      </c>
      <c r="E152" s="1" t="s">
        <v>274</v>
      </c>
      <c r="F152" s="1" t="s">
        <v>59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1:63" ht="15.75" customHeight="1" x14ac:dyDescent="0.25">
      <c r="A153" s="1"/>
      <c r="B153" s="1"/>
      <c r="C153" s="1"/>
      <c r="D153" s="11" t="s">
        <v>275</v>
      </c>
      <c r="E153" s="1" t="s">
        <v>276</v>
      </c>
      <c r="F153" s="1" t="s">
        <v>59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1:63" ht="15.75" customHeight="1" x14ac:dyDescent="0.25">
      <c r="A154" s="1"/>
      <c r="B154" s="1"/>
      <c r="C154" s="1"/>
      <c r="D154" s="11" t="s">
        <v>277</v>
      </c>
      <c r="E154" s="1" t="s">
        <v>278</v>
      </c>
      <c r="F154" s="1" t="s">
        <v>59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1:63" ht="15.75" customHeight="1" x14ac:dyDescent="0.25">
      <c r="A155" s="1"/>
      <c r="B155" s="1"/>
      <c r="C155" s="1"/>
      <c r="D155" s="11" t="s">
        <v>279</v>
      </c>
      <c r="E155" s="1" t="s">
        <v>280</v>
      </c>
      <c r="F155" s="1" t="s">
        <v>59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1:63" ht="15.75" customHeight="1" x14ac:dyDescent="0.25">
      <c r="A156" s="1"/>
      <c r="B156" s="1"/>
      <c r="C156" s="1"/>
      <c r="D156" s="11" t="s">
        <v>281</v>
      </c>
      <c r="E156" s="1" t="s">
        <v>282</v>
      </c>
      <c r="F156" s="1" t="s">
        <v>59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1:63" ht="15.75" customHeight="1" x14ac:dyDescent="0.25">
      <c r="A157" s="1"/>
      <c r="B157" s="1"/>
      <c r="C157" s="1"/>
      <c r="D157" s="11" t="s">
        <v>283</v>
      </c>
      <c r="E157" s="1" t="s">
        <v>284</v>
      </c>
      <c r="F157" s="1" t="s">
        <v>59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1:63" ht="15.75" customHeight="1" x14ac:dyDescent="0.25">
      <c r="A158" s="1"/>
      <c r="B158" s="1"/>
      <c r="C158" s="1"/>
      <c r="D158" s="12" t="s">
        <v>285</v>
      </c>
      <c r="E158" s="1" t="s">
        <v>286</v>
      </c>
      <c r="F158" s="1" t="s">
        <v>59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1:63" ht="15.75" customHeight="1" x14ac:dyDescent="0.25">
      <c r="A159" s="1"/>
      <c r="B159" s="1"/>
      <c r="C159" s="1"/>
      <c r="D159" s="11" t="s">
        <v>287</v>
      </c>
      <c r="E159" s="1" t="s">
        <v>288</v>
      </c>
      <c r="F159" s="1" t="s">
        <v>59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1:63" ht="15.75" customHeight="1" x14ac:dyDescent="0.25">
      <c r="A160" s="1"/>
      <c r="B160" s="1"/>
      <c r="C160" s="1"/>
      <c r="D160" s="11" t="s">
        <v>289</v>
      </c>
      <c r="E160" s="1" t="s">
        <v>290</v>
      </c>
      <c r="F160" s="1" t="s">
        <v>59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1:63" ht="15.75" customHeight="1" x14ac:dyDescent="0.25">
      <c r="A161" s="1"/>
      <c r="B161" s="1"/>
      <c r="C161" s="1"/>
      <c r="D161" s="11" t="s">
        <v>291</v>
      </c>
      <c r="E161" s="1" t="s">
        <v>292</v>
      </c>
      <c r="F161" s="1" t="s">
        <v>59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1:63" ht="15.75" customHeight="1" x14ac:dyDescent="0.25">
      <c r="A162" s="1"/>
      <c r="B162" s="1"/>
      <c r="C162" s="1"/>
      <c r="D162" s="11" t="s">
        <v>293</v>
      </c>
      <c r="E162" s="1" t="s">
        <v>294</v>
      </c>
      <c r="F162" s="1" t="s">
        <v>59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1:63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1:63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1:63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1:63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1:63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1:63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1:63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1:63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spans="1:63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spans="1:63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1:63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1:63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1:63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1:63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1:63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1:63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1:63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1:63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1:63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1:63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1:63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1:63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1:63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1:63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1:63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1:63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1:63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1:63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1:63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1:63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1:63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1:63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1:63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1:63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1:63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1:63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1:63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1:63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1:63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1:63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spans="1:63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spans="1:63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spans="1:63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spans="1:63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spans="1:63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spans="1:63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spans="1:63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spans="1:63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spans="1:63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spans="1:63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spans="1:63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spans="1:63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spans="1:63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spans="1:63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spans="1:63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spans="1:63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spans="1:63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spans="1:63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spans="1:63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spans="1:63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spans="1:63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1:63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1:63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1:63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1:63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1:63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1:63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spans="1:63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spans="1:63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spans="1:63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spans="1:63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spans="1:63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spans="1:63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spans="1:63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spans="1:63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spans="1:63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spans="1:63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1:63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1:63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1:63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1:63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1:63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1:63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1:63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1:63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1:63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1:63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1:63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1:63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1:63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1:63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1:63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1:63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1:63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1:63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1:63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1:63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1:63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1:63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1:63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1:63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1:63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1:63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1:63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1:63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1:63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1:63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1:63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1:63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1:63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1:63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1:63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1:63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1:63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1:63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1:63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1:63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1:63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1:63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1:63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1:63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1:63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1:63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1:63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1:63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1:63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1:63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1:63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1:63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1:63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1:63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1:63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1:63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1:63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1:63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1:63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1:63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1:63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1:63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1:63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1:63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1:63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1:63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1:63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1:63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1:63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1:63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1:63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1:63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1:63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1:63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1:63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1:63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1:63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1:63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1:63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1:63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1:63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1:63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1:63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1:63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1:63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1:63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1:63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1:63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1:63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1:63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1:63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1:63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1:63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1:63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1:63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1:63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1:63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1:63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1:63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1:63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1:63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1:63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1:63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1:63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1:63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1:63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1:63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1:63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1:63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1:63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1:63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1:63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1:63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1:63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1:63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</row>
    <row r="355" spans="1:63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</row>
    <row r="356" spans="1:63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</row>
    <row r="357" spans="1:63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</row>
    <row r="358" spans="1:63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</row>
    <row r="359" spans="1:63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</row>
    <row r="360" spans="1:63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</row>
    <row r="361" spans="1:63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</row>
    <row r="362" spans="1:63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</row>
    <row r="363" spans="1:63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</row>
    <row r="364" spans="1:63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</row>
    <row r="365" spans="1:63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</row>
    <row r="366" spans="1:63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</row>
    <row r="367" spans="1:63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</row>
    <row r="368" spans="1:63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</row>
    <row r="369" spans="1:63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</row>
    <row r="370" spans="1:63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</row>
    <row r="371" spans="1:63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</row>
    <row r="372" spans="1:63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</row>
    <row r="373" spans="1:63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</row>
    <row r="374" spans="1:63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</row>
    <row r="375" spans="1:63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</row>
    <row r="376" spans="1:63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</row>
    <row r="377" spans="1:63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</row>
    <row r="378" spans="1:63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</row>
    <row r="379" spans="1:63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</row>
    <row r="380" spans="1:63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</row>
    <row r="381" spans="1:63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</row>
    <row r="382" spans="1:63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</row>
    <row r="383" spans="1:63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</row>
    <row r="384" spans="1:63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</row>
    <row r="385" spans="1:63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</row>
    <row r="386" spans="1:63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</row>
    <row r="387" spans="1:63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</row>
    <row r="388" spans="1:63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</row>
    <row r="389" spans="1:63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</row>
    <row r="390" spans="1:63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spans="1:63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spans="1:63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spans="1:63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spans="1:63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spans="1:63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spans="1:63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spans="1:63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spans="1:63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spans="1:63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spans="1:63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spans="1:63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spans="1:63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spans="1:63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spans="1:63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spans="1:63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</row>
    <row r="406" spans="1:63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</row>
    <row r="407" spans="1:63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</row>
    <row r="408" spans="1:63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</row>
    <row r="409" spans="1:63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</row>
    <row r="410" spans="1:63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</row>
    <row r="411" spans="1:63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</row>
    <row r="412" spans="1:63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</row>
    <row r="413" spans="1:63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</row>
    <row r="414" spans="1:63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</row>
    <row r="415" spans="1:63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spans="1:63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spans="1:63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spans="1:63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spans="1:63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spans="1:63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spans="1:63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spans="1:63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spans="1:63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spans="1:63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spans="1:63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spans="1:63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spans="1:63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spans="1:63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spans="1:63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spans="1:63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spans="1:63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spans="1:63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spans="1:63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spans="1:63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spans="1:63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spans="1:63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spans="1:63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spans="1:63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spans="1:63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spans="1:63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spans="1:63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spans="1:63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spans="1:63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spans="1:63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spans="1:63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</row>
    <row r="446" spans="1:63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</row>
    <row r="447" spans="1:63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</row>
    <row r="448" spans="1:63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</row>
    <row r="449" spans="1:63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</row>
    <row r="450" spans="1:63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</row>
    <row r="451" spans="1:63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</row>
    <row r="452" spans="1:63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</row>
    <row r="453" spans="1:63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</row>
    <row r="454" spans="1:63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</row>
    <row r="455" spans="1:63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</row>
    <row r="456" spans="1:63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</row>
    <row r="457" spans="1:63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</row>
    <row r="458" spans="1:63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</row>
    <row r="459" spans="1:63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</row>
    <row r="460" spans="1:63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</row>
    <row r="461" spans="1:63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</row>
    <row r="462" spans="1:63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</row>
    <row r="463" spans="1:63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</row>
    <row r="464" spans="1:63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</row>
    <row r="465" spans="1:63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</row>
    <row r="466" spans="1:63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</row>
    <row r="467" spans="1:63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</row>
    <row r="468" spans="1:63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</row>
    <row r="469" spans="1:63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</row>
    <row r="470" spans="1:63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</row>
    <row r="471" spans="1:63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</row>
    <row r="472" spans="1:63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</row>
    <row r="473" spans="1:63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</row>
    <row r="474" spans="1:63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</row>
    <row r="475" spans="1:63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</row>
    <row r="476" spans="1:63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</row>
    <row r="477" spans="1:63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</row>
    <row r="478" spans="1:63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</row>
    <row r="479" spans="1:63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1:63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1:63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1:63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1:63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1:63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1:63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1:63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1:63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1:63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spans="1:63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spans="1:63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spans="1:63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spans="1:63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spans="1:63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spans="1:63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spans="1:63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spans="1:63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1:63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1:63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1:63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1:63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1:63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1:63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1:63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1:63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1:63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1:63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</row>
    <row r="507" spans="1:63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</row>
    <row r="508" spans="1:63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</row>
    <row r="509" spans="1:63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</row>
    <row r="510" spans="1:63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</row>
    <row r="511" spans="1:63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</row>
    <row r="512" spans="1:63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</row>
    <row r="513" spans="1:63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</row>
    <row r="514" spans="1:63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1:63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1:63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1:63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1:63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1:63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1:63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1:63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1:63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1:63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1:63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1:63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1:63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1:63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1:63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1:63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1:63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1:63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1:63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1:63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1:63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1:63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1:63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1:63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1:63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1:63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1:63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1:63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spans="1:63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spans="1:63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spans="1:63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spans="1:63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</row>
    <row r="546" spans="1:63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</row>
    <row r="547" spans="1:63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</row>
    <row r="548" spans="1:63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spans="1:63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spans="1:63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spans="1:63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spans="1:63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spans="1:63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spans="1:63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spans="1:63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spans="1:63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spans="1:63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spans="1:63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spans="1:63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spans="1:63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spans="1:63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spans="1:63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</row>
    <row r="563" spans="1:63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</row>
    <row r="564" spans="1:63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</row>
    <row r="565" spans="1:63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</row>
    <row r="566" spans="1:63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</row>
    <row r="567" spans="1:63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</row>
    <row r="568" spans="1:63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</row>
    <row r="569" spans="1:63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</row>
    <row r="570" spans="1:63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</row>
    <row r="571" spans="1:63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</row>
    <row r="572" spans="1:63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</row>
    <row r="573" spans="1:63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</row>
    <row r="574" spans="1:63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</row>
    <row r="575" spans="1:63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</row>
    <row r="576" spans="1:63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</row>
    <row r="577" spans="1:63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</row>
    <row r="578" spans="1:63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</row>
    <row r="579" spans="1:63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</row>
    <row r="580" spans="1:63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</row>
    <row r="581" spans="1:63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</row>
    <row r="582" spans="1:63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</row>
    <row r="583" spans="1:63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</row>
    <row r="584" spans="1:63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</row>
    <row r="585" spans="1:63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</row>
    <row r="586" spans="1:63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</row>
    <row r="587" spans="1:63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</row>
    <row r="588" spans="1:63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</row>
    <row r="589" spans="1:63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</row>
    <row r="590" spans="1:63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</row>
    <row r="591" spans="1:63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</row>
    <row r="592" spans="1:63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</row>
    <row r="593" spans="1:63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</row>
    <row r="594" spans="1:63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spans="1:63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spans="1:63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spans="1:63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spans="1:63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spans="1:63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spans="1:63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spans="1:63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spans="1:63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spans="1:63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spans="1:63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1:63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1:63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1:63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1:63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1:63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1:63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1:63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1:63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1:63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1:63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1:63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1:63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1:63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1:63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1:63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1:63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1:63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1:63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1:63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1:63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1:63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</row>
    <row r="626" spans="1:63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</row>
    <row r="627" spans="1:63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</row>
    <row r="628" spans="1:63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</row>
    <row r="629" spans="1:63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</row>
    <row r="630" spans="1:63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</row>
    <row r="631" spans="1:63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</row>
    <row r="632" spans="1:63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spans="1:63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spans="1:63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spans="1:63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</row>
    <row r="636" spans="1:63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</row>
    <row r="637" spans="1:63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</row>
    <row r="638" spans="1:63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</row>
    <row r="639" spans="1:63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</row>
    <row r="640" spans="1:63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</row>
    <row r="641" spans="1:63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</row>
    <row r="642" spans="1:63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</row>
    <row r="643" spans="1:63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</row>
    <row r="644" spans="1:63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</row>
    <row r="645" spans="1:63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</row>
    <row r="646" spans="1:63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</row>
    <row r="647" spans="1:63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</row>
    <row r="648" spans="1:63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</row>
    <row r="649" spans="1:63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</row>
    <row r="650" spans="1:63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</row>
    <row r="651" spans="1:63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</row>
    <row r="652" spans="1:63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</row>
    <row r="653" spans="1:63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</row>
    <row r="654" spans="1:63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spans="1:63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spans="1:63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spans="1:63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spans="1:63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spans="1:63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spans="1:63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spans="1:63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spans="1:63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spans="1:63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</row>
    <row r="664" spans="1:63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</row>
    <row r="665" spans="1:63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</row>
    <row r="666" spans="1:63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</row>
    <row r="667" spans="1:63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</row>
    <row r="668" spans="1:63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</row>
    <row r="669" spans="1:63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</row>
    <row r="670" spans="1:63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</row>
    <row r="671" spans="1:63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</row>
    <row r="672" spans="1:63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</row>
    <row r="673" spans="1:63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</row>
    <row r="674" spans="1:63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</row>
    <row r="675" spans="1:63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</row>
    <row r="676" spans="1:63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</row>
    <row r="677" spans="1:63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</row>
    <row r="678" spans="1:63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</row>
    <row r="679" spans="1:63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</row>
    <row r="680" spans="1:63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</row>
    <row r="681" spans="1:63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</row>
    <row r="682" spans="1:63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</row>
    <row r="683" spans="1:63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</row>
    <row r="684" spans="1:63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</row>
    <row r="685" spans="1:63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</row>
    <row r="686" spans="1:63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</row>
    <row r="687" spans="1:63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</row>
    <row r="688" spans="1:63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</row>
    <row r="689" spans="1:63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</row>
    <row r="690" spans="1:63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</row>
    <row r="691" spans="1:63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</row>
    <row r="692" spans="1:63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</row>
    <row r="693" spans="1:63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</row>
    <row r="694" spans="1:63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</row>
    <row r="695" spans="1:63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</row>
    <row r="696" spans="1:63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</row>
    <row r="697" spans="1:63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</row>
    <row r="698" spans="1:63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</row>
    <row r="699" spans="1:63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</row>
    <row r="700" spans="1:63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</row>
    <row r="701" spans="1:63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</row>
    <row r="702" spans="1:63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1:63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1:63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1:63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1:63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1:63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1:63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1:63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spans="1:63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1:63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1:63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1:63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1:63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1:63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1:63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1:63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1:63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1:63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1:63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1:63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1:63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1:63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1:63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1:63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1:63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1:63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1:63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1:63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1:63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1:63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1:63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1:63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</row>
    <row r="734" spans="1:63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</row>
    <row r="735" spans="1:63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</row>
    <row r="736" spans="1:63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</row>
    <row r="737" spans="1:63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</row>
    <row r="738" spans="1:63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</row>
    <row r="739" spans="1:63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</row>
    <row r="740" spans="1:63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</row>
    <row r="741" spans="1:63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</row>
    <row r="742" spans="1:63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</row>
    <row r="743" spans="1:63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</row>
    <row r="744" spans="1:63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</row>
    <row r="745" spans="1:63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</row>
    <row r="746" spans="1:63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</row>
    <row r="747" spans="1:63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</row>
    <row r="748" spans="1:63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</row>
    <row r="749" spans="1:63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</row>
    <row r="750" spans="1:63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</row>
    <row r="751" spans="1:63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</row>
    <row r="752" spans="1:63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</row>
    <row r="753" spans="1:63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</row>
    <row r="754" spans="1:63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</row>
    <row r="755" spans="1:63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</row>
    <row r="756" spans="1:63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</row>
    <row r="757" spans="1:63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</row>
    <row r="758" spans="1:63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</row>
    <row r="759" spans="1:63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</row>
    <row r="760" spans="1:63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</row>
    <row r="761" spans="1:63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</row>
    <row r="762" spans="1:63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</row>
    <row r="763" spans="1:63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</row>
    <row r="764" spans="1:63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</row>
    <row r="765" spans="1:63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</row>
    <row r="766" spans="1:63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</row>
    <row r="767" spans="1:63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</row>
    <row r="768" spans="1:63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</row>
    <row r="769" spans="1:63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</row>
    <row r="770" spans="1:63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</row>
    <row r="771" spans="1:63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</row>
    <row r="772" spans="1:63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</row>
    <row r="773" spans="1:63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</row>
    <row r="774" spans="1:63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</row>
    <row r="775" spans="1:63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</row>
    <row r="776" spans="1:63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</row>
    <row r="777" spans="1:63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</row>
    <row r="778" spans="1:63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</row>
    <row r="779" spans="1:63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</row>
    <row r="780" spans="1:63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</row>
    <row r="781" spans="1:63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</row>
    <row r="782" spans="1:63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</row>
    <row r="783" spans="1:63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</row>
    <row r="784" spans="1:63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</row>
    <row r="785" spans="1:63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</row>
    <row r="786" spans="1:63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</row>
    <row r="787" spans="1:63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</row>
    <row r="788" spans="1:63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</row>
    <row r="789" spans="1:63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</row>
    <row r="790" spans="1:63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</row>
    <row r="791" spans="1:63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</row>
    <row r="792" spans="1:63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</row>
    <row r="793" spans="1:63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</row>
    <row r="794" spans="1:63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</row>
    <row r="795" spans="1:63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</row>
    <row r="796" spans="1:63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</row>
    <row r="797" spans="1:63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</row>
    <row r="798" spans="1:63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</row>
    <row r="799" spans="1:63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</row>
    <row r="800" spans="1:63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</row>
    <row r="801" spans="1:63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</row>
    <row r="802" spans="1:63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</row>
    <row r="803" spans="1:63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</row>
    <row r="804" spans="1:63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</row>
    <row r="805" spans="1:63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</row>
    <row r="806" spans="1:63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</row>
    <row r="807" spans="1:63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</row>
    <row r="808" spans="1:63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</row>
    <row r="809" spans="1:63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</row>
    <row r="810" spans="1:63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</row>
    <row r="811" spans="1:63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</row>
    <row r="812" spans="1:63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</row>
    <row r="813" spans="1:63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</row>
    <row r="814" spans="1:63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</row>
    <row r="815" spans="1:63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</row>
    <row r="816" spans="1:63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</row>
    <row r="817" spans="1:63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</row>
    <row r="818" spans="1:63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</row>
    <row r="819" spans="1:63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</row>
    <row r="820" spans="1:63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</row>
    <row r="821" spans="1:63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</row>
    <row r="822" spans="1:63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</row>
    <row r="823" spans="1:63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</row>
    <row r="824" spans="1:63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</row>
    <row r="825" spans="1:63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</row>
    <row r="826" spans="1:63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</row>
    <row r="827" spans="1:63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</row>
    <row r="828" spans="1:63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</row>
    <row r="829" spans="1:63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</row>
    <row r="830" spans="1:63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</row>
    <row r="831" spans="1:63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</row>
    <row r="832" spans="1:63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</row>
    <row r="833" spans="1:63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</row>
    <row r="834" spans="1:63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</row>
    <row r="835" spans="1:63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</row>
    <row r="836" spans="1:63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</row>
    <row r="837" spans="1:63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</row>
    <row r="838" spans="1:63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</row>
    <row r="839" spans="1:63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spans="1:63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spans="1:63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spans="1:63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spans="1:63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spans="1:63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spans="1:63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spans="1:63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spans="1:63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spans="1:63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spans="1:63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spans="1:63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spans="1:63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spans="1:63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spans="1:63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spans="1:63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spans="1:63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spans="1:63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spans="1:63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spans="1:63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spans="1:63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spans="1:63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spans="1:63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spans="1:63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spans="1:63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spans="1:63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spans="1:63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spans="1:63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spans="1:63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spans="1:63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1:63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</row>
    <row r="870" spans="1:63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</row>
    <row r="871" spans="1:63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</row>
    <row r="872" spans="1:63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</row>
    <row r="873" spans="1:63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</row>
    <row r="874" spans="1:63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</row>
    <row r="875" spans="1:63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</row>
    <row r="876" spans="1:63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</row>
    <row r="877" spans="1:63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</row>
    <row r="878" spans="1:63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</row>
    <row r="879" spans="1:63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</row>
    <row r="880" spans="1:63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</row>
    <row r="881" spans="1:63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</row>
    <row r="882" spans="1:63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</row>
    <row r="883" spans="1:63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</row>
    <row r="884" spans="1:63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</row>
    <row r="885" spans="1:63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</row>
    <row r="886" spans="1:63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</row>
    <row r="887" spans="1:63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</row>
    <row r="888" spans="1:63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</row>
    <row r="889" spans="1:63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</row>
    <row r="890" spans="1:63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</row>
    <row r="891" spans="1:63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</row>
    <row r="892" spans="1:63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</row>
    <row r="893" spans="1:63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</row>
    <row r="894" spans="1:63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</row>
    <row r="895" spans="1:63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</row>
    <row r="896" spans="1:63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</row>
    <row r="897" spans="1:63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</row>
    <row r="898" spans="1:63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</row>
    <row r="899" spans="1:63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</row>
    <row r="900" spans="1:63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</row>
    <row r="901" spans="1:63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</row>
    <row r="902" spans="1:63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</row>
    <row r="903" spans="1:63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</row>
    <row r="904" spans="1:63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</row>
    <row r="905" spans="1:63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</row>
    <row r="906" spans="1:63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</row>
    <row r="907" spans="1:63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</row>
    <row r="908" spans="1:63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</row>
    <row r="909" spans="1:63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</row>
    <row r="910" spans="1:63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</row>
    <row r="911" spans="1:63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</row>
    <row r="912" spans="1:63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</row>
    <row r="913" spans="1:63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</row>
    <row r="914" spans="1:63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</row>
    <row r="915" spans="1:63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</row>
    <row r="916" spans="1:63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</row>
    <row r="917" spans="1:63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</row>
    <row r="918" spans="1:63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</row>
    <row r="919" spans="1:63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</row>
    <row r="920" spans="1:63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</row>
    <row r="921" spans="1:63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spans="1:63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spans="1:63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spans="1:63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spans="1:63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spans="1:63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spans="1:63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spans="1:63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spans="1:63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spans="1:63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1:63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1:63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1:63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1:63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1:63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1:63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1:63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1:63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1:63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1:63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1:63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1:63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1:63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1:63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1:63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1:63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1:63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1:63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spans="1:63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spans="1:63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spans="1:63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spans="1:63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spans="1:63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spans="1:63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spans="1:63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spans="1:63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spans="1:63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spans="1:63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spans="1:63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spans="1:63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1:63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1:63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1:63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1:63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1:63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1:63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1:63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1:63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1:63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1:63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1:63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1:63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1:63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1:63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1:63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1:63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1:63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1:63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1:63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1:63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1:63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1:63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1:63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1:63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1:63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1:63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1:63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1:63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1:63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spans="1:63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</row>
    <row r="991" spans="1:63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</row>
    <row r="992" spans="1:63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</row>
    <row r="993" spans="1:63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</row>
    <row r="994" spans="1:63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</row>
    <row r="995" spans="1:63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</row>
    <row r="996" spans="1:63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</row>
    <row r="997" spans="1:63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</row>
    <row r="998" spans="1:63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</row>
    <row r="999" spans="1:63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</row>
    <row r="1000" spans="1:63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</row>
  </sheetData>
  <mergeCells count="4">
    <mergeCell ref="X14:AF14"/>
    <mergeCell ref="B15:J15"/>
    <mergeCell ref="M15:U15"/>
    <mergeCell ref="AI15:AQ15"/>
  </mergeCells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D1000"/>
  <sheetViews>
    <sheetView showGridLines="0" topLeftCell="A53" zoomScale="55" zoomScaleNormal="55" workbookViewId="0"/>
  </sheetViews>
  <sheetFormatPr baseColWidth="10" defaultColWidth="14.42578125" defaultRowHeight="15" customHeight="1" x14ac:dyDescent="0.25"/>
  <cols>
    <col min="1" max="2" width="10.7109375" customWidth="1"/>
    <col min="3" max="3" width="7.140625" customWidth="1"/>
    <col min="4" max="4" width="16.85546875" customWidth="1"/>
    <col min="5" max="5" width="42.85546875" customWidth="1"/>
    <col min="6" max="7" width="10.7109375" customWidth="1"/>
    <col min="8" max="8" width="15.28515625" customWidth="1"/>
    <col min="9" max="9" width="14.85546875" customWidth="1"/>
    <col min="10" max="12" width="10.7109375" customWidth="1"/>
    <col min="13" max="13" width="7.140625" customWidth="1"/>
    <col min="14" max="14" width="29.28515625" customWidth="1"/>
    <col min="15" max="15" width="61.85546875" customWidth="1"/>
    <col min="16" max="17" width="10.7109375" customWidth="1"/>
    <col min="18" max="18" width="15.28515625" customWidth="1"/>
    <col min="19" max="19" width="14.85546875" customWidth="1"/>
    <col min="20" max="22" width="10.7109375" customWidth="1"/>
    <col min="23" max="23" width="7.140625" customWidth="1"/>
    <col min="24" max="24" width="16.85546875" customWidth="1"/>
    <col min="25" max="25" width="42.85546875" customWidth="1"/>
    <col min="26" max="27" width="10.7109375" customWidth="1"/>
    <col min="28" max="28" width="15.28515625" customWidth="1"/>
    <col min="29" max="29" width="14.85546875" customWidth="1"/>
    <col min="30" max="30" width="10.7109375" customWidth="1"/>
  </cols>
  <sheetData>
    <row r="3" spans="2:6" x14ac:dyDescent="0.25">
      <c r="B3" s="12" t="s">
        <v>0</v>
      </c>
      <c r="D3" s="12" t="s">
        <v>295</v>
      </c>
      <c r="E3" s="12" t="s">
        <v>296</v>
      </c>
      <c r="F3" s="13" t="s">
        <v>297</v>
      </c>
    </row>
    <row r="4" spans="2:6" x14ac:dyDescent="0.25">
      <c r="B4" s="12" t="s">
        <v>6</v>
      </c>
      <c r="D4" s="12" t="s">
        <v>298</v>
      </c>
      <c r="E4" s="1" t="s">
        <v>8</v>
      </c>
      <c r="F4" s="14" t="s">
        <v>299</v>
      </c>
    </row>
    <row r="5" spans="2:6" x14ac:dyDescent="0.25">
      <c r="B5" s="12" t="s">
        <v>12</v>
      </c>
      <c r="D5" s="12" t="s">
        <v>300</v>
      </c>
      <c r="E5" s="3" t="s">
        <v>14</v>
      </c>
      <c r="F5" s="14" t="s">
        <v>301</v>
      </c>
    </row>
    <row r="6" spans="2:6" x14ac:dyDescent="0.25">
      <c r="B6" s="12" t="s">
        <v>16</v>
      </c>
      <c r="D6" s="12" t="s">
        <v>302</v>
      </c>
      <c r="E6" s="1" t="s">
        <v>18</v>
      </c>
    </row>
    <row r="7" spans="2:6" x14ac:dyDescent="0.25">
      <c r="B7" s="12" t="s">
        <v>20</v>
      </c>
      <c r="D7" s="12" t="s">
        <v>303</v>
      </c>
      <c r="E7" s="1" t="s">
        <v>22</v>
      </c>
    </row>
    <row r="8" spans="2:6" x14ac:dyDescent="0.25">
      <c r="B8" s="12" t="s">
        <v>24</v>
      </c>
      <c r="D8" s="12" t="s">
        <v>304</v>
      </c>
      <c r="E8" s="1" t="s">
        <v>26</v>
      </c>
    </row>
    <row r="9" spans="2:6" x14ac:dyDescent="0.25">
      <c r="B9" s="12" t="s">
        <v>28</v>
      </c>
      <c r="D9" s="12" t="s">
        <v>305</v>
      </c>
      <c r="E9" s="1" t="s">
        <v>30</v>
      </c>
    </row>
    <row r="10" spans="2:6" x14ac:dyDescent="0.25">
      <c r="B10" s="12" t="s">
        <v>31</v>
      </c>
      <c r="D10" s="12" t="s">
        <v>306</v>
      </c>
      <c r="E10" s="1" t="s">
        <v>32</v>
      </c>
    </row>
    <row r="11" spans="2:6" x14ac:dyDescent="0.25">
      <c r="B11" s="12" t="s">
        <v>33</v>
      </c>
      <c r="E11" s="1" t="s">
        <v>7</v>
      </c>
    </row>
    <row r="12" spans="2:6" x14ac:dyDescent="0.25">
      <c r="B12" s="12" t="s">
        <v>34</v>
      </c>
      <c r="E12" s="3" t="s">
        <v>13</v>
      </c>
    </row>
    <row r="13" spans="2:6" x14ac:dyDescent="0.25">
      <c r="B13" s="12" t="s">
        <v>35</v>
      </c>
      <c r="E13" s="1" t="s">
        <v>17</v>
      </c>
    </row>
    <row r="14" spans="2:6" x14ac:dyDescent="0.25">
      <c r="E14" s="1" t="s">
        <v>21</v>
      </c>
    </row>
    <row r="15" spans="2:6" x14ac:dyDescent="0.25">
      <c r="E15" s="1"/>
    </row>
    <row r="16" spans="2:6" x14ac:dyDescent="0.25">
      <c r="E16" s="1"/>
    </row>
    <row r="17" spans="1:30" x14ac:dyDescent="0.25">
      <c r="E17" s="1"/>
    </row>
    <row r="18" spans="1:30" x14ac:dyDescent="0.25">
      <c r="B18" s="811" t="s">
        <v>307</v>
      </c>
      <c r="C18" s="812"/>
      <c r="D18" s="812"/>
      <c r="E18" s="812"/>
      <c r="F18" s="812"/>
      <c r="G18" s="812"/>
      <c r="H18" s="812"/>
      <c r="I18" s="812"/>
      <c r="J18" s="812"/>
      <c r="L18" s="811" t="s">
        <v>308</v>
      </c>
      <c r="M18" s="812"/>
      <c r="N18" s="812"/>
      <c r="O18" s="812"/>
      <c r="P18" s="812"/>
      <c r="Q18" s="812"/>
      <c r="R18" s="812"/>
      <c r="S18" s="812"/>
      <c r="T18" s="812"/>
      <c r="V18" s="811" t="s">
        <v>309</v>
      </c>
      <c r="W18" s="812"/>
      <c r="X18" s="812"/>
      <c r="Y18" s="812"/>
      <c r="Z18" s="812"/>
      <c r="AA18" s="812"/>
      <c r="AB18" s="812"/>
      <c r="AC18" s="812"/>
      <c r="AD18" s="812"/>
    </row>
    <row r="20" spans="1:30" x14ac:dyDescent="0.25">
      <c r="B20" s="15" t="s">
        <v>310</v>
      </c>
      <c r="C20" s="1"/>
      <c r="D20" s="1"/>
      <c r="E20" s="1"/>
      <c r="F20" s="1"/>
      <c r="G20" s="1"/>
      <c r="H20" s="1"/>
      <c r="I20" s="1"/>
      <c r="J20" s="1"/>
      <c r="L20" s="15" t="s">
        <v>310</v>
      </c>
      <c r="M20" s="1"/>
      <c r="N20" s="1"/>
      <c r="O20" s="1"/>
      <c r="P20" s="1"/>
      <c r="Q20" s="1"/>
      <c r="R20" s="1"/>
      <c r="S20" s="1"/>
      <c r="T20" s="1"/>
      <c r="V20" s="15" t="s">
        <v>310</v>
      </c>
      <c r="W20" s="1"/>
      <c r="X20" s="1"/>
      <c r="Y20" s="1"/>
      <c r="Z20" s="1"/>
      <c r="AA20" s="1"/>
      <c r="AB20" s="1"/>
      <c r="AC20" s="1"/>
      <c r="AD20" s="1"/>
    </row>
    <row r="21" spans="1:30" ht="15.75" customHeight="1" x14ac:dyDescent="0.25">
      <c r="B21" s="8" t="s">
        <v>311</v>
      </c>
      <c r="C21" s="9" t="s">
        <v>42</v>
      </c>
      <c r="D21" s="8" t="s">
        <v>312</v>
      </c>
      <c r="E21" s="8" t="s">
        <v>313</v>
      </c>
      <c r="F21" s="8" t="s">
        <v>314</v>
      </c>
      <c r="G21" s="8" t="s">
        <v>315</v>
      </c>
      <c r="H21" s="8" t="s">
        <v>316</v>
      </c>
      <c r="I21" s="8" t="s">
        <v>317</v>
      </c>
      <c r="J21" s="8" t="s">
        <v>318</v>
      </c>
      <c r="L21" s="8" t="s">
        <v>311</v>
      </c>
      <c r="M21" s="9" t="s">
        <v>42</v>
      </c>
      <c r="N21" s="8" t="s">
        <v>312</v>
      </c>
      <c r="O21" s="8" t="s">
        <v>313</v>
      </c>
      <c r="P21" s="8" t="s">
        <v>314</v>
      </c>
      <c r="Q21" s="8" t="s">
        <v>315</v>
      </c>
      <c r="R21" s="8" t="s">
        <v>316</v>
      </c>
      <c r="S21" s="8" t="s">
        <v>317</v>
      </c>
      <c r="T21" s="8" t="s">
        <v>318</v>
      </c>
      <c r="V21" s="8" t="s">
        <v>311</v>
      </c>
      <c r="W21" s="9" t="s">
        <v>42</v>
      </c>
      <c r="X21" s="8" t="s">
        <v>312</v>
      </c>
      <c r="Y21" s="8" t="s">
        <v>313</v>
      </c>
      <c r="Z21" s="8" t="s">
        <v>314</v>
      </c>
      <c r="AA21" s="8" t="s">
        <v>315</v>
      </c>
      <c r="AB21" s="8" t="s">
        <v>316</v>
      </c>
      <c r="AC21" s="8" t="s">
        <v>317</v>
      </c>
      <c r="AD21" s="8" t="s">
        <v>318</v>
      </c>
    </row>
    <row r="22" spans="1:30" ht="15.75" customHeight="1" x14ac:dyDescent="0.25">
      <c r="A22" s="5"/>
      <c r="B22" s="10" t="s">
        <v>319</v>
      </c>
      <c r="C22" s="10" t="s">
        <v>51</v>
      </c>
      <c r="D22" s="10" t="s">
        <v>320</v>
      </c>
      <c r="E22" s="10" t="s">
        <v>321</v>
      </c>
      <c r="F22" s="10" t="s">
        <v>322</v>
      </c>
      <c r="G22" s="10" t="s">
        <v>323</v>
      </c>
      <c r="H22" s="10" t="s">
        <v>324</v>
      </c>
      <c r="I22" s="10" t="s">
        <v>325</v>
      </c>
      <c r="J22" s="10" t="s">
        <v>326</v>
      </c>
      <c r="K22" s="5"/>
      <c r="L22" s="10" t="s">
        <v>319</v>
      </c>
      <c r="M22" s="10" t="s">
        <v>51</v>
      </c>
      <c r="N22" s="10" t="s">
        <v>320</v>
      </c>
      <c r="O22" s="10" t="s">
        <v>321</v>
      </c>
      <c r="P22" s="10" t="s">
        <v>322</v>
      </c>
      <c r="Q22" s="10" t="s">
        <v>323</v>
      </c>
      <c r="R22" s="10" t="s">
        <v>324</v>
      </c>
      <c r="S22" s="10" t="s">
        <v>325</v>
      </c>
      <c r="T22" s="10" t="s">
        <v>326</v>
      </c>
      <c r="U22" s="5"/>
      <c r="V22" s="10" t="s">
        <v>319</v>
      </c>
      <c r="W22" s="10" t="s">
        <v>51</v>
      </c>
      <c r="X22" s="10" t="s">
        <v>320</v>
      </c>
      <c r="Y22" s="10" t="s">
        <v>321</v>
      </c>
      <c r="Z22" s="10" t="s">
        <v>322</v>
      </c>
      <c r="AA22" s="10" t="s">
        <v>323</v>
      </c>
      <c r="AB22" s="10" t="s">
        <v>324</v>
      </c>
      <c r="AC22" s="10" t="s">
        <v>325</v>
      </c>
      <c r="AD22" s="10" t="s">
        <v>326</v>
      </c>
    </row>
    <row r="23" spans="1:30" ht="15.75" customHeight="1" x14ac:dyDescent="0.25">
      <c r="B23" s="10" t="s">
        <v>327</v>
      </c>
      <c r="C23" s="10"/>
      <c r="D23" s="10"/>
      <c r="E23" s="10"/>
      <c r="F23" s="10"/>
      <c r="G23" s="10"/>
      <c r="H23" s="10"/>
      <c r="I23" s="10"/>
      <c r="J23" s="10"/>
      <c r="L23" s="10" t="s">
        <v>327</v>
      </c>
      <c r="M23" s="10"/>
      <c r="N23" s="10"/>
      <c r="O23" s="10"/>
      <c r="P23" s="10"/>
      <c r="Q23" s="10"/>
      <c r="R23" s="10"/>
      <c r="S23" s="10"/>
      <c r="T23" s="10"/>
      <c r="V23" s="10" t="s">
        <v>327</v>
      </c>
      <c r="W23" s="10"/>
      <c r="X23" s="10"/>
      <c r="Y23" s="10"/>
      <c r="Z23" s="10"/>
      <c r="AA23" s="10"/>
      <c r="AB23" s="10"/>
      <c r="AC23" s="10"/>
      <c r="AD23" s="10"/>
    </row>
    <row r="24" spans="1:30" ht="15.75" customHeight="1" x14ac:dyDescent="0.25">
      <c r="B24" s="12" t="s">
        <v>298</v>
      </c>
      <c r="D24" s="12" t="str">
        <f t="array" ref="D24:D33">+$D$4&amp;"-"&amp;$B$4:$B$13</f>
        <v>MIN-CAM1</v>
      </c>
      <c r="E24" s="12" t="str">
        <f t="array" ref="E24:E33">+"Mina de reservas de fluidos de "&amp;B4:B13</f>
        <v>Mina de reservas de fluidos de CAM1</v>
      </c>
      <c r="F24" s="12" t="s">
        <v>59</v>
      </c>
      <c r="G24" s="12" t="s">
        <v>328</v>
      </c>
      <c r="L24" s="12" t="s">
        <v>329</v>
      </c>
      <c r="N24" s="12" t="str">
        <f t="array" ref="N24:N33">+$D$5&amp;"-"&amp;B4:B13</f>
        <v>PROF-CAM1</v>
      </c>
      <c r="O24" s="12" t="str">
        <f t="array" ref="O24:O33">+"Produccion con flaring de "&amp;B4:B13</f>
        <v>Produccion con flaring de CAM1</v>
      </c>
      <c r="P24" s="12" t="s">
        <v>59</v>
      </c>
      <c r="Q24" s="12" t="s">
        <v>328</v>
      </c>
    </row>
    <row r="25" spans="1:30" ht="15.75" customHeight="1" x14ac:dyDescent="0.25">
      <c r="D25" s="12" t="str">
        <v>MIN-CAM2</v>
      </c>
      <c r="E25" s="12" t="str">
        <v>Mina de reservas de fluidos de CAM2</v>
      </c>
      <c r="F25" s="12" t="s">
        <v>59</v>
      </c>
      <c r="G25" s="12" t="s">
        <v>328</v>
      </c>
      <c r="N25" s="12" t="str">
        <v>PROF-CAM2</v>
      </c>
      <c r="O25" s="12" t="str">
        <v>Produccion con flaring de CAM2</v>
      </c>
      <c r="P25" s="12" t="s">
        <v>59</v>
      </c>
      <c r="Q25" s="12" t="s">
        <v>328</v>
      </c>
    </row>
    <row r="26" spans="1:30" ht="15.75" customHeight="1" x14ac:dyDescent="0.25">
      <c r="D26" s="12" t="str">
        <v>MIN-CAM3</v>
      </c>
      <c r="E26" s="12" t="str">
        <v>Mina de reservas de fluidos de CAM3</v>
      </c>
      <c r="F26" s="12" t="s">
        <v>59</v>
      </c>
      <c r="G26" s="12" t="s">
        <v>328</v>
      </c>
      <c r="N26" s="12" t="str">
        <v>PROF-CAM3</v>
      </c>
      <c r="O26" s="12" t="str">
        <v>Produccion con flaring de CAM3</v>
      </c>
      <c r="P26" s="12" t="s">
        <v>59</v>
      </c>
      <c r="Q26" s="12" t="s">
        <v>328</v>
      </c>
    </row>
    <row r="27" spans="1:30" ht="15.75" customHeight="1" x14ac:dyDescent="0.25">
      <c r="D27" s="12" t="str">
        <v>MIN-CAM4</v>
      </c>
      <c r="E27" s="12" t="str">
        <v>Mina de reservas de fluidos de CAM4</v>
      </c>
      <c r="F27" s="12" t="s">
        <v>59</v>
      </c>
      <c r="G27" s="12" t="s">
        <v>328</v>
      </c>
      <c r="N27" s="12" t="str">
        <v>PROF-CAM4</v>
      </c>
      <c r="O27" s="12" t="str">
        <v>Produccion con flaring de CAM4</v>
      </c>
      <c r="P27" s="12" t="s">
        <v>59</v>
      </c>
      <c r="Q27" s="12" t="s">
        <v>328</v>
      </c>
    </row>
    <row r="28" spans="1:30" ht="15.75" customHeight="1" x14ac:dyDescent="0.25">
      <c r="D28" s="12" t="str">
        <v>MIN-CAM5</v>
      </c>
      <c r="E28" s="12" t="str">
        <v>Mina de reservas de fluidos de CAM5</v>
      </c>
      <c r="F28" s="12" t="s">
        <v>59</v>
      </c>
      <c r="G28" s="12" t="s">
        <v>328</v>
      </c>
      <c r="N28" s="12" t="str">
        <v>PROF-CAM5</v>
      </c>
      <c r="O28" s="12" t="str">
        <v>Produccion con flaring de CAM5</v>
      </c>
      <c r="P28" s="12" t="s">
        <v>59</v>
      </c>
      <c r="Q28" s="12" t="s">
        <v>328</v>
      </c>
    </row>
    <row r="29" spans="1:30" ht="15.75" customHeight="1" x14ac:dyDescent="0.25">
      <c r="D29" s="12" t="str">
        <v>MIN-CAM6</v>
      </c>
      <c r="E29" s="12" t="str">
        <v>Mina de reservas de fluidos de CAM6</v>
      </c>
      <c r="F29" s="12" t="s">
        <v>59</v>
      </c>
      <c r="G29" s="12" t="s">
        <v>328</v>
      </c>
      <c r="N29" s="12" t="str">
        <v>PROF-CAM6</v>
      </c>
      <c r="O29" s="12" t="str">
        <v>Produccion con flaring de CAM6</v>
      </c>
      <c r="P29" s="12" t="s">
        <v>59</v>
      </c>
      <c r="Q29" s="12" t="s">
        <v>328</v>
      </c>
    </row>
    <row r="30" spans="1:30" ht="15.75" customHeight="1" x14ac:dyDescent="0.25">
      <c r="D30" s="12" t="str">
        <v>MIN-CAM7</v>
      </c>
      <c r="E30" s="12" t="str">
        <v>Mina de reservas de fluidos de CAM7</v>
      </c>
      <c r="F30" s="12" t="s">
        <v>59</v>
      </c>
      <c r="G30" s="12" t="s">
        <v>328</v>
      </c>
      <c r="N30" s="12" t="str">
        <v>PROF-CAM7</v>
      </c>
      <c r="O30" s="12" t="str">
        <v>Produccion con flaring de CAM7</v>
      </c>
      <c r="P30" s="12" t="s">
        <v>59</v>
      </c>
      <c r="Q30" s="12" t="s">
        <v>328</v>
      </c>
    </row>
    <row r="31" spans="1:30" ht="15.75" customHeight="1" x14ac:dyDescent="0.25">
      <c r="D31" s="12" t="str">
        <v>MIN-CAM8</v>
      </c>
      <c r="E31" s="12" t="str">
        <v>Mina de reservas de fluidos de CAM8</v>
      </c>
      <c r="F31" s="12" t="s">
        <v>59</v>
      </c>
      <c r="G31" s="12" t="s">
        <v>328</v>
      </c>
      <c r="N31" s="12" t="str">
        <v>PROF-CAM8</v>
      </c>
      <c r="O31" s="12" t="str">
        <v>Produccion con flaring de CAM8</v>
      </c>
      <c r="P31" s="12" t="s">
        <v>59</v>
      </c>
      <c r="Q31" s="12" t="s">
        <v>328</v>
      </c>
    </row>
    <row r="32" spans="1:30" ht="15.75" customHeight="1" x14ac:dyDescent="0.25">
      <c r="D32" s="12" t="str">
        <v>MIN-CAM9</v>
      </c>
      <c r="E32" s="12" t="str">
        <v>Mina de reservas de fluidos de CAM9</v>
      </c>
      <c r="F32" s="12" t="s">
        <v>59</v>
      </c>
      <c r="G32" s="12" t="s">
        <v>328</v>
      </c>
      <c r="N32" s="12" t="str">
        <v>PROF-CAM9</v>
      </c>
      <c r="O32" s="12" t="str">
        <v>Produccion con flaring de CAM9</v>
      </c>
      <c r="P32" s="12" t="s">
        <v>59</v>
      </c>
      <c r="Q32" s="12" t="s">
        <v>328</v>
      </c>
    </row>
    <row r="33" spans="4:17" ht="15.75" customHeight="1" x14ac:dyDescent="0.25">
      <c r="D33" s="12" t="str">
        <v>MIN-CAM10</v>
      </c>
      <c r="E33" s="12" t="str">
        <v>Mina de reservas de fluidos de CAM10</v>
      </c>
      <c r="F33" s="12" t="s">
        <v>59</v>
      </c>
      <c r="G33" s="12" t="s">
        <v>328</v>
      </c>
      <c r="N33" s="12" t="str">
        <v>PROF-CAM10</v>
      </c>
      <c r="O33" s="12" t="str">
        <v>Produccion con flaring de CAM10</v>
      </c>
      <c r="P33" s="12" t="s">
        <v>59</v>
      </c>
      <c r="Q33" s="12" t="s">
        <v>328</v>
      </c>
    </row>
    <row r="34" spans="4:17" ht="15.75" customHeight="1" x14ac:dyDescent="0.25">
      <c r="N34" s="12" t="str">
        <f t="array" ref="N34:N43">+$D$9&amp;"-"&amp;B4:B13</f>
        <v>PROSF-CAM1</v>
      </c>
      <c r="O34" s="12" t="str">
        <f t="array" ref="O34:O43">+"Produccion sin flaring de "&amp;$B$4:$B$13</f>
        <v>Produccion sin flaring de CAM1</v>
      </c>
      <c r="P34" s="12" t="s">
        <v>59</v>
      </c>
      <c r="Q34" s="12" t="s">
        <v>328</v>
      </c>
    </row>
    <row r="35" spans="4:17" ht="15.75" customHeight="1" x14ac:dyDescent="0.25">
      <c r="N35" s="12" t="str">
        <v>PROSF-CAM2</v>
      </c>
      <c r="O35" s="12" t="str">
        <v>Produccion sin flaring de CAM2</v>
      </c>
      <c r="P35" s="12" t="s">
        <v>59</v>
      </c>
      <c r="Q35" s="12" t="s">
        <v>328</v>
      </c>
    </row>
    <row r="36" spans="4:17" ht="15.75" customHeight="1" x14ac:dyDescent="0.25">
      <c r="N36" s="12" t="str">
        <v>PROSF-CAM3</v>
      </c>
      <c r="O36" s="12" t="str">
        <v>Produccion sin flaring de CAM3</v>
      </c>
      <c r="P36" s="12" t="s">
        <v>59</v>
      </c>
      <c r="Q36" s="12" t="s">
        <v>328</v>
      </c>
    </row>
    <row r="37" spans="4:17" ht="15.75" customHeight="1" x14ac:dyDescent="0.25">
      <c r="N37" s="12" t="str">
        <v>PROSF-CAM4</v>
      </c>
      <c r="O37" s="12" t="str">
        <v>Produccion sin flaring de CAM4</v>
      </c>
      <c r="P37" s="12" t="s">
        <v>59</v>
      </c>
      <c r="Q37" s="12" t="s">
        <v>328</v>
      </c>
    </row>
    <row r="38" spans="4:17" ht="15.75" customHeight="1" x14ac:dyDescent="0.25">
      <c r="N38" s="12" t="str">
        <v>PROSF-CAM5</v>
      </c>
      <c r="O38" s="12" t="str">
        <v>Produccion sin flaring de CAM5</v>
      </c>
      <c r="P38" s="12" t="s">
        <v>59</v>
      </c>
      <c r="Q38" s="12" t="s">
        <v>328</v>
      </c>
    </row>
    <row r="39" spans="4:17" ht="15.75" customHeight="1" x14ac:dyDescent="0.25">
      <c r="N39" s="12" t="str">
        <v>PROSF-CAM6</v>
      </c>
      <c r="O39" s="12" t="str">
        <v>Produccion sin flaring de CAM6</v>
      </c>
      <c r="P39" s="12" t="s">
        <v>59</v>
      </c>
      <c r="Q39" s="12" t="s">
        <v>328</v>
      </c>
    </row>
    <row r="40" spans="4:17" ht="15.75" customHeight="1" x14ac:dyDescent="0.25">
      <c r="N40" s="12" t="str">
        <v>PROSF-CAM7</v>
      </c>
      <c r="O40" s="12" t="str">
        <v>Produccion sin flaring de CAM7</v>
      </c>
      <c r="P40" s="12" t="s">
        <v>59</v>
      </c>
      <c r="Q40" s="12" t="s">
        <v>328</v>
      </c>
    </row>
    <row r="41" spans="4:17" ht="15.75" customHeight="1" x14ac:dyDescent="0.25">
      <c r="N41" s="12" t="str">
        <v>PROSF-CAM8</v>
      </c>
      <c r="O41" s="12" t="str">
        <v>Produccion sin flaring de CAM8</v>
      </c>
      <c r="P41" s="12" t="s">
        <v>59</v>
      </c>
      <c r="Q41" s="12" t="s">
        <v>328</v>
      </c>
    </row>
    <row r="42" spans="4:17" ht="15.75" customHeight="1" x14ac:dyDescent="0.25">
      <c r="N42" s="12" t="str">
        <v>PROSF-CAM9</v>
      </c>
      <c r="O42" s="12" t="str">
        <v>Produccion sin flaring de CAM9</v>
      </c>
      <c r="P42" s="12" t="s">
        <v>59</v>
      </c>
      <c r="Q42" s="12" t="s">
        <v>328</v>
      </c>
    </row>
    <row r="43" spans="4:17" ht="15.75" customHeight="1" x14ac:dyDescent="0.25">
      <c r="N43" s="12" t="str">
        <v>PROSF-CAM10</v>
      </c>
      <c r="O43" s="12" t="str">
        <v>Produccion sin flaring de CAM10</v>
      </c>
      <c r="P43" s="12" t="s">
        <v>59</v>
      </c>
      <c r="Q43" s="12" t="s">
        <v>328</v>
      </c>
    </row>
    <row r="44" spans="4:17" ht="15.75" customHeight="1" x14ac:dyDescent="0.25">
      <c r="N44" s="12" t="str">
        <f t="array" ref="N44:N53">+$D$8&amp;"-"&amp;$B$4:$B$13</f>
        <v>AUTO-G-CAM1</v>
      </c>
      <c r="O44" s="12" t="str">
        <f t="array" ref="O44:O53">+"Autogeneracion con gas natural de "&amp;$B$4:$B$13</f>
        <v>Autogeneracion con gas natural de CAM1</v>
      </c>
      <c r="P44" s="12" t="s">
        <v>59</v>
      </c>
      <c r="Q44" s="12" t="s">
        <v>328</v>
      </c>
    </row>
    <row r="45" spans="4:17" ht="15.75" customHeight="1" x14ac:dyDescent="0.25">
      <c r="N45" s="12" t="str">
        <v>AUTO-G-CAM2</v>
      </c>
      <c r="O45" s="12" t="str">
        <v>Autogeneracion con gas natural de CAM2</v>
      </c>
      <c r="P45" s="12" t="s">
        <v>59</v>
      </c>
      <c r="Q45" s="12" t="s">
        <v>328</v>
      </c>
    </row>
    <row r="46" spans="4:17" ht="15.75" customHeight="1" x14ac:dyDescent="0.25">
      <c r="N46" s="12" t="str">
        <v>AUTO-G-CAM3</v>
      </c>
      <c r="O46" s="12" t="str">
        <v>Autogeneracion con gas natural de CAM3</v>
      </c>
      <c r="P46" s="12" t="s">
        <v>59</v>
      </c>
      <c r="Q46" s="12" t="s">
        <v>328</v>
      </c>
    </row>
    <row r="47" spans="4:17" ht="15.75" customHeight="1" x14ac:dyDescent="0.25">
      <c r="N47" s="12" t="str">
        <v>AUTO-G-CAM4</v>
      </c>
      <c r="O47" s="12" t="str">
        <v>Autogeneracion con gas natural de CAM4</v>
      </c>
      <c r="P47" s="12" t="s">
        <v>59</v>
      </c>
      <c r="Q47" s="12" t="s">
        <v>328</v>
      </c>
    </row>
    <row r="48" spans="4:17" ht="15.75" customHeight="1" x14ac:dyDescent="0.25">
      <c r="N48" s="12" t="str">
        <v>AUTO-G-CAM5</v>
      </c>
      <c r="O48" s="12" t="str">
        <v>Autogeneracion con gas natural de CAM5</v>
      </c>
      <c r="P48" s="12" t="s">
        <v>59</v>
      </c>
      <c r="Q48" s="12" t="s">
        <v>328</v>
      </c>
    </row>
    <row r="49" spans="14:17" ht="15.75" customHeight="1" x14ac:dyDescent="0.25">
      <c r="N49" s="12" t="str">
        <v>AUTO-G-CAM6</v>
      </c>
      <c r="O49" s="12" t="str">
        <v>Autogeneracion con gas natural de CAM6</v>
      </c>
      <c r="P49" s="12" t="s">
        <v>59</v>
      </c>
      <c r="Q49" s="12" t="s">
        <v>328</v>
      </c>
    </row>
    <row r="50" spans="14:17" ht="15.75" customHeight="1" x14ac:dyDescent="0.25">
      <c r="N50" s="12" t="str">
        <v>AUTO-G-CAM7</v>
      </c>
      <c r="O50" s="12" t="str">
        <v>Autogeneracion con gas natural de CAM7</v>
      </c>
      <c r="P50" s="12" t="s">
        <v>59</v>
      </c>
      <c r="Q50" s="12" t="s">
        <v>328</v>
      </c>
    </row>
    <row r="51" spans="14:17" ht="15.75" customHeight="1" x14ac:dyDescent="0.25">
      <c r="N51" s="12" t="str">
        <v>AUTO-G-CAM8</v>
      </c>
      <c r="O51" s="12" t="str">
        <v>Autogeneracion con gas natural de CAM8</v>
      </c>
      <c r="P51" s="12" t="s">
        <v>59</v>
      </c>
      <c r="Q51" s="12" t="s">
        <v>328</v>
      </c>
    </row>
    <row r="52" spans="14:17" ht="15.75" customHeight="1" x14ac:dyDescent="0.25">
      <c r="N52" s="12" t="str">
        <v>AUTO-G-CAM9</v>
      </c>
      <c r="O52" s="12" t="str">
        <v>Autogeneracion con gas natural de CAM9</v>
      </c>
      <c r="P52" s="12" t="s">
        <v>59</v>
      </c>
      <c r="Q52" s="12" t="s">
        <v>328</v>
      </c>
    </row>
    <row r="53" spans="14:17" ht="15.75" customHeight="1" x14ac:dyDescent="0.25">
      <c r="N53" s="12" t="str">
        <v>AUTO-G-CAM10</v>
      </c>
      <c r="O53" s="12" t="str">
        <v>Autogeneracion con gas natural de CAM10</v>
      </c>
      <c r="P53" s="12" t="s">
        <v>59</v>
      </c>
      <c r="Q53" s="12" t="s">
        <v>328</v>
      </c>
    </row>
    <row r="54" spans="14:17" ht="15.75" customHeight="1" x14ac:dyDescent="0.25">
      <c r="N54" s="12" t="str">
        <f t="array" ref="N54:N63">+$D$10&amp;"-"&amp;$B$4:$B$13</f>
        <v>AUTO-O-CAM1</v>
      </c>
      <c r="O54" s="12" t="str">
        <f t="array" ref="O54:O63">+"Autogeneracion con petroleo de "&amp;$B$4:$B$13</f>
        <v>Autogeneracion con petroleo de CAM1</v>
      </c>
      <c r="P54" s="12" t="s">
        <v>59</v>
      </c>
      <c r="Q54" s="12" t="s">
        <v>328</v>
      </c>
    </row>
    <row r="55" spans="14:17" ht="15.75" customHeight="1" x14ac:dyDescent="0.25">
      <c r="N55" s="12" t="str">
        <v>AUTO-O-CAM2</v>
      </c>
      <c r="O55" s="12" t="str">
        <v>Autogeneracion con petroleo de CAM2</v>
      </c>
      <c r="P55" s="12" t="s">
        <v>59</v>
      </c>
      <c r="Q55" s="12" t="s">
        <v>328</v>
      </c>
    </row>
    <row r="56" spans="14:17" ht="15.75" customHeight="1" x14ac:dyDescent="0.25">
      <c r="N56" s="12" t="str">
        <v>AUTO-O-CAM3</v>
      </c>
      <c r="O56" s="12" t="str">
        <v>Autogeneracion con petroleo de CAM3</v>
      </c>
      <c r="P56" s="12" t="s">
        <v>59</v>
      </c>
      <c r="Q56" s="12" t="s">
        <v>328</v>
      </c>
    </row>
    <row r="57" spans="14:17" ht="15.75" customHeight="1" x14ac:dyDescent="0.25">
      <c r="N57" s="12" t="str">
        <v>AUTO-O-CAM4</v>
      </c>
      <c r="O57" s="12" t="str">
        <v>Autogeneracion con petroleo de CAM4</v>
      </c>
      <c r="P57" s="12" t="s">
        <v>59</v>
      </c>
      <c r="Q57" s="12" t="s">
        <v>328</v>
      </c>
    </row>
    <row r="58" spans="14:17" ht="15.75" customHeight="1" x14ac:dyDescent="0.25">
      <c r="N58" s="12" t="str">
        <v>AUTO-O-CAM5</v>
      </c>
      <c r="O58" s="12" t="str">
        <v>Autogeneracion con petroleo de CAM5</v>
      </c>
      <c r="P58" s="12" t="s">
        <v>59</v>
      </c>
      <c r="Q58" s="12" t="s">
        <v>328</v>
      </c>
    </row>
    <row r="59" spans="14:17" ht="15.75" customHeight="1" x14ac:dyDescent="0.25">
      <c r="N59" s="12" t="str">
        <v>AUTO-O-CAM6</v>
      </c>
      <c r="O59" s="12" t="str">
        <v>Autogeneracion con petroleo de CAM6</v>
      </c>
      <c r="P59" s="12" t="s">
        <v>59</v>
      </c>
      <c r="Q59" s="12" t="s">
        <v>328</v>
      </c>
    </row>
    <row r="60" spans="14:17" ht="15.75" customHeight="1" x14ac:dyDescent="0.25">
      <c r="N60" s="12" t="str">
        <v>AUTO-O-CAM7</v>
      </c>
      <c r="O60" s="12" t="str">
        <v>Autogeneracion con petroleo de CAM7</v>
      </c>
      <c r="P60" s="12" t="s">
        <v>59</v>
      </c>
      <c r="Q60" s="12" t="s">
        <v>328</v>
      </c>
    </row>
    <row r="61" spans="14:17" ht="15.75" customHeight="1" x14ac:dyDescent="0.25">
      <c r="N61" s="12" t="str">
        <v>AUTO-O-CAM8</v>
      </c>
      <c r="O61" s="12" t="str">
        <v>Autogeneracion con petroleo de CAM8</v>
      </c>
      <c r="P61" s="12" t="s">
        <v>59</v>
      </c>
      <c r="Q61" s="12" t="s">
        <v>328</v>
      </c>
    </row>
    <row r="62" spans="14:17" ht="15.75" customHeight="1" x14ac:dyDescent="0.25">
      <c r="N62" s="12" t="str">
        <v>AUTO-O-CAM9</v>
      </c>
      <c r="O62" s="12" t="str">
        <v>Autogeneracion con petroleo de CAM9</v>
      </c>
      <c r="P62" s="12" t="s">
        <v>59</v>
      </c>
      <c r="Q62" s="12" t="s">
        <v>328</v>
      </c>
    </row>
    <row r="63" spans="14:17" ht="15.75" customHeight="1" x14ac:dyDescent="0.25">
      <c r="N63" s="12" t="str">
        <v>AUTO-O-CAM10</v>
      </c>
      <c r="O63" s="12" t="str">
        <v>Autogeneracion con petroleo de CAM10</v>
      </c>
      <c r="P63" s="12" t="s">
        <v>59</v>
      </c>
      <c r="Q63" s="12" t="s">
        <v>328</v>
      </c>
    </row>
    <row r="64" spans="14:17" ht="15.75" customHeight="1" x14ac:dyDescent="0.25">
      <c r="N64" s="12" t="str">
        <f t="array" ref="N64:N73">+"SEP-"&amp;B4:B13</f>
        <v>SEP-CAM1</v>
      </c>
      <c r="O64" s="12" t="s">
        <v>330</v>
      </c>
      <c r="P64" s="12" t="s">
        <v>59</v>
      </c>
      <c r="Q64" s="12" t="s">
        <v>328</v>
      </c>
    </row>
    <row r="65" spans="14:17" ht="15.75" customHeight="1" x14ac:dyDescent="0.25">
      <c r="N65" s="12" t="str">
        <v>SEP-CAM2</v>
      </c>
      <c r="O65" s="12" t="s">
        <v>331</v>
      </c>
      <c r="P65" s="12" t="s">
        <v>59</v>
      </c>
      <c r="Q65" s="12" t="s">
        <v>328</v>
      </c>
    </row>
    <row r="66" spans="14:17" ht="15.75" customHeight="1" x14ac:dyDescent="0.25">
      <c r="N66" s="12" t="str">
        <v>SEP-CAM3</v>
      </c>
      <c r="O66" s="12" t="s">
        <v>332</v>
      </c>
      <c r="P66" s="12" t="s">
        <v>59</v>
      </c>
      <c r="Q66" s="12" t="s">
        <v>328</v>
      </c>
    </row>
    <row r="67" spans="14:17" ht="15.75" customHeight="1" x14ac:dyDescent="0.25">
      <c r="N67" s="12" t="str">
        <v>SEP-CAM4</v>
      </c>
      <c r="O67" s="12" t="s">
        <v>333</v>
      </c>
      <c r="P67" s="12" t="s">
        <v>59</v>
      </c>
      <c r="Q67" s="12" t="s">
        <v>328</v>
      </c>
    </row>
    <row r="68" spans="14:17" ht="15.75" customHeight="1" x14ac:dyDescent="0.25">
      <c r="N68" s="12" t="str">
        <v>SEP-CAM5</v>
      </c>
      <c r="O68" s="12" t="s">
        <v>334</v>
      </c>
      <c r="P68" s="12" t="s">
        <v>59</v>
      </c>
      <c r="Q68" s="12" t="s">
        <v>328</v>
      </c>
    </row>
    <row r="69" spans="14:17" ht="15.75" customHeight="1" x14ac:dyDescent="0.25">
      <c r="N69" s="12" t="str">
        <v>SEP-CAM6</v>
      </c>
      <c r="O69" s="12" t="s">
        <v>335</v>
      </c>
      <c r="P69" s="12" t="s">
        <v>59</v>
      </c>
      <c r="Q69" s="12" t="s">
        <v>328</v>
      </c>
    </row>
    <row r="70" spans="14:17" ht="15.75" customHeight="1" x14ac:dyDescent="0.25">
      <c r="N70" s="12" t="str">
        <v>SEP-CAM7</v>
      </c>
      <c r="O70" s="12" t="s">
        <v>336</v>
      </c>
      <c r="P70" s="12" t="s">
        <v>59</v>
      </c>
      <c r="Q70" s="12" t="s">
        <v>328</v>
      </c>
    </row>
    <row r="71" spans="14:17" ht="15.75" customHeight="1" x14ac:dyDescent="0.25">
      <c r="N71" s="12" t="str">
        <v>SEP-CAM8</v>
      </c>
      <c r="O71" s="12" t="s">
        <v>337</v>
      </c>
      <c r="P71" s="12" t="s">
        <v>59</v>
      </c>
      <c r="Q71" s="12" t="s">
        <v>328</v>
      </c>
    </row>
    <row r="72" spans="14:17" ht="15.75" customHeight="1" x14ac:dyDescent="0.25">
      <c r="N72" s="12" t="str">
        <v>SEP-CAM9</v>
      </c>
      <c r="O72" s="12" t="s">
        <v>338</v>
      </c>
      <c r="P72" s="12" t="s">
        <v>59</v>
      </c>
      <c r="Q72" s="12" t="s">
        <v>328</v>
      </c>
    </row>
    <row r="73" spans="14:17" ht="15.75" customHeight="1" x14ac:dyDescent="0.25">
      <c r="N73" s="12" t="str">
        <v>SEP-CAM10</v>
      </c>
      <c r="O73" s="12" t="s">
        <v>339</v>
      </c>
      <c r="P73" s="12" t="s">
        <v>59</v>
      </c>
      <c r="Q73" s="12" t="s">
        <v>328</v>
      </c>
    </row>
    <row r="74" spans="14:17" ht="15.75" customHeight="1" x14ac:dyDescent="0.25">
      <c r="N74" s="12" t="s">
        <v>340</v>
      </c>
      <c r="O74" s="12" t="s">
        <v>341</v>
      </c>
      <c r="P74" s="12" t="s">
        <v>59</v>
      </c>
      <c r="Q74" s="12" t="s">
        <v>328</v>
      </c>
    </row>
    <row r="75" spans="14:17" ht="15.75" customHeight="1" x14ac:dyDescent="0.25">
      <c r="N75" s="12" t="s">
        <v>342</v>
      </c>
      <c r="O75" s="12" t="s">
        <v>343</v>
      </c>
      <c r="P75" s="12" t="s">
        <v>59</v>
      </c>
      <c r="Q75" s="12" t="s">
        <v>328</v>
      </c>
    </row>
    <row r="76" spans="14:17" ht="15.75" customHeight="1" x14ac:dyDescent="0.25">
      <c r="N76" s="12" t="s">
        <v>344</v>
      </c>
      <c r="O76" s="12" t="s">
        <v>345</v>
      </c>
      <c r="P76" s="12" t="s">
        <v>59</v>
      </c>
      <c r="Q76" s="12" t="s">
        <v>328</v>
      </c>
    </row>
    <row r="77" spans="14:17" ht="15.75" customHeight="1" x14ac:dyDescent="0.25">
      <c r="N77" s="12" t="s">
        <v>346</v>
      </c>
      <c r="O77" s="12" t="s">
        <v>347</v>
      </c>
      <c r="P77" s="12" t="s">
        <v>59</v>
      </c>
      <c r="Q77" s="12" t="s">
        <v>328</v>
      </c>
    </row>
    <row r="78" spans="14:17" ht="15.75" customHeight="1" x14ac:dyDescent="0.25">
      <c r="N78" s="12" t="str">
        <f t="array" ref="N78:N83">+"PLT-"&amp;B4:B9</f>
        <v>PLT-CAM1</v>
      </c>
      <c r="O78" s="12" t="s">
        <v>348</v>
      </c>
      <c r="P78" s="12" t="s">
        <v>59</v>
      </c>
      <c r="Q78" s="12" t="s">
        <v>328</v>
      </c>
    </row>
    <row r="79" spans="14:17" ht="15.75" customHeight="1" x14ac:dyDescent="0.25">
      <c r="N79" s="12" t="str">
        <v>PLT-CAM2</v>
      </c>
      <c r="O79" s="12" t="s">
        <v>349</v>
      </c>
      <c r="P79" s="12" t="s">
        <v>59</v>
      </c>
      <c r="Q79" s="12" t="s">
        <v>328</v>
      </c>
    </row>
    <row r="80" spans="14:17" ht="15.75" customHeight="1" x14ac:dyDescent="0.25">
      <c r="N80" s="12" t="str">
        <v>PLT-CAM3</v>
      </c>
      <c r="O80" s="12" t="s">
        <v>350</v>
      </c>
      <c r="P80" s="12" t="s">
        <v>59</v>
      </c>
      <c r="Q80" s="12" t="s">
        <v>328</v>
      </c>
    </row>
    <row r="81" spans="14:17" ht="15.75" customHeight="1" x14ac:dyDescent="0.25">
      <c r="N81" s="12" t="str">
        <v>PLT-CAM4</v>
      </c>
      <c r="O81" s="12" t="s">
        <v>351</v>
      </c>
      <c r="P81" s="12" t="s">
        <v>59</v>
      </c>
      <c r="Q81" s="12" t="s">
        <v>328</v>
      </c>
    </row>
    <row r="82" spans="14:17" ht="15.75" customHeight="1" x14ac:dyDescent="0.25">
      <c r="N82" s="12" t="str">
        <v>PLT-CAM5</v>
      </c>
      <c r="O82" s="12" t="s">
        <v>352</v>
      </c>
      <c r="P82" s="12" t="s">
        <v>59</v>
      </c>
      <c r="Q82" s="12" t="s">
        <v>328</v>
      </c>
    </row>
    <row r="83" spans="14:17" ht="15.75" customHeight="1" x14ac:dyDescent="0.25">
      <c r="N83" s="12" t="str">
        <v>PLT-CAM6</v>
      </c>
      <c r="O83" s="12" t="s">
        <v>353</v>
      </c>
      <c r="P83" s="12" t="s">
        <v>59</v>
      </c>
      <c r="Q83" s="12" t="s">
        <v>328</v>
      </c>
    </row>
    <row r="84" spans="14:17" ht="15.75" customHeight="1" x14ac:dyDescent="0.25">
      <c r="N84" s="14" t="s">
        <v>354</v>
      </c>
      <c r="O84" s="12" t="s">
        <v>355</v>
      </c>
      <c r="P84" s="12" t="s">
        <v>59</v>
      </c>
      <c r="Q84" s="12" t="s">
        <v>328</v>
      </c>
    </row>
    <row r="85" spans="14:17" ht="15.75" customHeight="1" x14ac:dyDescent="0.25">
      <c r="N85" s="16" t="s">
        <v>356</v>
      </c>
      <c r="O85" s="1" t="s">
        <v>357</v>
      </c>
      <c r="P85" s="12" t="s">
        <v>59</v>
      </c>
      <c r="Q85" s="12" t="s">
        <v>328</v>
      </c>
    </row>
    <row r="86" spans="14:17" ht="15.75" customHeight="1" x14ac:dyDescent="0.25">
      <c r="N86" s="16" t="s">
        <v>358</v>
      </c>
      <c r="O86" s="1" t="s">
        <v>359</v>
      </c>
      <c r="P86" s="12" t="s">
        <v>59</v>
      </c>
      <c r="Q86" s="12" t="s">
        <v>328</v>
      </c>
    </row>
    <row r="87" spans="14:17" ht="15.75" customHeight="1" x14ac:dyDescent="0.25">
      <c r="N87" s="16" t="s">
        <v>360</v>
      </c>
      <c r="O87" s="1" t="s">
        <v>361</v>
      </c>
      <c r="P87" s="12" t="s">
        <v>59</v>
      </c>
      <c r="Q87" s="12" t="s">
        <v>328</v>
      </c>
    </row>
    <row r="88" spans="14:17" ht="15.75" customHeight="1" x14ac:dyDescent="0.25">
      <c r="N88" s="16" t="s">
        <v>362</v>
      </c>
      <c r="O88" s="1" t="s">
        <v>363</v>
      </c>
      <c r="P88" s="12" t="s">
        <v>59</v>
      </c>
      <c r="Q88" s="12" t="s">
        <v>328</v>
      </c>
    </row>
    <row r="89" spans="14:17" ht="15.75" customHeight="1" x14ac:dyDescent="0.25">
      <c r="N89" s="16" t="s">
        <v>364</v>
      </c>
      <c r="O89" s="1" t="s">
        <v>365</v>
      </c>
      <c r="P89" s="12" t="s">
        <v>59</v>
      </c>
      <c r="Q89" s="12" t="s">
        <v>328</v>
      </c>
    </row>
    <row r="90" spans="14:17" ht="15.75" customHeight="1" x14ac:dyDescent="0.25">
      <c r="N90" s="16" t="s">
        <v>366</v>
      </c>
      <c r="O90" s="1" t="s">
        <v>367</v>
      </c>
      <c r="P90" s="12" t="s">
        <v>59</v>
      </c>
      <c r="Q90" s="12" t="s">
        <v>328</v>
      </c>
    </row>
    <row r="91" spans="14:17" ht="15.75" customHeight="1" x14ac:dyDescent="0.25">
      <c r="N91" s="16" t="s">
        <v>368</v>
      </c>
      <c r="O91" s="1" t="s">
        <v>369</v>
      </c>
      <c r="P91" s="12" t="s">
        <v>59</v>
      </c>
      <c r="Q91" s="12" t="s">
        <v>328</v>
      </c>
    </row>
    <row r="92" spans="14:17" ht="15.75" customHeight="1" x14ac:dyDescent="0.25">
      <c r="N92" s="16" t="s">
        <v>370</v>
      </c>
      <c r="O92" s="1" t="s">
        <v>371</v>
      </c>
      <c r="P92" s="12" t="s">
        <v>59</v>
      </c>
      <c r="Q92" s="12" t="s">
        <v>328</v>
      </c>
    </row>
    <row r="93" spans="14:17" ht="15.75" customHeight="1" x14ac:dyDescent="0.25">
      <c r="N93" s="16" t="s">
        <v>372</v>
      </c>
      <c r="O93" s="1" t="s">
        <v>373</v>
      </c>
      <c r="P93" s="12" t="s">
        <v>59</v>
      </c>
      <c r="Q93" s="12" t="s">
        <v>328</v>
      </c>
    </row>
    <row r="94" spans="14:17" ht="15.75" customHeight="1" x14ac:dyDescent="0.25">
      <c r="N94" s="16" t="s">
        <v>374</v>
      </c>
      <c r="O94" s="1" t="s">
        <v>375</v>
      </c>
      <c r="P94" s="12" t="s">
        <v>59</v>
      </c>
      <c r="Q94" s="12" t="s">
        <v>328</v>
      </c>
    </row>
    <row r="95" spans="14:17" ht="15.75" customHeight="1" x14ac:dyDescent="0.25">
      <c r="N95" s="16" t="s">
        <v>376</v>
      </c>
      <c r="O95" s="1" t="s">
        <v>377</v>
      </c>
      <c r="P95" s="12" t="s">
        <v>59</v>
      </c>
      <c r="Q95" s="12" t="s">
        <v>328</v>
      </c>
    </row>
    <row r="96" spans="14:17" ht="15.75" customHeight="1" x14ac:dyDescent="0.25">
      <c r="N96" s="16" t="s">
        <v>378</v>
      </c>
      <c r="O96" s="1" t="s">
        <v>379</v>
      </c>
      <c r="P96" s="12" t="s">
        <v>59</v>
      </c>
      <c r="Q96" s="12" t="s">
        <v>328</v>
      </c>
    </row>
    <row r="97" spans="14:17" ht="15.75" customHeight="1" x14ac:dyDescent="0.25">
      <c r="N97" s="17" t="str">
        <f t="array" ref="N97:N103">+"COLFUEL-GAS-"&amp;B4:B10</f>
        <v>COLFUEL-GAS-CAM1</v>
      </c>
      <c r="O97" s="18" t="s">
        <v>380</v>
      </c>
      <c r="P97" s="18" t="s">
        <v>59</v>
      </c>
      <c r="Q97" s="18" t="s">
        <v>381</v>
      </c>
    </row>
    <row r="98" spans="14:17" ht="15.75" customHeight="1" x14ac:dyDescent="0.25">
      <c r="N98" s="18" t="str">
        <v>COLFUEL-GAS-CAM2</v>
      </c>
      <c r="O98" s="18" t="s">
        <v>382</v>
      </c>
      <c r="P98" s="18" t="s">
        <v>59</v>
      </c>
      <c r="Q98" s="18" t="s">
        <v>381</v>
      </c>
    </row>
    <row r="99" spans="14:17" ht="15.75" customHeight="1" x14ac:dyDescent="0.25">
      <c r="N99" s="18" t="str">
        <v>COLFUEL-GAS-CAM3</v>
      </c>
      <c r="O99" s="18" t="s">
        <v>383</v>
      </c>
      <c r="P99" s="18" t="s">
        <v>59</v>
      </c>
      <c r="Q99" s="18" t="s">
        <v>381</v>
      </c>
    </row>
    <row r="100" spans="14:17" ht="15.75" customHeight="1" x14ac:dyDescent="0.25">
      <c r="N100" s="18" t="str">
        <v>COLFUEL-GAS-CAM4</v>
      </c>
      <c r="O100" s="18" t="s">
        <v>384</v>
      </c>
      <c r="P100" s="18" t="s">
        <v>59</v>
      </c>
      <c r="Q100" s="18" t="s">
        <v>381</v>
      </c>
    </row>
    <row r="101" spans="14:17" ht="15.75" customHeight="1" x14ac:dyDescent="0.25">
      <c r="N101" s="18" t="str">
        <v>COLFUEL-GAS-CAM5</v>
      </c>
      <c r="O101" s="18" t="s">
        <v>385</v>
      </c>
      <c r="P101" s="18" t="s">
        <v>59</v>
      </c>
      <c r="Q101" s="18" t="s">
        <v>381</v>
      </c>
    </row>
    <row r="102" spans="14:17" ht="15.75" customHeight="1" x14ac:dyDescent="0.25">
      <c r="N102" s="18" t="str">
        <v>COLFUEL-GAS-CAM6</v>
      </c>
      <c r="O102" s="18" t="s">
        <v>386</v>
      </c>
      <c r="P102" s="18" t="s">
        <v>59</v>
      </c>
      <c r="Q102" s="18" t="s">
        <v>381</v>
      </c>
    </row>
    <row r="103" spans="14:17" ht="15.75" customHeight="1" x14ac:dyDescent="0.25">
      <c r="N103" s="18" t="str">
        <v>COLFUEL-GAS-CAM7</v>
      </c>
      <c r="O103" s="18" t="s">
        <v>387</v>
      </c>
      <c r="P103" s="18" t="s">
        <v>59</v>
      </c>
      <c r="Q103" s="18" t="s">
        <v>381</v>
      </c>
    </row>
    <row r="104" spans="14:17" ht="15.75" customHeight="1" x14ac:dyDescent="0.25">
      <c r="N104" s="17" t="str">
        <f t="array" ref="N104:N110">+"COLELC-GAS-"&amp;B4:B10</f>
        <v>COLELC-GAS-CAM1</v>
      </c>
      <c r="O104" s="18" t="s">
        <v>388</v>
      </c>
      <c r="P104" s="18" t="s">
        <v>59</v>
      </c>
      <c r="Q104" s="18" t="s">
        <v>381</v>
      </c>
    </row>
    <row r="105" spans="14:17" ht="15.75" customHeight="1" x14ac:dyDescent="0.25">
      <c r="N105" s="18" t="str">
        <v>COLELC-GAS-CAM2</v>
      </c>
      <c r="O105" s="18" t="s">
        <v>389</v>
      </c>
      <c r="P105" s="18" t="s">
        <v>59</v>
      </c>
      <c r="Q105" s="18" t="s">
        <v>381</v>
      </c>
    </row>
    <row r="106" spans="14:17" ht="15.75" customHeight="1" x14ac:dyDescent="0.25">
      <c r="N106" s="18" t="str">
        <v>COLELC-GAS-CAM3</v>
      </c>
      <c r="O106" s="18" t="s">
        <v>390</v>
      </c>
      <c r="P106" s="18" t="s">
        <v>59</v>
      </c>
      <c r="Q106" s="18" t="s">
        <v>381</v>
      </c>
    </row>
    <row r="107" spans="14:17" ht="15.75" customHeight="1" x14ac:dyDescent="0.25">
      <c r="N107" s="18" t="str">
        <v>COLELC-GAS-CAM4</v>
      </c>
      <c r="O107" s="18" t="s">
        <v>391</v>
      </c>
      <c r="P107" s="18" t="s">
        <v>59</v>
      </c>
      <c r="Q107" s="18" t="s">
        <v>381</v>
      </c>
    </row>
    <row r="108" spans="14:17" ht="15.75" customHeight="1" x14ac:dyDescent="0.25">
      <c r="N108" s="18" t="str">
        <v>COLELC-GAS-CAM5</v>
      </c>
      <c r="O108" s="18" t="s">
        <v>392</v>
      </c>
      <c r="P108" s="18" t="s">
        <v>59</v>
      </c>
      <c r="Q108" s="18" t="s">
        <v>381</v>
      </c>
    </row>
    <row r="109" spans="14:17" ht="15.75" customHeight="1" x14ac:dyDescent="0.25">
      <c r="N109" s="18" t="str">
        <v>COLELC-GAS-CAM6</v>
      </c>
      <c r="O109" s="18" t="s">
        <v>393</v>
      </c>
      <c r="P109" s="18" t="s">
        <v>59</v>
      </c>
      <c r="Q109" s="18" t="s">
        <v>381</v>
      </c>
    </row>
    <row r="110" spans="14:17" ht="15.75" customHeight="1" x14ac:dyDescent="0.25">
      <c r="N110" s="18" t="str">
        <v>COLELC-GAS-CAM7</v>
      </c>
      <c r="O110" s="18" t="s">
        <v>394</v>
      </c>
      <c r="P110" s="18" t="s">
        <v>59</v>
      </c>
      <c r="Q110" s="18" t="s">
        <v>381</v>
      </c>
    </row>
    <row r="111" spans="14:17" ht="15.75" customHeight="1" x14ac:dyDescent="0.25">
      <c r="N111" s="12" t="s">
        <v>395</v>
      </c>
      <c r="O111" s="18" t="s">
        <v>396</v>
      </c>
      <c r="P111" s="18" t="s">
        <v>59</v>
      </c>
      <c r="Q111" s="18" t="s">
        <v>328</v>
      </c>
    </row>
    <row r="112" spans="14:17" ht="15.75" customHeight="1" x14ac:dyDescent="0.25">
      <c r="N112" s="12" t="s">
        <v>397</v>
      </c>
      <c r="O112" s="18" t="s">
        <v>398</v>
      </c>
      <c r="P112" s="18" t="s">
        <v>59</v>
      </c>
      <c r="Q112" s="18" t="s">
        <v>328</v>
      </c>
    </row>
    <row r="113" spans="13:20" ht="15.75" customHeight="1" x14ac:dyDescent="0.25">
      <c r="N113" s="12" t="s">
        <v>399</v>
      </c>
      <c r="O113" s="18" t="s">
        <v>400</v>
      </c>
      <c r="P113" s="18" t="s">
        <v>59</v>
      </c>
      <c r="Q113" s="18" t="s">
        <v>328</v>
      </c>
    </row>
    <row r="114" spans="13:20" ht="15.75" customHeight="1" x14ac:dyDescent="0.25">
      <c r="N114" s="12" t="s">
        <v>401</v>
      </c>
      <c r="O114" s="18" t="s">
        <v>402</v>
      </c>
      <c r="P114" s="18" t="s">
        <v>59</v>
      </c>
      <c r="Q114" s="18" t="s">
        <v>328</v>
      </c>
    </row>
    <row r="115" spans="13:20" ht="15.75" customHeight="1" x14ac:dyDescent="0.25">
      <c r="N115" s="12" t="s">
        <v>403</v>
      </c>
      <c r="O115" s="18" t="s">
        <v>404</v>
      </c>
      <c r="P115" s="18" t="s">
        <v>59</v>
      </c>
      <c r="Q115" s="18" t="s">
        <v>328</v>
      </c>
    </row>
    <row r="116" spans="13:20" ht="15.75" customHeight="1" x14ac:dyDescent="0.25">
      <c r="N116" s="12" t="s">
        <v>405</v>
      </c>
      <c r="O116" s="18" t="s">
        <v>406</v>
      </c>
      <c r="P116" s="18" t="s">
        <v>59</v>
      </c>
      <c r="Q116" s="18" t="s">
        <v>328</v>
      </c>
    </row>
    <row r="117" spans="13:20" ht="15.75" customHeight="1" x14ac:dyDescent="0.25">
      <c r="N117" s="12" t="s">
        <v>407</v>
      </c>
      <c r="O117" s="18" t="s">
        <v>408</v>
      </c>
      <c r="P117" s="18" t="s">
        <v>59</v>
      </c>
      <c r="Q117" s="18" t="s">
        <v>328</v>
      </c>
    </row>
    <row r="118" spans="13:20" ht="15.75" customHeight="1" x14ac:dyDescent="0.25">
      <c r="N118" s="12" t="s">
        <v>409</v>
      </c>
      <c r="O118" s="18" t="s">
        <v>410</v>
      </c>
      <c r="P118" s="18" t="s">
        <v>59</v>
      </c>
      <c r="Q118" s="18" t="s">
        <v>328</v>
      </c>
    </row>
    <row r="119" spans="13:20" ht="15.75" customHeight="1" x14ac:dyDescent="0.25">
      <c r="N119" s="12" t="s">
        <v>411</v>
      </c>
      <c r="O119" s="18" t="s">
        <v>412</v>
      </c>
      <c r="P119" s="18" t="s">
        <v>59</v>
      </c>
      <c r="Q119" s="18" t="s">
        <v>328</v>
      </c>
    </row>
    <row r="120" spans="13:20" ht="15.75" customHeight="1" x14ac:dyDescent="0.25">
      <c r="N120" s="12" t="s">
        <v>413</v>
      </c>
      <c r="O120" s="18" t="s">
        <v>414</v>
      </c>
      <c r="P120" s="18" t="s">
        <v>59</v>
      </c>
      <c r="Q120" s="18" t="s">
        <v>328</v>
      </c>
    </row>
    <row r="121" spans="13:20" ht="15.75" customHeight="1" x14ac:dyDescent="0.25">
      <c r="N121" s="12" t="s">
        <v>415</v>
      </c>
      <c r="O121" s="18" t="s">
        <v>416</v>
      </c>
      <c r="P121" s="18" t="s">
        <v>59</v>
      </c>
      <c r="Q121" s="18" t="s">
        <v>328</v>
      </c>
    </row>
    <row r="122" spans="13:20" ht="15.75" customHeight="1" x14ac:dyDescent="0.25">
      <c r="N122" s="12" t="s">
        <v>417</v>
      </c>
      <c r="O122" s="18" t="s">
        <v>418</v>
      </c>
      <c r="P122" s="18" t="s">
        <v>59</v>
      </c>
      <c r="Q122" s="18" t="s">
        <v>328</v>
      </c>
    </row>
    <row r="123" spans="13:20" ht="15.75" customHeight="1" x14ac:dyDescent="0.25">
      <c r="N123" s="12" t="s">
        <v>419</v>
      </c>
      <c r="O123" s="18" t="s">
        <v>420</v>
      </c>
      <c r="P123" s="18" t="s">
        <v>59</v>
      </c>
      <c r="Q123" s="18" t="s">
        <v>328</v>
      </c>
    </row>
    <row r="124" spans="13:20" ht="15.75" customHeight="1" x14ac:dyDescent="0.25">
      <c r="N124" s="12" t="s">
        <v>421</v>
      </c>
      <c r="O124" s="18" t="s">
        <v>422</v>
      </c>
      <c r="P124" s="18" t="s">
        <v>59</v>
      </c>
      <c r="Q124" s="18" t="s">
        <v>328</v>
      </c>
      <c r="R124" s="1"/>
    </row>
    <row r="125" spans="13:20" ht="15.75" customHeight="1" x14ac:dyDescent="0.25">
      <c r="N125" s="12" t="s">
        <v>423</v>
      </c>
      <c r="O125" s="18" t="s">
        <v>424</v>
      </c>
      <c r="P125" s="18" t="s">
        <v>59</v>
      </c>
      <c r="Q125" s="18" t="s">
        <v>328</v>
      </c>
      <c r="R125" s="1"/>
    </row>
    <row r="126" spans="13:20" ht="15.75" customHeight="1" x14ac:dyDescent="0.25">
      <c r="N126" s="12" t="s">
        <v>425</v>
      </c>
      <c r="O126" s="18" t="s">
        <v>426</v>
      </c>
      <c r="P126" s="18" t="s">
        <v>59</v>
      </c>
      <c r="Q126" s="18" t="s">
        <v>328</v>
      </c>
      <c r="R126" s="1"/>
      <c r="S126" s="1"/>
    </row>
    <row r="127" spans="13:20" ht="15.75" customHeight="1" x14ac:dyDescent="0.25">
      <c r="N127" s="12" t="s">
        <v>427</v>
      </c>
      <c r="O127" s="18" t="s">
        <v>428</v>
      </c>
      <c r="P127" s="18" t="s">
        <v>59</v>
      </c>
      <c r="Q127" s="18" t="s">
        <v>328</v>
      </c>
      <c r="R127" s="1"/>
      <c r="S127" s="1"/>
    </row>
    <row r="128" spans="13:20" ht="15.75" customHeight="1" x14ac:dyDescent="0.25">
      <c r="M128" s="1"/>
      <c r="N128" s="12" t="s">
        <v>429</v>
      </c>
      <c r="O128" s="18" t="s">
        <v>430</v>
      </c>
      <c r="P128" s="18" t="s">
        <v>59</v>
      </c>
      <c r="Q128" s="18" t="s">
        <v>328</v>
      </c>
      <c r="R128" s="1"/>
      <c r="S128" s="1"/>
      <c r="T128" s="1"/>
    </row>
    <row r="129" spans="13:20" ht="15.75" customHeight="1" x14ac:dyDescent="0.25">
      <c r="M129" s="1"/>
      <c r="N129" s="12" t="s">
        <v>431</v>
      </c>
      <c r="O129" s="18" t="s">
        <v>432</v>
      </c>
      <c r="P129" s="18" t="s">
        <v>59</v>
      </c>
      <c r="Q129" s="18" t="s">
        <v>328</v>
      </c>
      <c r="R129" s="1"/>
      <c r="S129" s="1"/>
      <c r="T129" s="1"/>
    </row>
    <row r="130" spans="13:20" ht="15.75" customHeight="1" x14ac:dyDescent="0.25">
      <c r="M130" s="1"/>
      <c r="N130" s="12" t="s">
        <v>433</v>
      </c>
      <c r="O130" s="18" t="s">
        <v>434</v>
      </c>
      <c r="P130" s="18" t="s">
        <v>59</v>
      </c>
      <c r="Q130" s="18" t="s">
        <v>328</v>
      </c>
      <c r="R130" s="1"/>
      <c r="S130" s="1"/>
      <c r="T130" s="1"/>
    </row>
    <row r="131" spans="13:20" ht="15.75" customHeight="1" x14ac:dyDescent="0.25">
      <c r="M131" s="1"/>
      <c r="N131" s="12" t="s">
        <v>435</v>
      </c>
      <c r="O131" s="18" t="s">
        <v>436</v>
      </c>
      <c r="P131" s="18" t="s">
        <v>59</v>
      </c>
      <c r="Q131" s="18" t="s">
        <v>328</v>
      </c>
      <c r="R131" s="1"/>
      <c r="S131" s="1"/>
      <c r="T131" s="1"/>
    </row>
    <row r="132" spans="13:20" ht="15.75" customHeight="1" x14ac:dyDescent="0.25">
      <c r="M132" s="1"/>
      <c r="N132" s="12" t="s">
        <v>437</v>
      </c>
      <c r="O132" s="18" t="s">
        <v>438</v>
      </c>
      <c r="P132" s="18" t="s">
        <v>59</v>
      </c>
      <c r="Q132" s="18" t="s">
        <v>328</v>
      </c>
      <c r="R132" s="1"/>
      <c r="S132" s="1"/>
      <c r="T132" s="1"/>
    </row>
    <row r="133" spans="13:20" ht="15.75" customHeight="1" x14ac:dyDescent="0.25">
      <c r="M133" s="1"/>
      <c r="N133" s="12" t="s">
        <v>439</v>
      </c>
      <c r="O133" s="18" t="s">
        <v>440</v>
      </c>
      <c r="P133" s="18" t="s">
        <v>59</v>
      </c>
      <c r="Q133" s="18" t="s">
        <v>328</v>
      </c>
      <c r="R133" s="1"/>
      <c r="S133" s="1"/>
      <c r="T133" s="1"/>
    </row>
    <row r="134" spans="13:20" ht="15.75" customHeight="1" x14ac:dyDescent="0.25">
      <c r="M134" s="1"/>
      <c r="N134" s="12" t="s">
        <v>441</v>
      </c>
      <c r="O134" s="18" t="s">
        <v>442</v>
      </c>
      <c r="P134" s="18" t="s">
        <v>59</v>
      </c>
      <c r="Q134" s="18" t="s">
        <v>328</v>
      </c>
      <c r="R134" s="1"/>
      <c r="S134" s="1"/>
      <c r="T134" s="1"/>
    </row>
    <row r="135" spans="13:20" ht="15.75" customHeight="1" x14ac:dyDescent="0.25">
      <c r="M135" s="1"/>
      <c r="N135" s="12" t="str">
        <f t="array" ref="N135:N141">+"FTE-FUEL-GAS-"&amp;B4:B10</f>
        <v>FTE-FUEL-GAS-CAM1</v>
      </c>
      <c r="O135" s="18" t="s">
        <v>443</v>
      </c>
      <c r="P135" s="18" t="s">
        <v>59</v>
      </c>
      <c r="Q135" s="18" t="s">
        <v>328</v>
      </c>
      <c r="R135" s="1"/>
      <c r="S135" s="1"/>
      <c r="T135" s="1"/>
    </row>
    <row r="136" spans="13:20" ht="15.75" customHeight="1" x14ac:dyDescent="0.25">
      <c r="M136" s="1"/>
      <c r="N136" s="12" t="str">
        <v>FTE-FUEL-GAS-CAM2</v>
      </c>
      <c r="O136" s="18" t="s">
        <v>444</v>
      </c>
      <c r="P136" s="18" t="s">
        <v>59</v>
      </c>
      <c r="Q136" s="18" t="s">
        <v>328</v>
      </c>
      <c r="R136" s="1"/>
      <c r="S136" s="1"/>
      <c r="T136" s="1"/>
    </row>
    <row r="137" spans="13:20" ht="15.75" customHeight="1" x14ac:dyDescent="0.25">
      <c r="M137" s="1"/>
      <c r="N137" s="12" t="str">
        <v>FTE-FUEL-GAS-CAM3</v>
      </c>
      <c r="O137" s="18" t="s">
        <v>445</v>
      </c>
      <c r="P137" s="18" t="s">
        <v>59</v>
      </c>
      <c r="Q137" s="18" t="s">
        <v>328</v>
      </c>
      <c r="S137" s="1"/>
      <c r="T137" s="1"/>
    </row>
    <row r="138" spans="13:20" ht="15.75" customHeight="1" x14ac:dyDescent="0.25">
      <c r="M138" s="1"/>
      <c r="N138" s="12" t="str">
        <v>FTE-FUEL-GAS-CAM4</v>
      </c>
      <c r="O138" s="18" t="s">
        <v>446</v>
      </c>
      <c r="P138" s="18" t="s">
        <v>59</v>
      </c>
      <c r="Q138" s="18" t="s">
        <v>328</v>
      </c>
      <c r="S138" s="1"/>
      <c r="T138" s="1"/>
    </row>
    <row r="139" spans="13:20" ht="15.75" customHeight="1" x14ac:dyDescent="0.25">
      <c r="M139" s="1"/>
      <c r="N139" s="12" t="str">
        <v>FTE-FUEL-GAS-CAM5</v>
      </c>
      <c r="O139" s="18" t="s">
        <v>447</v>
      </c>
      <c r="P139" s="18" t="s">
        <v>59</v>
      </c>
      <c r="Q139" s="18" t="s">
        <v>328</v>
      </c>
      <c r="T139" s="1"/>
    </row>
    <row r="140" spans="13:20" ht="15.75" customHeight="1" x14ac:dyDescent="0.25">
      <c r="M140" s="1"/>
      <c r="N140" s="12" t="str">
        <v>FTE-FUEL-GAS-CAM6</v>
      </c>
      <c r="O140" s="18" t="s">
        <v>448</v>
      </c>
      <c r="P140" s="18" t="s">
        <v>59</v>
      </c>
      <c r="Q140" s="18" t="s">
        <v>328</v>
      </c>
      <c r="T140" s="1"/>
    </row>
    <row r="141" spans="13:20" ht="15.75" customHeight="1" x14ac:dyDescent="0.25">
      <c r="N141" s="12" t="str">
        <v>FTE-FUEL-GAS-CAM7</v>
      </c>
      <c r="O141" s="18" t="s">
        <v>449</v>
      </c>
      <c r="P141" s="18" t="s">
        <v>59</v>
      </c>
      <c r="Q141" s="18" t="s">
        <v>328</v>
      </c>
    </row>
    <row r="142" spans="13:20" ht="15.75" customHeight="1" x14ac:dyDescent="0.25">
      <c r="N142" s="12" t="str">
        <f t="array" ref="N142:N148">+"FTE-FUEL-DSL-"&amp;$B$4:$B$10</f>
        <v>FTE-FUEL-DSL-CAM1</v>
      </c>
      <c r="O142" s="18" t="s">
        <v>450</v>
      </c>
      <c r="P142" s="18" t="s">
        <v>59</v>
      </c>
      <c r="Q142" s="18" t="s">
        <v>328</v>
      </c>
    </row>
    <row r="143" spans="13:20" ht="15.75" customHeight="1" x14ac:dyDescent="0.25">
      <c r="N143" s="12" t="str">
        <v>FTE-FUEL-DSL-CAM2</v>
      </c>
      <c r="O143" s="18" t="s">
        <v>451</v>
      </c>
      <c r="P143" s="18" t="s">
        <v>59</v>
      </c>
      <c r="Q143" s="18" t="s">
        <v>328</v>
      </c>
    </row>
    <row r="144" spans="13:20" ht="15.75" customHeight="1" x14ac:dyDescent="0.25">
      <c r="N144" s="12" t="str">
        <v>FTE-FUEL-DSL-CAM3</v>
      </c>
      <c r="O144" s="18" t="s">
        <v>452</v>
      </c>
      <c r="P144" s="18" t="s">
        <v>59</v>
      </c>
      <c r="Q144" s="18" t="s">
        <v>328</v>
      </c>
    </row>
    <row r="145" spans="14:17" ht="15.75" customHeight="1" x14ac:dyDescent="0.25">
      <c r="N145" s="12" t="str">
        <v>FTE-FUEL-DSL-CAM4</v>
      </c>
      <c r="O145" s="18" t="s">
        <v>453</v>
      </c>
      <c r="P145" s="18" t="s">
        <v>59</v>
      </c>
      <c r="Q145" s="18" t="s">
        <v>328</v>
      </c>
    </row>
    <row r="146" spans="14:17" ht="15.75" customHeight="1" x14ac:dyDescent="0.25">
      <c r="N146" s="12" t="str">
        <v>FTE-FUEL-DSL-CAM5</v>
      </c>
      <c r="O146" s="18" t="s">
        <v>454</v>
      </c>
      <c r="P146" s="18" t="s">
        <v>59</v>
      </c>
      <c r="Q146" s="18" t="s">
        <v>328</v>
      </c>
    </row>
    <row r="147" spans="14:17" ht="15.75" customHeight="1" x14ac:dyDescent="0.25">
      <c r="N147" s="12" t="str">
        <v>FTE-FUEL-DSL-CAM6</v>
      </c>
      <c r="O147" s="18" t="s">
        <v>455</v>
      </c>
      <c r="P147" s="18" t="s">
        <v>59</v>
      </c>
      <c r="Q147" s="18" t="s">
        <v>328</v>
      </c>
    </row>
    <row r="148" spans="14:17" ht="15.75" customHeight="1" x14ac:dyDescent="0.25">
      <c r="N148" s="12" t="str">
        <v>FTE-FUEL-DSL-CAM7</v>
      </c>
      <c r="O148" s="18" t="s">
        <v>456</v>
      </c>
      <c r="P148" s="18" t="s">
        <v>59</v>
      </c>
      <c r="Q148" s="18" t="s">
        <v>328</v>
      </c>
    </row>
    <row r="149" spans="14:17" ht="15.75" customHeight="1" x14ac:dyDescent="0.25">
      <c r="N149" s="12" t="str">
        <f t="array" ref="N149:N155">+"FTE-FUEL-OIL-"&amp;$B$4:$B$10</f>
        <v>FTE-FUEL-OIL-CAM1</v>
      </c>
      <c r="O149" s="18" t="s">
        <v>457</v>
      </c>
      <c r="P149" s="18" t="s">
        <v>59</v>
      </c>
      <c r="Q149" s="18" t="s">
        <v>328</v>
      </c>
    </row>
    <row r="150" spans="14:17" ht="15.75" customHeight="1" x14ac:dyDescent="0.25">
      <c r="N150" s="12" t="str">
        <v>FTE-FUEL-OIL-CAM2</v>
      </c>
      <c r="O150" s="18" t="s">
        <v>458</v>
      </c>
      <c r="P150" s="18" t="s">
        <v>59</v>
      </c>
      <c r="Q150" s="18" t="s">
        <v>328</v>
      </c>
    </row>
    <row r="151" spans="14:17" ht="15.75" customHeight="1" x14ac:dyDescent="0.25">
      <c r="N151" s="12" t="str">
        <v>FTE-FUEL-OIL-CAM3</v>
      </c>
      <c r="O151" s="18" t="s">
        <v>459</v>
      </c>
      <c r="P151" s="18" t="s">
        <v>59</v>
      </c>
      <c r="Q151" s="18" t="s">
        <v>328</v>
      </c>
    </row>
    <row r="152" spans="14:17" ht="15.75" customHeight="1" x14ac:dyDescent="0.25">
      <c r="N152" s="1" t="str">
        <v>FTE-FUEL-OIL-CAM4</v>
      </c>
      <c r="O152" s="18" t="s">
        <v>460</v>
      </c>
      <c r="P152" s="18" t="s">
        <v>59</v>
      </c>
      <c r="Q152" s="18" t="s">
        <v>328</v>
      </c>
    </row>
    <row r="153" spans="14:17" ht="15.75" customHeight="1" x14ac:dyDescent="0.25">
      <c r="N153" s="1" t="str">
        <v>FTE-FUEL-OIL-CAM5</v>
      </c>
      <c r="O153" s="18" t="s">
        <v>461</v>
      </c>
      <c r="P153" s="18" t="s">
        <v>59</v>
      </c>
      <c r="Q153" s="18" t="s">
        <v>328</v>
      </c>
    </row>
    <row r="154" spans="14:17" ht="15.75" customHeight="1" x14ac:dyDescent="0.25">
      <c r="N154" s="1" t="str">
        <v>FTE-FUEL-OIL-CAM6</v>
      </c>
      <c r="O154" s="18" t="s">
        <v>462</v>
      </c>
      <c r="P154" s="18" t="s">
        <v>59</v>
      </c>
      <c r="Q154" s="18" t="s">
        <v>328</v>
      </c>
    </row>
    <row r="155" spans="14:17" ht="15.75" customHeight="1" x14ac:dyDescent="0.25">
      <c r="N155" s="1" t="str">
        <v>FTE-FUEL-OIL-CAM7</v>
      </c>
      <c r="O155" s="18" t="s">
        <v>463</v>
      </c>
      <c r="P155" s="18" t="s">
        <v>59</v>
      </c>
      <c r="Q155" s="18" t="s">
        <v>328</v>
      </c>
    </row>
    <row r="156" spans="14:17" ht="15.75" customHeight="1" x14ac:dyDescent="0.25">
      <c r="N156" s="12" t="s">
        <v>464</v>
      </c>
      <c r="O156" s="18" t="s">
        <v>465</v>
      </c>
      <c r="P156" s="18" t="s">
        <v>59</v>
      </c>
      <c r="Q156" s="18" t="s">
        <v>328</v>
      </c>
    </row>
    <row r="157" spans="14:17" ht="15.75" customHeight="1" x14ac:dyDescent="0.25">
      <c r="N157" s="19" t="s">
        <v>466</v>
      </c>
      <c r="O157" s="18" t="s">
        <v>467</v>
      </c>
      <c r="P157" s="18" t="s">
        <v>59</v>
      </c>
      <c r="Q157" s="18" t="s">
        <v>328</v>
      </c>
    </row>
    <row r="158" spans="14:17" ht="15.75" customHeight="1" x14ac:dyDescent="0.25">
      <c r="N158" s="19" t="s">
        <v>468</v>
      </c>
      <c r="O158" s="18" t="s">
        <v>469</v>
      </c>
      <c r="P158" s="18" t="s">
        <v>59</v>
      </c>
      <c r="Q158" s="18" t="s">
        <v>328</v>
      </c>
    </row>
    <row r="159" spans="14:17" ht="15.75" customHeight="1" x14ac:dyDescent="0.25">
      <c r="N159" s="19" t="s">
        <v>470</v>
      </c>
      <c r="O159" s="18" t="s">
        <v>471</v>
      </c>
      <c r="P159" s="18" t="s">
        <v>59</v>
      </c>
      <c r="Q159" s="18" t="s">
        <v>328</v>
      </c>
    </row>
    <row r="160" spans="14:17" ht="15.75" customHeight="1" x14ac:dyDescent="0.25">
      <c r="N160" s="19" t="s">
        <v>472</v>
      </c>
      <c r="O160" s="18" t="s">
        <v>473</v>
      </c>
      <c r="P160" s="18" t="s">
        <v>59</v>
      </c>
      <c r="Q160" s="18" t="s">
        <v>328</v>
      </c>
    </row>
    <row r="161" spans="14:17" ht="15.75" customHeight="1" x14ac:dyDescent="0.25">
      <c r="N161" s="19" t="s">
        <v>474</v>
      </c>
      <c r="O161" s="18" t="s">
        <v>475</v>
      </c>
      <c r="P161" s="18" t="s">
        <v>59</v>
      </c>
      <c r="Q161" s="18" t="s">
        <v>328</v>
      </c>
    </row>
    <row r="162" spans="14:17" ht="15.75" customHeight="1" x14ac:dyDescent="0.25">
      <c r="N162" s="19" t="s">
        <v>476</v>
      </c>
      <c r="O162" s="18" t="s">
        <v>477</v>
      </c>
      <c r="P162" s="18" t="s">
        <v>59</v>
      </c>
      <c r="Q162" s="18" t="s">
        <v>328</v>
      </c>
    </row>
    <row r="163" spans="14:17" ht="15.75" customHeight="1" x14ac:dyDescent="0.25">
      <c r="N163" s="19" t="s">
        <v>478</v>
      </c>
      <c r="O163" s="18" t="s">
        <v>479</v>
      </c>
      <c r="P163" s="18" t="s">
        <v>59</v>
      </c>
      <c r="Q163" s="18" t="s">
        <v>328</v>
      </c>
    </row>
    <row r="164" spans="14:17" ht="15.75" customHeight="1" x14ac:dyDescent="0.25">
      <c r="N164" s="19" t="s">
        <v>480</v>
      </c>
      <c r="O164" s="18" t="s">
        <v>481</v>
      </c>
      <c r="P164" s="18" t="s">
        <v>59</v>
      </c>
      <c r="Q164" s="18" t="s">
        <v>328</v>
      </c>
    </row>
    <row r="165" spans="14:17" ht="15.75" customHeight="1" x14ac:dyDescent="0.25">
      <c r="N165" s="19" t="s">
        <v>482</v>
      </c>
      <c r="O165" s="18" t="s">
        <v>483</v>
      </c>
      <c r="P165" s="18" t="s">
        <v>59</v>
      </c>
      <c r="Q165" s="18" t="s">
        <v>328</v>
      </c>
    </row>
    <row r="166" spans="14:17" ht="15.75" customHeight="1" x14ac:dyDescent="0.25">
      <c r="N166" s="19" t="s">
        <v>484</v>
      </c>
      <c r="O166" s="18" t="s">
        <v>485</v>
      </c>
      <c r="P166" s="18" t="s">
        <v>59</v>
      </c>
      <c r="Q166" s="18" t="s">
        <v>328</v>
      </c>
    </row>
    <row r="167" spans="14:17" ht="15.75" customHeight="1" x14ac:dyDescent="0.25">
      <c r="N167" s="19" t="s">
        <v>486</v>
      </c>
      <c r="O167" s="18" t="s">
        <v>487</v>
      </c>
      <c r="P167" s="18" t="s">
        <v>59</v>
      </c>
      <c r="Q167" s="18" t="s">
        <v>328</v>
      </c>
    </row>
    <row r="168" spans="14:17" ht="15.75" customHeight="1" x14ac:dyDescent="0.25">
      <c r="N168" s="19" t="s">
        <v>488</v>
      </c>
      <c r="O168" s="18" t="s">
        <v>489</v>
      </c>
      <c r="P168" s="18" t="s">
        <v>59</v>
      </c>
      <c r="Q168" s="18" t="s">
        <v>328</v>
      </c>
    </row>
    <row r="169" spans="14:17" ht="15.75" customHeight="1" x14ac:dyDescent="0.25">
      <c r="N169" s="19" t="s">
        <v>490</v>
      </c>
      <c r="O169" s="18" t="s">
        <v>491</v>
      </c>
      <c r="P169" s="18" t="s">
        <v>59</v>
      </c>
      <c r="Q169" s="18" t="s">
        <v>328</v>
      </c>
    </row>
    <row r="170" spans="14:17" ht="15.75" customHeight="1" x14ac:dyDescent="0.25">
      <c r="N170" s="19" t="s">
        <v>492</v>
      </c>
      <c r="O170" s="18" t="s">
        <v>493</v>
      </c>
      <c r="P170" s="18" t="s">
        <v>59</v>
      </c>
      <c r="Q170" s="18" t="s">
        <v>328</v>
      </c>
    </row>
    <row r="171" spans="14:17" ht="15.75" customHeight="1" x14ac:dyDescent="0.25">
      <c r="N171" s="19" t="s">
        <v>494</v>
      </c>
      <c r="O171" s="18" t="s">
        <v>495</v>
      </c>
      <c r="P171" s="18" t="s">
        <v>59</v>
      </c>
      <c r="Q171" s="18" t="s">
        <v>328</v>
      </c>
    </row>
    <row r="172" spans="14:17" ht="15.75" customHeight="1" x14ac:dyDescent="0.25">
      <c r="N172" s="19" t="s">
        <v>496</v>
      </c>
      <c r="O172" s="18" t="s">
        <v>497</v>
      </c>
      <c r="P172" s="18" t="s">
        <v>59</v>
      </c>
      <c r="Q172" s="18" t="s">
        <v>328</v>
      </c>
    </row>
    <row r="173" spans="14:17" ht="15.75" customHeight="1" x14ac:dyDescent="0.25">
      <c r="N173" s="19" t="s">
        <v>498</v>
      </c>
      <c r="O173" s="18" t="s">
        <v>499</v>
      </c>
      <c r="P173" s="18" t="s">
        <v>59</v>
      </c>
      <c r="Q173" s="18" t="s">
        <v>328</v>
      </c>
    </row>
    <row r="174" spans="14:17" ht="15.75" customHeight="1" x14ac:dyDescent="0.25">
      <c r="N174" s="19" t="s">
        <v>500</v>
      </c>
      <c r="O174" s="18" t="s">
        <v>501</v>
      </c>
      <c r="P174" s="18" t="s">
        <v>59</v>
      </c>
      <c r="Q174" s="18" t="s">
        <v>328</v>
      </c>
    </row>
    <row r="175" spans="14:17" ht="15.75" customHeight="1" x14ac:dyDescent="0.25">
      <c r="N175" s="19" t="s">
        <v>502</v>
      </c>
      <c r="O175" s="18" t="s">
        <v>503</v>
      </c>
      <c r="P175" s="18" t="s">
        <v>59</v>
      </c>
      <c r="Q175" s="18" t="s">
        <v>328</v>
      </c>
    </row>
    <row r="176" spans="14:17" ht="15.75" customHeight="1" x14ac:dyDescent="0.25">
      <c r="N176" s="12" t="s">
        <v>504</v>
      </c>
      <c r="O176" s="18" t="s">
        <v>505</v>
      </c>
      <c r="P176" s="18" t="s">
        <v>59</v>
      </c>
      <c r="Q176" s="18" t="s">
        <v>328</v>
      </c>
    </row>
    <row r="177" spans="14:17" ht="15.75" customHeight="1" x14ac:dyDescent="0.25">
      <c r="N177" s="12" t="s">
        <v>506</v>
      </c>
      <c r="O177" s="18" t="s">
        <v>507</v>
      </c>
      <c r="P177" s="18" t="s">
        <v>59</v>
      </c>
      <c r="Q177" s="18" t="s">
        <v>328</v>
      </c>
    </row>
    <row r="178" spans="14:17" ht="15.75" customHeight="1" x14ac:dyDescent="0.25">
      <c r="N178" s="12" t="s">
        <v>508</v>
      </c>
      <c r="O178" s="18" t="s">
        <v>509</v>
      </c>
      <c r="P178" s="18" t="s">
        <v>59</v>
      </c>
      <c r="Q178" s="18" t="s">
        <v>328</v>
      </c>
    </row>
    <row r="179" spans="14:17" ht="15.75" customHeight="1" x14ac:dyDescent="0.25">
      <c r="N179" s="12" t="s">
        <v>510</v>
      </c>
      <c r="O179" s="18" t="s">
        <v>511</v>
      </c>
      <c r="P179" s="18" t="s">
        <v>59</v>
      </c>
      <c r="Q179" s="18" t="s">
        <v>328</v>
      </c>
    </row>
    <row r="180" spans="14:17" ht="15.75" customHeight="1" x14ac:dyDescent="0.25">
      <c r="N180" s="12" t="s">
        <v>512</v>
      </c>
      <c r="O180" s="18" t="s">
        <v>513</v>
      </c>
      <c r="P180" s="18" t="s">
        <v>59</v>
      </c>
      <c r="Q180" s="18" t="s">
        <v>328</v>
      </c>
    </row>
    <row r="181" spans="14:17" ht="15.75" customHeight="1" x14ac:dyDescent="0.25">
      <c r="N181" s="12" t="s">
        <v>514</v>
      </c>
      <c r="O181" s="18" t="s">
        <v>515</v>
      </c>
      <c r="P181" s="18" t="s">
        <v>59</v>
      </c>
      <c r="Q181" s="18" t="s">
        <v>328</v>
      </c>
    </row>
    <row r="182" spans="14:17" ht="15.75" customHeight="1" x14ac:dyDescent="0.25">
      <c r="N182" s="12" t="s">
        <v>516</v>
      </c>
      <c r="O182" s="18" t="s">
        <v>517</v>
      </c>
      <c r="P182" s="18" t="s">
        <v>59</v>
      </c>
      <c r="Q182" s="18" t="s">
        <v>328</v>
      </c>
    </row>
    <row r="183" spans="14:17" ht="15.75" customHeight="1" x14ac:dyDescent="0.25">
      <c r="N183" s="12" t="s">
        <v>518</v>
      </c>
      <c r="O183" s="18" t="s">
        <v>519</v>
      </c>
      <c r="P183" s="18" t="s">
        <v>59</v>
      </c>
      <c r="Q183" s="18" t="s">
        <v>328</v>
      </c>
    </row>
    <row r="184" spans="14:17" ht="15.75" customHeight="1" x14ac:dyDescent="0.25">
      <c r="N184" s="12" t="s">
        <v>520</v>
      </c>
      <c r="O184" s="18" t="s">
        <v>521</v>
      </c>
      <c r="P184" s="18" t="s">
        <v>59</v>
      </c>
      <c r="Q184" s="18" t="s">
        <v>328</v>
      </c>
    </row>
    <row r="185" spans="14:17" ht="15.75" customHeight="1" x14ac:dyDescent="0.25">
      <c r="N185" s="12" t="s">
        <v>522</v>
      </c>
      <c r="O185" s="18" t="s">
        <v>523</v>
      </c>
      <c r="P185" s="18" t="s">
        <v>59</v>
      </c>
      <c r="Q185" s="18" t="s">
        <v>328</v>
      </c>
    </row>
    <row r="186" spans="14:17" ht="15.75" customHeight="1" x14ac:dyDescent="0.25">
      <c r="N186" s="12" t="s">
        <v>524</v>
      </c>
      <c r="O186" s="18" t="s">
        <v>525</v>
      </c>
      <c r="P186" s="18" t="s">
        <v>59</v>
      </c>
      <c r="Q186" s="18" t="s">
        <v>328</v>
      </c>
    </row>
    <row r="187" spans="14:17" ht="15.75" customHeight="1" x14ac:dyDescent="0.25">
      <c r="N187" s="12" t="s">
        <v>526</v>
      </c>
      <c r="O187" s="18" t="s">
        <v>527</v>
      </c>
      <c r="P187" s="18" t="s">
        <v>59</v>
      </c>
      <c r="Q187" s="18" t="s">
        <v>328</v>
      </c>
    </row>
    <row r="188" spans="14:17" ht="15.75" customHeight="1" x14ac:dyDescent="0.25">
      <c r="N188" s="12" t="s">
        <v>528</v>
      </c>
      <c r="O188" s="18" t="s">
        <v>529</v>
      </c>
      <c r="P188" s="18" t="s">
        <v>59</v>
      </c>
      <c r="Q188" s="18" t="s">
        <v>328</v>
      </c>
    </row>
    <row r="189" spans="14:17" ht="15.75" customHeight="1" x14ac:dyDescent="0.25">
      <c r="N189" s="12" t="s">
        <v>530</v>
      </c>
      <c r="O189" s="18" t="s">
        <v>531</v>
      </c>
      <c r="P189" s="18" t="s">
        <v>59</v>
      </c>
      <c r="Q189" s="18" t="s">
        <v>328</v>
      </c>
    </row>
    <row r="190" spans="14:17" ht="15.75" customHeight="1" x14ac:dyDescent="0.25">
      <c r="N190" s="12" t="s">
        <v>532</v>
      </c>
      <c r="O190" s="18" t="s">
        <v>533</v>
      </c>
      <c r="P190" s="18" t="s">
        <v>59</v>
      </c>
      <c r="Q190" s="18" t="s">
        <v>328</v>
      </c>
    </row>
    <row r="191" spans="14:17" ht="15.75" customHeight="1" x14ac:dyDescent="0.25">
      <c r="N191" s="12" t="s">
        <v>534</v>
      </c>
      <c r="O191" s="18" t="s">
        <v>535</v>
      </c>
      <c r="P191" s="18" t="s">
        <v>59</v>
      </c>
      <c r="Q191" s="18" t="s">
        <v>328</v>
      </c>
    </row>
    <row r="192" spans="14:17" ht="15.75" customHeight="1" x14ac:dyDescent="0.25">
      <c r="N192" s="12" t="s">
        <v>536</v>
      </c>
      <c r="O192" s="18" t="s">
        <v>537</v>
      </c>
      <c r="P192" s="18" t="s">
        <v>59</v>
      </c>
      <c r="Q192" s="18" t="s">
        <v>328</v>
      </c>
    </row>
    <row r="193" spans="14:17" ht="15.75" customHeight="1" x14ac:dyDescent="0.25">
      <c r="N193" s="12" t="s">
        <v>538</v>
      </c>
      <c r="O193" s="18" t="s">
        <v>539</v>
      </c>
      <c r="P193" s="18" t="s">
        <v>59</v>
      </c>
      <c r="Q193" s="18" t="s">
        <v>328</v>
      </c>
    </row>
    <row r="194" spans="14:17" ht="15.75" customHeight="1" x14ac:dyDescent="0.25">
      <c r="N194" s="12" t="s">
        <v>540</v>
      </c>
      <c r="O194" s="18" t="s">
        <v>541</v>
      </c>
      <c r="P194" s="18" t="s">
        <v>59</v>
      </c>
      <c r="Q194" s="18" t="s">
        <v>328</v>
      </c>
    </row>
    <row r="195" spans="14:17" ht="15.75" customHeight="1" x14ac:dyDescent="0.25">
      <c r="N195" s="12" t="s">
        <v>542</v>
      </c>
      <c r="O195" s="18" t="s">
        <v>543</v>
      </c>
      <c r="P195" s="18" t="s">
        <v>59</v>
      </c>
      <c r="Q195" s="18" t="s">
        <v>328</v>
      </c>
    </row>
    <row r="196" spans="14:17" ht="15.75" customHeight="1" x14ac:dyDescent="0.25">
      <c r="N196" s="12" t="s">
        <v>544</v>
      </c>
      <c r="O196" s="18" t="s">
        <v>545</v>
      </c>
      <c r="P196" s="18" t="s">
        <v>59</v>
      </c>
      <c r="Q196" s="18" t="s">
        <v>328</v>
      </c>
    </row>
    <row r="197" spans="14:17" ht="15.75" customHeight="1" x14ac:dyDescent="0.25">
      <c r="N197" s="12" t="s">
        <v>546</v>
      </c>
      <c r="O197" s="18" t="s">
        <v>547</v>
      </c>
      <c r="P197" s="18" t="s">
        <v>59</v>
      </c>
      <c r="Q197" s="18" t="s">
        <v>328</v>
      </c>
    </row>
    <row r="198" spans="14:17" ht="15.75" customHeight="1" x14ac:dyDescent="0.25">
      <c r="N198" s="12" t="s">
        <v>548</v>
      </c>
      <c r="O198" s="18" t="s">
        <v>549</v>
      </c>
      <c r="P198" s="18" t="s">
        <v>59</v>
      </c>
      <c r="Q198" s="18" t="s">
        <v>328</v>
      </c>
    </row>
    <row r="199" spans="14:17" ht="15.75" customHeight="1" x14ac:dyDescent="0.25">
      <c r="N199" s="12" t="s">
        <v>550</v>
      </c>
      <c r="O199" s="18" t="s">
        <v>551</v>
      </c>
      <c r="P199" s="18" t="s">
        <v>59</v>
      </c>
      <c r="Q199" s="18" t="s">
        <v>328</v>
      </c>
    </row>
    <row r="200" spans="14:17" ht="15.75" customHeight="1" x14ac:dyDescent="0.25"/>
    <row r="201" spans="14:17" ht="15.75" customHeight="1" x14ac:dyDescent="0.25"/>
    <row r="202" spans="14:17" ht="15.75" customHeight="1" x14ac:dyDescent="0.25"/>
    <row r="203" spans="14:17" ht="15.75" customHeight="1" x14ac:dyDescent="0.25"/>
    <row r="204" spans="14:17" ht="15.75" customHeight="1" x14ac:dyDescent="0.25"/>
    <row r="205" spans="14:17" ht="15.75" customHeight="1" x14ac:dyDescent="0.25"/>
    <row r="206" spans="14:17" ht="15.75" customHeight="1" x14ac:dyDescent="0.25"/>
    <row r="207" spans="14:17" ht="15.75" customHeight="1" x14ac:dyDescent="0.25"/>
    <row r="208" spans="14:17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3">
    <mergeCell ref="B18:J18"/>
    <mergeCell ref="L18:T18"/>
    <mergeCell ref="V18:AD18"/>
  </mergeCells>
  <pageMargins left="0.7" right="0.7" top="0.75" bottom="0.75" header="0" footer="0"/>
  <pageSetup orientation="landscape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BF9000"/>
  </sheetPr>
  <dimension ref="A1:AS1000"/>
  <sheetViews>
    <sheetView showGridLines="0" zoomScale="115" zoomScaleNormal="115" workbookViewId="0">
      <selection activeCell="F15" sqref="F15"/>
    </sheetView>
  </sheetViews>
  <sheetFormatPr baseColWidth="10" defaultColWidth="14.42578125" defaultRowHeight="15" customHeight="1" x14ac:dyDescent="0.25"/>
  <cols>
    <col min="1" max="1" width="2.7109375" customWidth="1"/>
    <col min="2" max="2" width="28.7109375" customWidth="1"/>
    <col min="3" max="3" width="24.28515625" customWidth="1"/>
    <col min="4" max="4" width="20.42578125" customWidth="1"/>
    <col min="5" max="5" width="11.5703125" customWidth="1"/>
    <col min="6" max="6" width="13.85546875" customWidth="1"/>
    <col min="7" max="7" width="13.5703125" customWidth="1"/>
    <col min="8" max="9" width="7.85546875" customWidth="1"/>
    <col min="10" max="10" width="26.5703125" customWidth="1"/>
    <col min="11" max="11" width="11.140625" customWidth="1"/>
    <col min="12" max="12" width="7.85546875" customWidth="1"/>
    <col min="13" max="13" width="11.42578125" customWidth="1"/>
    <col min="14" max="14" width="11.140625" customWidth="1"/>
    <col min="15" max="15" width="10.42578125" customWidth="1"/>
    <col min="16" max="16" width="12.42578125" customWidth="1"/>
    <col min="17" max="18" width="9.140625" customWidth="1"/>
    <col min="19" max="19" width="11.85546875" customWidth="1"/>
    <col min="20" max="45" width="9.140625" customWidth="1"/>
  </cols>
  <sheetData>
    <row r="1" spans="1:45" ht="12.75" customHeight="1" x14ac:dyDescent="0.25">
      <c r="A1" s="20"/>
      <c r="B1" s="20"/>
      <c r="C1" s="20"/>
      <c r="D1" s="20"/>
      <c r="E1" s="20"/>
      <c r="F1" s="20"/>
      <c r="G1" s="20"/>
      <c r="H1" s="20"/>
      <c r="I1" s="20"/>
      <c r="J1" s="21"/>
      <c r="K1" s="21"/>
      <c r="L1" s="21"/>
      <c r="M1" s="21"/>
      <c r="N1" s="22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</row>
    <row r="2" spans="1:45" ht="23.25" customHeight="1" x14ac:dyDescent="0.25">
      <c r="A2" s="20"/>
      <c r="B2" s="23"/>
      <c r="C2" s="20"/>
      <c r="D2" s="20"/>
      <c r="E2" s="20"/>
      <c r="F2" s="823" t="s">
        <v>552</v>
      </c>
      <c r="G2" s="824"/>
      <c r="H2" s="20"/>
      <c r="I2" s="20"/>
      <c r="J2" s="21"/>
      <c r="K2" s="21"/>
      <c r="L2" s="21"/>
      <c r="M2" s="21"/>
      <c r="N2" s="22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</row>
    <row r="3" spans="1:45" ht="12.75" customHeight="1" x14ac:dyDescent="0.25">
      <c r="A3" s="20"/>
      <c r="B3" s="20"/>
      <c r="C3" s="20"/>
      <c r="D3" s="20"/>
      <c r="E3" s="20"/>
      <c r="F3" s="24" t="s">
        <v>553</v>
      </c>
      <c r="G3" s="25" t="s">
        <v>554</v>
      </c>
      <c r="H3" s="20"/>
      <c r="I3" s="20"/>
      <c r="J3" s="21"/>
      <c r="K3" s="21"/>
      <c r="L3" s="21"/>
      <c r="M3" s="21"/>
      <c r="N3" s="22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</row>
    <row r="4" spans="1:45" ht="12.75" customHeight="1" x14ac:dyDescent="0.25">
      <c r="A4" s="20"/>
      <c r="B4" s="20"/>
      <c r="C4" s="20"/>
      <c r="D4" s="20"/>
      <c r="E4" s="20"/>
      <c r="F4" s="26" t="s">
        <v>555</v>
      </c>
      <c r="G4" s="27" t="s">
        <v>556</v>
      </c>
      <c r="H4" s="20"/>
      <c r="I4" s="20"/>
      <c r="J4" s="21"/>
      <c r="K4" s="21"/>
      <c r="L4" s="21"/>
      <c r="M4" s="21"/>
      <c r="N4" s="22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</row>
    <row r="5" spans="1:45" ht="12.75" customHeight="1" x14ac:dyDescent="0.25">
      <c r="A5" s="20"/>
      <c r="B5" s="28" t="s">
        <v>557</v>
      </c>
      <c r="C5" s="29" t="s">
        <v>558</v>
      </c>
      <c r="D5" s="29" t="s">
        <v>559</v>
      </c>
      <c r="E5" s="30" t="s">
        <v>560</v>
      </c>
      <c r="F5" s="26" t="s">
        <v>561</v>
      </c>
      <c r="G5" s="27" t="s">
        <v>562</v>
      </c>
      <c r="H5" s="20"/>
      <c r="I5" s="20"/>
      <c r="J5" s="21"/>
      <c r="K5" s="21"/>
      <c r="L5" s="21"/>
      <c r="M5" s="21"/>
      <c r="N5" s="22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</row>
    <row r="6" spans="1:45" ht="12.75" customHeight="1" x14ac:dyDescent="0.25">
      <c r="A6" s="20"/>
      <c r="B6" s="31" t="s">
        <v>563</v>
      </c>
      <c r="C6" s="32" t="s">
        <v>564</v>
      </c>
      <c r="D6" s="33" t="s">
        <v>565</v>
      </c>
      <c r="E6" s="34" t="s">
        <v>7</v>
      </c>
      <c r="F6" s="35">
        <f t="shared" ref="F6:G6" si="0">E45</f>
        <v>1.0095573442026637</v>
      </c>
      <c r="G6" s="36">
        <f t="shared" si="0"/>
        <v>55.539114956987063</v>
      </c>
      <c r="H6" s="20"/>
      <c r="I6" s="20"/>
      <c r="J6" s="21"/>
      <c r="K6" s="21"/>
      <c r="L6" s="21"/>
      <c r="M6" s="21"/>
      <c r="N6" s="22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</row>
    <row r="7" spans="1:45" ht="12.75" customHeight="1" x14ac:dyDescent="0.25">
      <c r="A7" s="20"/>
      <c r="B7" s="37" t="s">
        <v>566</v>
      </c>
      <c r="C7" s="38" t="s">
        <v>567</v>
      </c>
      <c r="D7" s="825" t="s">
        <v>568</v>
      </c>
      <c r="E7" s="40" t="s">
        <v>13</v>
      </c>
      <c r="F7" s="41">
        <f t="shared" ref="F7:G7" si="1">E46</f>
        <v>6.0871741676095334</v>
      </c>
      <c r="G7" s="42">
        <f t="shared" si="1"/>
        <v>77.841777688967127</v>
      </c>
      <c r="H7" s="20"/>
      <c r="I7" s="20"/>
      <c r="J7" s="21">
        <f>IF(E62&lt;$S$49,D44*(100%-$Q$49),D44*(100%-$Q$49))</f>
        <v>0</v>
      </c>
      <c r="K7" s="21"/>
      <c r="L7" s="21"/>
      <c r="M7" s="21"/>
      <c r="N7" s="22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</row>
    <row r="8" spans="1:45" ht="12.75" customHeight="1" x14ac:dyDescent="0.25">
      <c r="A8" s="20"/>
      <c r="B8" s="43" t="s">
        <v>569</v>
      </c>
      <c r="C8" s="44" t="s">
        <v>570</v>
      </c>
      <c r="D8" s="826"/>
      <c r="E8" s="14" t="s">
        <v>17</v>
      </c>
      <c r="F8" s="45"/>
      <c r="G8" s="46"/>
      <c r="H8" s="20"/>
      <c r="I8" s="20"/>
      <c r="J8" s="21"/>
      <c r="K8" s="21"/>
      <c r="L8" s="21"/>
      <c r="M8" s="21"/>
      <c r="N8" s="22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</row>
    <row r="9" spans="1:45" ht="12.75" customHeight="1" x14ac:dyDescent="0.25">
      <c r="A9" s="20"/>
      <c r="B9" s="47" t="s">
        <v>571</v>
      </c>
      <c r="C9" s="48" t="s">
        <v>570</v>
      </c>
      <c r="D9" s="827"/>
      <c r="E9" s="49" t="s">
        <v>21</v>
      </c>
      <c r="F9" s="50"/>
      <c r="G9" s="51"/>
      <c r="H9" s="20"/>
      <c r="I9" s="20"/>
      <c r="J9" s="21">
        <f>1013*(1000/F7)</f>
        <v>166415.47820173684</v>
      </c>
      <c r="K9" s="21" t="s">
        <v>572</v>
      </c>
      <c r="L9" s="21"/>
      <c r="M9" s="21"/>
      <c r="N9" s="22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</row>
    <row r="10" spans="1:45" ht="12.75" customHeight="1" x14ac:dyDescent="0.25">
      <c r="A10" s="20"/>
      <c r="B10" s="37" t="s">
        <v>573</v>
      </c>
      <c r="C10" s="38" t="s">
        <v>574</v>
      </c>
      <c r="D10" s="39" t="s">
        <v>575</v>
      </c>
      <c r="E10" s="40" t="s">
        <v>8</v>
      </c>
      <c r="F10" s="41">
        <f t="shared" ref="F10:G10" si="2">E49</f>
        <v>5.3308987344700309</v>
      </c>
      <c r="G10" s="42">
        <f t="shared" si="2"/>
        <v>69.193827140333724</v>
      </c>
      <c r="H10" s="20"/>
      <c r="I10" s="20"/>
      <c r="J10" s="21">
        <f>+J9/365</f>
        <v>455.93281699105984</v>
      </c>
      <c r="K10" s="21" t="s">
        <v>572</v>
      </c>
      <c r="L10" s="21"/>
      <c r="M10" s="21"/>
      <c r="N10" s="22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</row>
    <row r="11" spans="1:45" ht="12.75" customHeight="1" x14ac:dyDescent="0.25">
      <c r="A11" s="20"/>
      <c r="B11" s="43" t="s">
        <v>576</v>
      </c>
      <c r="C11" s="44" t="s">
        <v>577</v>
      </c>
      <c r="D11" s="52" t="s">
        <v>578</v>
      </c>
      <c r="E11" s="14" t="s">
        <v>14</v>
      </c>
      <c r="F11" s="53">
        <f t="shared" ref="F11:G11" si="3">E50</f>
        <v>5.6708498400612823</v>
      </c>
      <c r="G11" s="54">
        <f t="shared" si="3"/>
        <v>75.166375708662926</v>
      </c>
      <c r="H11" s="20"/>
      <c r="I11" s="20"/>
      <c r="J11" s="21"/>
      <c r="K11" s="21"/>
      <c r="L11" s="21"/>
      <c r="M11" s="21"/>
      <c r="N11" s="22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1"/>
      <c r="AL11" s="21"/>
      <c r="AM11" s="21"/>
      <c r="AN11" s="21"/>
      <c r="AO11" s="22"/>
      <c r="AP11" s="20"/>
      <c r="AQ11" s="20"/>
      <c r="AR11" s="20"/>
      <c r="AS11" s="20"/>
    </row>
    <row r="12" spans="1:45" ht="12.75" customHeight="1" x14ac:dyDescent="0.25">
      <c r="A12" s="20"/>
      <c r="B12" s="43" t="s">
        <v>65</v>
      </c>
      <c r="C12" s="44" t="s">
        <v>579</v>
      </c>
      <c r="D12" s="52" t="s">
        <v>580</v>
      </c>
      <c r="E12" s="14" t="s">
        <v>18</v>
      </c>
      <c r="F12" s="53">
        <f t="shared" ref="F12:G12" si="4">E51</f>
        <v>4.7117947967516214</v>
      </c>
      <c r="G12" s="54">
        <f t="shared" si="4"/>
        <v>87.735056011523966</v>
      </c>
      <c r="H12" s="20"/>
      <c r="I12" s="20"/>
      <c r="J12" s="21"/>
      <c r="K12" s="21"/>
      <c r="L12" s="21"/>
      <c r="M12" s="21"/>
      <c r="N12" s="22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1"/>
      <c r="AL12" s="21"/>
      <c r="AM12" s="21"/>
      <c r="AN12" s="21"/>
      <c r="AO12" s="22"/>
      <c r="AP12" s="20"/>
      <c r="AQ12" s="20"/>
      <c r="AR12" s="20"/>
      <c r="AS12" s="20"/>
    </row>
    <row r="13" spans="1:45" ht="12.75" customHeight="1" x14ac:dyDescent="0.25">
      <c r="A13" s="20"/>
      <c r="B13" s="43" t="s">
        <v>581</v>
      </c>
      <c r="C13" s="44" t="s">
        <v>582</v>
      </c>
      <c r="D13" s="55" t="s">
        <v>583</v>
      </c>
      <c r="E13" s="14" t="s">
        <v>22</v>
      </c>
      <c r="F13" s="53">
        <f t="shared" ref="F13:G13" si="5">E52</f>
        <v>4.0562660463586173</v>
      </c>
      <c r="G13" s="54">
        <f t="shared" si="5"/>
        <v>47.28933824683137</v>
      </c>
      <c r="H13" s="20"/>
      <c r="I13" s="20">
        <f>122*1000/F13</f>
        <v>30076.922619393168</v>
      </c>
      <c r="J13" s="21"/>
      <c r="K13" s="21"/>
      <c r="L13" s="21"/>
      <c r="M13" s="21"/>
      <c r="N13" s="22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1" t="s">
        <v>584</v>
      </c>
      <c r="AL13" s="21">
        <v>450000</v>
      </c>
      <c r="AM13" s="21" t="s">
        <v>585</v>
      </c>
      <c r="AN13" s="21"/>
      <c r="AO13" s="22"/>
      <c r="AP13" s="20"/>
      <c r="AQ13" s="20"/>
      <c r="AR13" s="20"/>
      <c r="AS13" s="20"/>
    </row>
    <row r="14" spans="1:45" ht="12.75" customHeight="1" x14ac:dyDescent="0.25">
      <c r="A14" s="20"/>
      <c r="B14" s="47" t="s">
        <v>586</v>
      </c>
      <c r="C14" s="48" t="s">
        <v>587</v>
      </c>
      <c r="D14" s="56" t="s">
        <v>588</v>
      </c>
      <c r="E14" s="49" t="s">
        <v>26</v>
      </c>
      <c r="F14" s="57">
        <f t="shared" ref="F14:G14" si="6">E53</f>
        <v>5.4608206169323079</v>
      </c>
      <c r="G14" s="58">
        <f t="shared" si="6"/>
        <v>78.281203343664757</v>
      </c>
      <c r="H14" s="20"/>
      <c r="I14" s="20"/>
      <c r="J14" s="21"/>
      <c r="K14" s="21"/>
      <c r="L14" s="21"/>
      <c r="M14" s="21"/>
      <c r="N14" s="22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1"/>
      <c r="AL14" s="21">
        <f>+AL13*365/1000</f>
        <v>164250</v>
      </c>
      <c r="AM14" s="21" t="s">
        <v>589</v>
      </c>
      <c r="AN14" s="21"/>
      <c r="AO14" s="22"/>
      <c r="AP14" s="20"/>
      <c r="AQ14" s="20"/>
      <c r="AR14" s="20"/>
      <c r="AS14" s="20"/>
    </row>
    <row r="15" spans="1:45" ht="12.75" customHeight="1" x14ac:dyDescent="0.25">
      <c r="A15" s="20"/>
      <c r="B15" s="37" t="s">
        <v>72</v>
      </c>
      <c r="C15" s="38" t="s">
        <v>590</v>
      </c>
      <c r="D15" s="39" t="s">
        <v>591</v>
      </c>
      <c r="E15" s="40" t="s">
        <v>30</v>
      </c>
      <c r="F15" s="41">
        <f t="shared" ref="F15:G15" si="7">E54</f>
        <v>2.9335934898501512</v>
      </c>
      <c r="G15" s="42">
        <f t="shared" si="7"/>
        <v>84.75811612074672</v>
      </c>
      <c r="H15" s="20"/>
      <c r="I15" s="20"/>
      <c r="J15" s="21"/>
      <c r="K15" s="21"/>
      <c r="L15" s="21"/>
      <c r="M15" s="21"/>
      <c r="N15" s="22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1"/>
      <c r="AL15" s="59">
        <f>+AL14*F7/1000</f>
        <v>999.81835702986587</v>
      </c>
      <c r="AM15" s="21" t="s">
        <v>59</v>
      </c>
      <c r="AN15" s="21"/>
      <c r="AO15" s="22"/>
      <c r="AP15" s="20"/>
      <c r="AQ15" s="20"/>
      <c r="AR15" s="20"/>
      <c r="AS15" s="20"/>
    </row>
    <row r="16" spans="1:45" ht="12.75" customHeight="1" x14ac:dyDescent="0.25">
      <c r="A16" s="20"/>
      <c r="B16" s="47" t="s">
        <v>74</v>
      </c>
      <c r="C16" s="48" t="s">
        <v>592</v>
      </c>
      <c r="D16" s="56" t="s">
        <v>593</v>
      </c>
      <c r="E16" s="49" t="s">
        <v>32</v>
      </c>
      <c r="F16" s="57">
        <f t="shared" ref="F16:G16" si="8">E55</f>
        <v>5.274111587340502</v>
      </c>
      <c r="G16" s="58">
        <f t="shared" si="8"/>
        <v>54.806487022879928</v>
      </c>
      <c r="H16" s="20"/>
      <c r="I16" s="20"/>
      <c r="J16" s="21"/>
      <c r="K16" s="21"/>
      <c r="L16" s="21"/>
      <c r="M16" s="21"/>
      <c r="N16" s="22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1"/>
      <c r="AL16" s="21"/>
      <c r="AM16" s="21"/>
      <c r="AN16" s="21"/>
      <c r="AO16" s="22"/>
      <c r="AP16" s="20"/>
      <c r="AQ16" s="20"/>
      <c r="AR16" s="20"/>
      <c r="AS16" s="20"/>
    </row>
    <row r="17" spans="1:45" ht="12.75" customHeight="1" x14ac:dyDescent="0.25">
      <c r="A17" s="20"/>
      <c r="B17" s="37" t="s">
        <v>594</v>
      </c>
      <c r="C17" s="60" t="s">
        <v>595</v>
      </c>
      <c r="D17" s="61" t="s">
        <v>596</v>
      </c>
      <c r="E17" s="62" t="s">
        <v>90</v>
      </c>
      <c r="F17" s="63">
        <f>+F15*C22+F10*(1-C22)</f>
        <v>5.1927630695557223</v>
      </c>
      <c r="G17" s="64">
        <f t="shared" ref="G17:G18" si="9">+G15*C21+G10*(1-C21)</f>
        <v>70.750256038375028</v>
      </c>
      <c r="H17" s="20"/>
      <c r="I17" s="20"/>
      <c r="J17" s="21"/>
      <c r="K17" s="21"/>
      <c r="L17" s="21"/>
      <c r="M17" s="21"/>
      <c r="N17" s="22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1"/>
      <c r="AL17" s="21"/>
      <c r="AM17" s="21"/>
      <c r="AN17" s="21"/>
      <c r="AO17" s="22"/>
      <c r="AP17" s="20"/>
      <c r="AQ17" s="20"/>
      <c r="AR17" s="20"/>
      <c r="AS17" s="20"/>
    </row>
    <row r="18" spans="1:45" ht="12.75" customHeight="1" x14ac:dyDescent="0.25">
      <c r="A18" s="20"/>
      <c r="B18" s="47" t="s">
        <v>597</v>
      </c>
      <c r="C18" s="65" t="s">
        <v>595</v>
      </c>
      <c r="D18" s="65" t="s">
        <v>596</v>
      </c>
      <c r="E18" s="66" t="s">
        <v>97</v>
      </c>
      <c r="F18" s="67">
        <f>+F16*D22+F11*(1-D22)</f>
        <v>5.6336916725609152</v>
      </c>
      <c r="G18" s="68">
        <f t="shared" si="9"/>
        <v>73.993213981551321</v>
      </c>
      <c r="H18" s="20"/>
      <c r="I18" s="20"/>
      <c r="J18" s="21"/>
      <c r="K18" s="21"/>
      <c r="L18" s="21"/>
      <c r="M18" s="21"/>
      <c r="N18" s="22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1" t="s">
        <v>598</v>
      </c>
      <c r="AL18" s="21">
        <v>5119</v>
      </c>
      <c r="AM18" s="21" t="s">
        <v>599</v>
      </c>
      <c r="AN18" s="69">
        <f t="shared" ref="AN18:AN20" si="10">+AL18*0.0036</f>
        <v>18.4284</v>
      </c>
      <c r="AO18" s="22" t="s">
        <v>59</v>
      </c>
      <c r="AP18" s="20"/>
      <c r="AQ18" s="20"/>
      <c r="AR18" s="20"/>
      <c r="AS18" s="20"/>
    </row>
    <row r="19" spans="1:45" ht="12.75" customHeight="1" x14ac:dyDescent="0.25">
      <c r="A19" s="20"/>
      <c r="B19" s="70" t="s">
        <v>600</v>
      </c>
      <c r="C19" s="20"/>
      <c r="D19" s="20"/>
      <c r="E19" s="20"/>
      <c r="F19" s="20"/>
      <c r="G19" s="20"/>
      <c r="H19" s="20"/>
      <c r="I19" s="20"/>
      <c r="J19" s="21"/>
      <c r="K19" s="21"/>
      <c r="L19" s="21"/>
      <c r="M19" s="21"/>
      <c r="N19" s="22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1"/>
      <c r="AL19" s="21">
        <v>2300</v>
      </c>
      <c r="AM19" s="21" t="s">
        <v>599</v>
      </c>
      <c r="AN19" s="69">
        <f t="shared" si="10"/>
        <v>8.2799999999999994</v>
      </c>
      <c r="AO19" s="22" t="s">
        <v>59</v>
      </c>
      <c r="AP19" s="20"/>
      <c r="AQ19" s="20"/>
      <c r="AR19" s="20"/>
      <c r="AS19" s="20"/>
    </row>
    <row r="20" spans="1:45" ht="10.5" customHeight="1" x14ac:dyDescent="0.25">
      <c r="A20" s="20"/>
      <c r="B20" s="71"/>
      <c r="C20" s="71" t="s">
        <v>72</v>
      </c>
      <c r="D20" s="71" t="s">
        <v>74</v>
      </c>
      <c r="E20" s="20"/>
      <c r="F20" s="20"/>
      <c r="G20" s="20"/>
      <c r="H20" s="20"/>
      <c r="I20" s="20"/>
      <c r="J20" s="21"/>
      <c r="K20" s="21"/>
      <c r="L20" s="21"/>
      <c r="M20" s="21"/>
      <c r="N20" s="22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1"/>
      <c r="AL20" s="21">
        <f>+AL19+AL18</f>
        <v>7419</v>
      </c>
      <c r="AM20" s="21" t="s">
        <v>599</v>
      </c>
      <c r="AN20" s="69">
        <f t="shared" si="10"/>
        <v>26.708400000000001</v>
      </c>
      <c r="AO20" s="22" t="s">
        <v>59</v>
      </c>
      <c r="AP20" s="20"/>
      <c r="AQ20" s="20"/>
      <c r="AR20" s="20"/>
      <c r="AS20" s="20"/>
    </row>
    <row r="21" spans="1:45" ht="10.5" customHeight="1" x14ac:dyDescent="0.25">
      <c r="A21" s="20"/>
      <c r="B21" s="71" t="s">
        <v>601</v>
      </c>
      <c r="C21" s="72">
        <v>0.1</v>
      </c>
      <c r="D21" s="72">
        <v>0.1</v>
      </c>
      <c r="E21" s="20"/>
      <c r="F21" s="20"/>
      <c r="G21" s="20"/>
      <c r="H21" s="20"/>
      <c r="I21" s="20"/>
      <c r="J21" s="21"/>
      <c r="K21" s="21"/>
      <c r="L21" s="21"/>
      <c r="M21" s="21"/>
      <c r="N21" s="22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1"/>
      <c r="AL21" s="21"/>
      <c r="AM21" s="21"/>
      <c r="AN21" s="69"/>
      <c r="AO21" s="22"/>
      <c r="AP21" s="20"/>
      <c r="AQ21" s="20"/>
      <c r="AR21" s="20"/>
      <c r="AS21" s="20"/>
    </row>
    <row r="22" spans="1:45" ht="9.75" customHeight="1" x14ac:dyDescent="0.25">
      <c r="A22" s="20"/>
      <c r="B22" s="73" t="s">
        <v>602</v>
      </c>
      <c r="C22" s="74">
        <f>+C21*F15/(C21*F15+(1-C21)*F10)</f>
        <v>5.7621225008503835E-2</v>
      </c>
      <c r="D22" s="74">
        <f>+D21*F16/(D21*F16+(1-D21)*F11)</f>
        <v>9.3659149944684009E-2</v>
      </c>
      <c r="E22" s="20"/>
      <c r="F22" s="20"/>
      <c r="G22" s="20"/>
      <c r="H22" s="20"/>
      <c r="I22" s="20"/>
      <c r="J22" s="21"/>
      <c r="K22" s="21"/>
      <c r="L22" s="21"/>
      <c r="M22" s="21"/>
      <c r="N22" s="22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1" t="s">
        <v>603</v>
      </c>
      <c r="AL22" s="21">
        <v>3031</v>
      </c>
      <c r="AM22" s="21" t="s">
        <v>599</v>
      </c>
      <c r="AN22" s="69">
        <f t="shared" ref="AN22:AN23" si="11">+AL22*0.0036</f>
        <v>10.9116</v>
      </c>
      <c r="AO22" s="22" t="s">
        <v>59</v>
      </c>
      <c r="AP22" s="20"/>
      <c r="AQ22" s="20"/>
      <c r="AR22" s="20"/>
      <c r="AS22" s="20"/>
    </row>
    <row r="23" spans="1:45" ht="12.75" customHeight="1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1"/>
      <c r="K23" s="21"/>
      <c r="L23" s="21"/>
      <c r="M23" s="21"/>
      <c r="N23" s="22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1"/>
      <c r="AL23" s="21">
        <v>1646</v>
      </c>
      <c r="AM23" s="21" t="s">
        <v>599</v>
      </c>
      <c r="AN23" s="69">
        <f t="shared" si="11"/>
        <v>5.9256000000000002</v>
      </c>
      <c r="AO23" s="22" t="s">
        <v>59</v>
      </c>
      <c r="AP23" s="20"/>
      <c r="AQ23" s="20"/>
      <c r="AR23" s="20"/>
      <c r="AS23" s="20"/>
    </row>
    <row r="24" spans="1:45" ht="12.75" customHeight="1" x14ac:dyDescent="0.25">
      <c r="A24" s="20"/>
      <c r="B24" s="75" t="s">
        <v>604</v>
      </c>
      <c r="C24" s="76" t="s">
        <v>605</v>
      </c>
      <c r="D24" s="76" t="s">
        <v>605</v>
      </c>
      <c r="E24" s="75" t="s">
        <v>102</v>
      </c>
      <c r="F24" s="77">
        <v>4.7615165047769556</v>
      </c>
      <c r="G24" s="78">
        <f>56337.8123815025/1000</f>
        <v>56.337812381502502</v>
      </c>
      <c r="H24" s="20"/>
      <c r="I24" s="20"/>
      <c r="J24" s="21"/>
      <c r="K24" s="21"/>
      <c r="L24" s="21"/>
      <c r="M24" s="21"/>
      <c r="N24" s="22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1"/>
      <c r="AL24" s="21"/>
      <c r="AM24" s="21"/>
      <c r="AN24" s="69">
        <f>+AN22+AN23</f>
        <v>16.837199999999999</v>
      </c>
      <c r="AO24" s="22" t="s">
        <v>59</v>
      </c>
      <c r="AP24" s="20"/>
      <c r="AQ24" s="20"/>
      <c r="AR24" s="20"/>
      <c r="AS24" s="20"/>
    </row>
    <row r="25" spans="1:45" ht="12.75" customHeight="1" x14ac:dyDescent="0.25">
      <c r="A25" s="20"/>
      <c r="B25" s="79" t="s">
        <v>108</v>
      </c>
      <c r="C25" s="80" t="s">
        <v>606</v>
      </c>
      <c r="D25" s="80" t="s">
        <v>607</v>
      </c>
      <c r="E25" s="79" t="s">
        <v>107</v>
      </c>
      <c r="F25" s="79">
        <v>4.1867999999999999</v>
      </c>
      <c r="G25" s="81">
        <f>0.0407840415743265*1000</f>
        <v>40.784041574326501</v>
      </c>
      <c r="H25" s="20"/>
      <c r="I25" s="20"/>
      <c r="J25" s="21"/>
      <c r="K25" s="21"/>
      <c r="L25" s="21"/>
      <c r="M25" s="21"/>
      <c r="N25" s="22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1"/>
      <c r="AL25" s="21"/>
      <c r="AM25" s="21"/>
      <c r="AN25" s="21"/>
      <c r="AO25" s="22"/>
      <c r="AP25" s="20"/>
      <c r="AQ25" s="20"/>
      <c r="AR25" s="20"/>
      <c r="AS25" s="20"/>
    </row>
    <row r="26" spans="1:45" ht="12.75" customHeight="1" x14ac:dyDescent="0.25">
      <c r="A26" s="20"/>
      <c r="B26" s="20"/>
      <c r="C26" s="20"/>
      <c r="D26" s="20"/>
      <c r="E26" s="20"/>
      <c r="F26" s="20"/>
      <c r="G26" s="20"/>
      <c r="H26" s="20"/>
      <c r="I26" s="20"/>
      <c r="J26" s="21"/>
      <c r="K26" s="21"/>
      <c r="L26" s="21"/>
      <c r="M26" s="21"/>
      <c r="N26" s="22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1"/>
      <c r="AL26" s="21"/>
      <c r="AM26" s="21"/>
      <c r="AN26" s="21"/>
      <c r="AO26" s="22"/>
      <c r="AP26" s="20"/>
      <c r="AQ26" s="20"/>
      <c r="AR26" s="20"/>
      <c r="AS26" s="20"/>
    </row>
    <row r="27" spans="1:45" ht="12.75" customHeight="1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1"/>
      <c r="K27" s="21"/>
      <c r="L27" s="21"/>
      <c r="M27" s="21"/>
      <c r="N27" s="22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1" t="s">
        <v>608</v>
      </c>
      <c r="AL27" s="82">
        <f>+AN24/AL15</f>
        <v>1.6840258914647084E-2</v>
      </c>
      <c r="AM27" s="21" t="s">
        <v>609</v>
      </c>
      <c r="AN27" s="21"/>
      <c r="AO27" s="22"/>
      <c r="AP27" s="20"/>
      <c r="AQ27" s="20"/>
      <c r="AR27" s="20"/>
      <c r="AS27" s="20"/>
    </row>
    <row r="28" spans="1:45" ht="12.75" customHeight="1" x14ac:dyDescent="0.25">
      <c r="A28" s="20"/>
      <c r="B28" s="20" t="s">
        <v>610</v>
      </c>
      <c r="C28" s="20"/>
      <c r="D28" s="20"/>
      <c r="E28" s="20" t="s">
        <v>112</v>
      </c>
      <c r="F28" s="83">
        <f>+F15*C32+F10*(1-C32)</f>
        <v>5.1186992628422185</v>
      </c>
      <c r="G28" s="64">
        <f>+G15*C32+G10*(1-C32)</f>
        <v>70.571513150623119</v>
      </c>
      <c r="H28" s="20"/>
      <c r="I28" s="20"/>
      <c r="J28" s="21"/>
      <c r="K28" s="21"/>
      <c r="L28" s="21"/>
      <c r="M28" s="21"/>
      <c r="N28" s="22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1"/>
      <c r="AL28" s="21"/>
      <c r="AM28" s="21"/>
      <c r="AN28" s="21"/>
      <c r="AO28" s="22"/>
      <c r="AP28" s="20"/>
      <c r="AQ28" s="20"/>
      <c r="AR28" s="20"/>
      <c r="AS28" s="20"/>
    </row>
    <row r="29" spans="1:45" ht="12.75" customHeight="1" x14ac:dyDescent="0.25">
      <c r="A29" s="20"/>
      <c r="B29" s="20" t="s">
        <v>611</v>
      </c>
      <c r="C29" s="20"/>
      <c r="D29" s="20"/>
      <c r="E29" s="20" t="s">
        <v>117</v>
      </c>
      <c r="F29" s="67">
        <f>+F16*D32+F11*(1-D32)</f>
        <v>5.6149155493940253</v>
      </c>
      <c r="G29" s="68">
        <f>+G16*D32+G11*(1-D32)</f>
        <v>72.295929201693298</v>
      </c>
      <c r="H29" s="20"/>
      <c r="I29" s="20"/>
      <c r="J29" s="21"/>
      <c r="K29" s="21"/>
      <c r="L29" s="21"/>
      <c r="M29" s="21"/>
      <c r="N29" s="22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1"/>
      <c r="AL29" s="21"/>
      <c r="AM29" s="21"/>
      <c r="AN29" s="21"/>
      <c r="AO29" s="22"/>
      <c r="AP29" s="20" t="s">
        <v>612</v>
      </c>
      <c r="AQ29" s="20"/>
      <c r="AR29" s="20"/>
      <c r="AS29" s="20"/>
    </row>
    <row r="30" spans="1:45" ht="12.75" customHeight="1" x14ac:dyDescent="0.25">
      <c r="A30" s="20"/>
      <c r="B30" s="71"/>
      <c r="C30" s="71" t="s">
        <v>72</v>
      </c>
      <c r="D30" s="71" t="s">
        <v>74</v>
      </c>
      <c r="E30" s="20"/>
      <c r="F30" s="20"/>
      <c r="G30" s="20"/>
      <c r="H30" s="20"/>
      <c r="I30" s="20"/>
      <c r="J30" s="21"/>
      <c r="K30" s="21"/>
      <c r="L30" s="21"/>
      <c r="M30" s="21"/>
      <c r="N30" s="22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1" t="s">
        <v>613</v>
      </c>
      <c r="AL30" s="84">
        <f>3400/31</f>
        <v>109.6774193548387</v>
      </c>
      <c r="AM30" s="21" t="s">
        <v>614</v>
      </c>
      <c r="AN30" s="85">
        <f t="shared" ref="AN30:AN31" si="12">+AL30*$F$6/1000</f>
        <v>0.11072564420287279</v>
      </c>
      <c r="AO30" s="22" t="s">
        <v>59</v>
      </c>
      <c r="AP30" s="86">
        <f t="shared" ref="AP30:AP31" si="13">+AN30*$G$6</f>
        <v>6.1496042820697996</v>
      </c>
      <c r="AQ30" s="20" t="s">
        <v>62</v>
      </c>
      <c r="AR30" s="20"/>
      <c r="AS30" s="20"/>
    </row>
    <row r="31" spans="1:45" ht="12.75" customHeight="1" x14ac:dyDescent="0.25">
      <c r="A31" s="20"/>
      <c r="B31" s="71" t="s">
        <v>601</v>
      </c>
      <c r="C31" s="72">
        <v>0.15</v>
      </c>
      <c r="D31" s="72">
        <v>0.15</v>
      </c>
      <c r="E31" s="20"/>
      <c r="F31" s="20"/>
      <c r="G31" s="20"/>
      <c r="H31" s="20"/>
      <c r="I31" s="20"/>
      <c r="J31" s="21"/>
      <c r="K31" s="21"/>
      <c r="L31" s="21"/>
      <c r="M31" s="21"/>
      <c r="N31" s="22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1"/>
      <c r="AL31" s="84">
        <f>+AL30*365</f>
        <v>40032.258064516129</v>
      </c>
      <c r="AM31" s="21" t="s">
        <v>615</v>
      </c>
      <c r="AN31" s="85">
        <f t="shared" si="12"/>
        <v>40.414860134048567</v>
      </c>
      <c r="AO31" s="22" t="s">
        <v>59</v>
      </c>
      <c r="AP31" s="86">
        <f t="shared" si="13"/>
        <v>2244.6055629554771</v>
      </c>
      <c r="AQ31" s="20" t="s">
        <v>62</v>
      </c>
      <c r="AR31" s="87">
        <f>+AN31*0.35/0.0036</f>
        <v>3929.2225130324991</v>
      </c>
      <c r="AS31" s="20" t="s">
        <v>599</v>
      </c>
    </row>
    <row r="32" spans="1:45" ht="12.75" customHeight="1" x14ac:dyDescent="0.25">
      <c r="A32" s="20"/>
      <c r="B32" s="73" t="s">
        <v>602</v>
      </c>
      <c r="C32" s="74">
        <f>+C31*F15/(C31*F15+(1-C31)*F10)</f>
        <v>8.8515833394198815E-2</v>
      </c>
      <c r="D32" s="74">
        <f>+D31*F16/(D31*F16+(1-D31)*F11)</f>
        <v>0.14098537331267513</v>
      </c>
      <c r="E32" s="20"/>
      <c r="F32" s="20"/>
      <c r="G32" s="20"/>
      <c r="H32" s="20"/>
      <c r="I32" s="20"/>
      <c r="J32" s="21"/>
      <c r="K32" s="21"/>
      <c r="L32" s="21"/>
      <c r="M32" s="21"/>
      <c r="N32" s="22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1"/>
      <c r="AL32" s="21"/>
      <c r="AM32" s="21"/>
      <c r="AN32" s="21"/>
      <c r="AO32" s="22"/>
      <c r="AP32" s="86"/>
      <c r="AQ32" s="20"/>
      <c r="AR32" s="20"/>
      <c r="AS32" s="20"/>
    </row>
    <row r="33" spans="1:45" ht="12.75" customHeight="1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1"/>
      <c r="K33" s="21"/>
      <c r="L33" s="21"/>
      <c r="M33" s="21"/>
      <c r="N33" s="22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1"/>
      <c r="AL33" s="21"/>
      <c r="AM33" s="21"/>
      <c r="AN33" s="21"/>
      <c r="AO33" s="22"/>
      <c r="AP33" s="86"/>
      <c r="AQ33" s="20"/>
      <c r="AR33" s="20"/>
      <c r="AS33" s="20"/>
    </row>
    <row r="34" spans="1:45" ht="12.75" customHeight="1" x14ac:dyDescent="0.25">
      <c r="A34" s="20"/>
      <c r="B34" s="20">
        <v>8.9880000000000002E-2</v>
      </c>
      <c r="C34" s="20" t="s">
        <v>616</v>
      </c>
      <c r="D34" s="20"/>
      <c r="E34" s="20"/>
      <c r="F34" s="20"/>
      <c r="G34" s="20"/>
      <c r="H34" s="20"/>
      <c r="I34" s="20"/>
      <c r="J34" s="21"/>
      <c r="K34" s="21"/>
      <c r="L34" s="21"/>
      <c r="M34" s="21"/>
      <c r="N34" s="22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1" t="s">
        <v>617</v>
      </c>
      <c r="AL34" s="88">
        <f>825/31</f>
        <v>26.612903225806452</v>
      </c>
      <c r="AM34" s="21" t="s">
        <v>614</v>
      </c>
      <c r="AN34" s="85">
        <f t="shared" ref="AN34:AN35" si="14">+AL34*$F$6/1000</f>
        <v>2.6867251902167662E-2</v>
      </c>
      <c r="AO34" s="22" t="s">
        <v>59</v>
      </c>
      <c r="AP34" s="86">
        <f t="shared" ref="AP34:AP35" si="15">+AN34*$G$6</f>
        <v>1.4921833919728191</v>
      </c>
      <c r="AQ34" s="20" t="s">
        <v>62</v>
      </c>
      <c r="AR34" s="20"/>
      <c r="AS34" s="20"/>
    </row>
    <row r="35" spans="1:45" ht="12.75" customHeight="1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1"/>
      <c r="K35" s="21"/>
      <c r="L35" s="21"/>
      <c r="M35" s="21"/>
      <c r="N35" s="22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1"/>
      <c r="AL35" s="88">
        <f>+AL34/365</f>
        <v>7.2912063632346438E-2</v>
      </c>
      <c r="AM35" s="21" t="s">
        <v>615</v>
      </c>
      <c r="AN35" s="85">
        <f t="shared" si="14"/>
        <v>7.360890932100729E-5</v>
      </c>
      <c r="AO35" s="22" t="s">
        <v>59</v>
      </c>
      <c r="AP35" s="86">
        <f t="shared" si="15"/>
        <v>4.0881736766378608E-3</v>
      </c>
      <c r="AQ35" s="20" t="s">
        <v>62</v>
      </c>
      <c r="AR35" s="20"/>
      <c r="AS35" s="20"/>
    </row>
    <row r="36" spans="1:45" ht="12.75" customHeight="1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1"/>
      <c r="K36" s="21"/>
      <c r="L36" s="21"/>
      <c r="M36" s="21"/>
      <c r="N36" s="22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1"/>
      <c r="AL36" s="21"/>
      <c r="AM36" s="21"/>
      <c r="AN36" s="21"/>
      <c r="AO36" s="22"/>
      <c r="AP36" s="20"/>
      <c r="AQ36" s="20"/>
      <c r="AR36" s="20"/>
      <c r="AS36" s="20"/>
    </row>
    <row r="37" spans="1:45" ht="12.75" customHeight="1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1"/>
      <c r="K37" s="21"/>
      <c r="L37" s="21"/>
      <c r="M37" s="21"/>
      <c r="N37" s="22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1"/>
      <c r="AL37" s="21"/>
      <c r="AM37" s="21"/>
      <c r="AN37" s="21"/>
      <c r="AO37" s="22"/>
      <c r="AP37" s="86">
        <f>+AP35+AP31</f>
        <v>2244.6096511291539</v>
      </c>
      <c r="AQ37" s="20" t="s">
        <v>62</v>
      </c>
      <c r="AR37" s="20"/>
      <c r="AS37" s="20"/>
    </row>
    <row r="38" spans="1:45" ht="12.75" customHeight="1" x14ac:dyDescent="0.25">
      <c r="A38" s="20"/>
      <c r="B38" s="20"/>
      <c r="C38" s="20"/>
      <c r="D38" s="20"/>
      <c r="E38" s="20"/>
      <c r="F38" s="20"/>
      <c r="G38" s="20"/>
      <c r="H38" s="20"/>
      <c r="I38" s="20"/>
      <c r="J38" s="21"/>
      <c r="K38" s="21"/>
      <c r="L38" s="21"/>
      <c r="M38" s="21"/>
      <c r="N38" s="22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1"/>
      <c r="AL38" s="21"/>
      <c r="AM38" s="21"/>
      <c r="AN38" s="21"/>
      <c r="AO38" s="22"/>
      <c r="AP38" s="20"/>
      <c r="AQ38" s="20"/>
      <c r="AR38" s="20"/>
      <c r="AS38" s="20"/>
    </row>
    <row r="39" spans="1:45" ht="12.75" customHeight="1" x14ac:dyDescent="0.25">
      <c r="A39" s="20"/>
      <c r="B39" s="20"/>
      <c r="C39" s="20"/>
      <c r="D39" s="20"/>
      <c r="E39" s="20"/>
      <c r="F39" s="20"/>
      <c r="G39" s="20"/>
      <c r="H39" s="20"/>
      <c r="I39" s="20"/>
      <c r="J39" s="21"/>
      <c r="K39" s="21"/>
      <c r="L39" s="21"/>
      <c r="M39" s="21"/>
      <c r="N39" s="22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ht="12.75" customHeight="1" x14ac:dyDescent="0.25">
      <c r="A40" s="20"/>
      <c r="B40" s="20"/>
      <c r="C40" s="20"/>
      <c r="D40" s="20"/>
      <c r="E40" s="89"/>
      <c r="F40" s="90"/>
      <c r="G40" s="91"/>
      <c r="H40" s="76"/>
      <c r="I40" s="76"/>
      <c r="J40" s="92"/>
      <c r="K40" s="92"/>
      <c r="L40" s="92"/>
      <c r="M40" s="92"/>
      <c r="N40" s="93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</row>
    <row r="41" spans="1:45" ht="12.75" customHeight="1" x14ac:dyDescent="0.25">
      <c r="A41" s="20"/>
      <c r="B41" s="20"/>
      <c r="E41" s="828" t="s">
        <v>552</v>
      </c>
      <c r="F41" s="827"/>
      <c r="G41" s="828" t="s">
        <v>618</v>
      </c>
      <c r="H41" s="829"/>
      <c r="I41" s="829"/>
      <c r="J41" s="829"/>
      <c r="K41" s="829"/>
      <c r="L41" s="829"/>
      <c r="M41" s="829"/>
      <c r="N41" s="827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</row>
    <row r="42" spans="1:45" ht="12.75" customHeight="1" x14ac:dyDescent="0.25">
      <c r="A42" s="20"/>
      <c r="E42" s="94" t="s">
        <v>553</v>
      </c>
      <c r="F42" s="95" t="s">
        <v>554</v>
      </c>
      <c r="G42" s="96"/>
      <c r="H42" s="20"/>
      <c r="I42" s="20"/>
      <c r="J42" s="21"/>
      <c r="K42" s="830" t="s">
        <v>619</v>
      </c>
      <c r="L42" s="812"/>
      <c r="M42" s="812"/>
      <c r="N42" s="98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</row>
    <row r="43" spans="1:45" ht="12.75" customHeight="1" x14ac:dyDescent="0.25">
      <c r="A43" s="20"/>
      <c r="B43" s="20"/>
      <c r="C43" s="20"/>
      <c r="D43" s="13"/>
      <c r="E43" s="94" t="s">
        <v>555</v>
      </c>
      <c r="F43" s="27" t="s">
        <v>556</v>
      </c>
      <c r="G43" s="96"/>
      <c r="H43" s="20"/>
      <c r="I43" s="20"/>
      <c r="J43" s="21"/>
      <c r="K43" s="21">
        <v>1</v>
      </c>
      <c r="L43" s="21">
        <v>28</v>
      </c>
      <c r="M43" s="21">
        <v>265</v>
      </c>
      <c r="N43" s="98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</row>
    <row r="44" spans="1:45" ht="12.75" customHeight="1" x14ac:dyDescent="0.25">
      <c r="A44" s="20"/>
      <c r="B44" s="99" t="s">
        <v>557</v>
      </c>
      <c r="C44" s="99" t="s">
        <v>620</v>
      </c>
      <c r="D44" s="13"/>
      <c r="E44" s="94" t="s">
        <v>561</v>
      </c>
      <c r="F44" s="27" t="s">
        <v>562</v>
      </c>
      <c r="G44" s="94" t="s">
        <v>561</v>
      </c>
      <c r="H44" s="20"/>
      <c r="I44" s="20" t="s">
        <v>621</v>
      </c>
      <c r="J44" s="100" t="s">
        <v>622</v>
      </c>
      <c r="K44" s="97" t="s">
        <v>623</v>
      </c>
      <c r="L44" s="97" t="s">
        <v>624</v>
      </c>
      <c r="M44" s="97" t="s">
        <v>625</v>
      </c>
      <c r="N44" s="101" t="s">
        <v>626</v>
      </c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</row>
    <row r="45" spans="1:45" ht="12.75" customHeight="1" x14ac:dyDescent="0.25">
      <c r="A45" s="20"/>
      <c r="B45" s="102" t="s">
        <v>563</v>
      </c>
      <c r="C45" s="103" t="s">
        <v>627</v>
      </c>
      <c r="D45" s="34" t="s">
        <v>7</v>
      </c>
      <c r="E45" s="104">
        <f>+G111</f>
        <v>1.0095573442026637</v>
      </c>
      <c r="F45" s="105">
        <f>+L111*1000</f>
        <v>55.539114956987063</v>
      </c>
      <c r="G45" s="106">
        <v>1.0095573442026637</v>
      </c>
      <c r="H45" s="107" t="s">
        <v>628</v>
      </c>
      <c r="I45" s="108">
        <f>47.6420911660953*1000</f>
        <v>47642.091166095299</v>
      </c>
      <c r="J45" s="109" t="s">
        <v>629</v>
      </c>
      <c r="K45" s="21">
        <v>55539.086900000002</v>
      </c>
      <c r="L45" s="21">
        <v>1</v>
      </c>
      <c r="M45" s="21">
        <v>0.1</v>
      </c>
      <c r="N45" s="110">
        <f t="shared" ref="N45:N46" si="16">+SUMPRODUCT($K$43:$M$43,K45:M45)/1000</f>
        <v>55.593586900000005</v>
      </c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</row>
    <row r="46" spans="1:45" ht="12.75" customHeight="1" x14ac:dyDescent="0.25">
      <c r="A46" s="20"/>
      <c r="B46" s="111" t="s">
        <v>566</v>
      </c>
      <c r="C46" s="112" t="s">
        <v>630</v>
      </c>
      <c r="D46" s="40" t="s">
        <v>13</v>
      </c>
      <c r="E46" s="831">
        <f>+G114</f>
        <v>6.0871741676095334</v>
      </c>
      <c r="F46" s="834">
        <f>+L114*1000</f>
        <v>77.841777688967127</v>
      </c>
      <c r="G46" s="835">
        <v>6.0871741676095334</v>
      </c>
      <c r="H46" s="836" t="s">
        <v>628</v>
      </c>
      <c r="I46" s="836">
        <v>40670.462586675276</v>
      </c>
      <c r="J46" s="837" t="s">
        <v>631</v>
      </c>
      <c r="K46" s="21">
        <v>77841.778000000006</v>
      </c>
      <c r="L46" s="21">
        <v>3</v>
      </c>
      <c r="M46" s="21">
        <v>0.6</v>
      </c>
      <c r="N46" s="110">
        <f t="shared" si="16"/>
        <v>78.084778</v>
      </c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</row>
    <row r="47" spans="1:45" ht="12.75" customHeight="1" x14ac:dyDescent="0.25">
      <c r="A47" s="20"/>
      <c r="B47" s="116" t="s">
        <v>569</v>
      </c>
      <c r="C47" s="12" t="s">
        <v>630</v>
      </c>
      <c r="D47" s="14" t="s">
        <v>17</v>
      </c>
      <c r="E47" s="832"/>
      <c r="F47" s="826"/>
      <c r="G47" s="832"/>
      <c r="H47" s="812"/>
      <c r="I47" s="812"/>
      <c r="J47" s="826"/>
      <c r="K47" s="21"/>
      <c r="L47" s="21"/>
      <c r="M47" s="21"/>
      <c r="N47" s="11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</row>
    <row r="48" spans="1:45" ht="12.75" customHeight="1" x14ac:dyDescent="0.25">
      <c r="A48" s="20"/>
      <c r="B48" s="117" t="s">
        <v>571</v>
      </c>
      <c r="C48" s="118" t="s">
        <v>630</v>
      </c>
      <c r="D48" s="49" t="s">
        <v>21</v>
      </c>
      <c r="E48" s="833"/>
      <c r="F48" s="827"/>
      <c r="G48" s="833"/>
      <c r="H48" s="829"/>
      <c r="I48" s="829"/>
      <c r="J48" s="827"/>
      <c r="K48" s="21"/>
      <c r="L48" s="21"/>
      <c r="M48" s="21"/>
      <c r="N48" s="11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</row>
    <row r="49" spans="1:45" ht="12.75" customHeight="1" x14ac:dyDescent="0.25">
      <c r="A49" s="20"/>
      <c r="B49" s="111" t="s">
        <v>573</v>
      </c>
      <c r="C49" s="112" t="s">
        <v>632</v>
      </c>
      <c r="D49" s="40" t="s">
        <v>8</v>
      </c>
      <c r="E49" s="83">
        <f>+G134</f>
        <v>5.3308987344700309</v>
      </c>
      <c r="F49" s="119">
        <f>+L134*1000</f>
        <v>69.193827140333724</v>
      </c>
      <c r="G49" s="113">
        <v>5.336650070123496</v>
      </c>
      <c r="H49" s="120" t="s">
        <v>628</v>
      </c>
      <c r="I49" s="76">
        <v>45329.53267685703</v>
      </c>
      <c r="J49" s="115" t="s">
        <v>633</v>
      </c>
      <c r="K49" s="21">
        <v>69323.686000000002</v>
      </c>
      <c r="L49" s="21">
        <v>3</v>
      </c>
      <c r="M49" s="21">
        <v>0.6</v>
      </c>
      <c r="N49" s="110">
        <f t="shared" ref="N49:N55" si="17">+SUMPRODUCT($K$43:$M$43,K49:M49)/1000</f>
        <v>69.566686000000004</v>
      </c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</row>
    <row r="50" spans="1:45" ht="12.75" customHeight="1" x14ac:dyDescent="0.25">
      <c r="A50" s="20"/>
      <c r="B50" s="116" t="s">
        <v>576</v>
      </c>
      <c r="C50" s="12" t="s">
        <v>634</v>
      </c>
      <c r="D50" s="14" t="s">
        <v>14</v>
      </c>
      <c r="E50" s="63">
        <f>+G128</f>
        <v>5.6708498400612823</v>
      </c>
      <c r="F50" s="121">
        <f>+L128*1000</f>
        <v>75.166375708662926</v>
      </c>
      <c r="G50" s="122">
        <v>5.7452112402404705</v>
      </c>
      <c r="H50" s="123" t="s">
        <v>635</v>
      </c>
      <c r="I50" s="20">
        <v>42418.466233751533</v>
      </c>
      <c r="J50" s="124" t="s">
        <v>636</v>
      </c>
      <c r="K50" s="21">
        <v>74193.482999999993</v>
      </c>
      <c r="L50" s="21">
        <v>1</v>
      </c>
      <c r="M50" s="21">
        <v>0.6</v>
      </c>
      <c r="N50" s="110">
        <f t="shared" si="17"/>
        <v>74.380482999999998</v>
      </c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</row>
    <row r="51" spans="1:45" ht="12.75" customHeight="1" x14ac:dyDescent="0.25">
      <c r="A51" s="20"/>
      <c r="B51" s="116" t="s">
        <v>65</v>
      </c>
      <c r="C51" s="12" t="s">
        <v>637</v>
      </c>
      <c r="D51" s="14" t="s">
        <v>18</v>
      </c>
      <c r="E51" s="125">
        <f>+G136</f>
        <v>4.7117947967516214</v>
      </c>
      <c r="F51" s="121">
        <f>+L136*1000</f>
        <v>87.735056011523966</v>
      </c>
      <c r="G51" s="122">
        <v>4.672084636568222</v>
      </c>
      <c r="H51" s="123" t="s">
        <v>635</v>
      </c>
      <c r="I51" s="20">
        <v>35576.910585045494</v>
      </c>
      <c r="J51" s="124" t="s">
        <v>638</v>
      </c>
      <c r="K51" s="21">
        <v>88461.130999999994</v>
      </c>
      <c r="L51" s="21">
        <v>3</v>
      </c>
      <c r="M51" s="21">
        <v>0.6</v>
      </c>
      <c r="N51" s="110">
        <f t="shared" si="17"/>
        <v>88.70413099999999</v>
      </c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</row>
    <row r="52" spans="1:45" ht="12.75" customHeight="1" x14ac:dyDescent="0.25">
      <c r="A52" s="20"/>
      <c r="B52" s="116" t="s">
        <v>581</v>
      </c>
      <c r="C52" s="12" t="s">
        <v>639</v>
      </c>
      <c r="D52" s="14" t="s">
        <v>22</v>
      </c>
      <c r="E52" s="63">
        <f>+G133</f>
        <v>4.0562660463586173</v>
      </c>
      <c r="F52" s="121">
        <f>+L133*1000</f>
        <v>47.28933824683137</v>
      </c>
      <c r="G52" s="122">
        <v>4.0562660463586173</v>
      </c>
      <c r="H52" s="123" t="s">
        <v>628</v>
      </c>
      <c r="I52" s="20">
        <v>45989.410956446904</v>
      </c>
      <c r="J52" s="124" t="s">
        <v>640</v>
      </c>
      <c r="K52" s="21">
        <v>67185.115000000005</v>
      </c>
      <c r="L52" s="21">
        <v>1</v>
      </c>
      <c r="M52" s="21">
        <v>0.1</v>
      </c>
      <c r="N52" s="110">
        <f t="shared" si="17"/>
        <v>67.239615000000001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</row>
    <row r="53" spans="1:45" ht="12.75" customHeight="1" x14ac:dyDescent="0.25">
      <c r="A53" s="20"/>
      <c r="B53" s="116" t="s">
        <v>586</v>
      </c>
      <c r="C53" s="12" t="s">
        <v>641</v>
      </c>
      <c r="D53" s="14" t="s">
        <v>26</v>
      </c>
      <c r="E53" s="63">
        <f>+G131</f>
        <v>5.4608206169323079</v>
      </c>
      <c r="F53" s="121">
        <f>+L131*1000</f>
        <v>78.281203343664757</v>
      </c>
      <c r="G53" s="122">
        <v>5.4608206169323079</v>
      </c>
      <c r="H53" s="123" t="s">
        <v>628</v>
      </c>
      <c r="I53" s="20">
        <v>40442.162000000004</v>
      </c>
      <c r="J53" s="124" t="s">
        <v>642</v>
      </c>
      <c r="K53" s="21">
        <v>78281.202999999994</v>
      </c>
      <c r="L53" s="21">
        <v>3</v>
      </c>
      <c r="M53" s="21">
        <v>0.6</v>
      </c>
      <c r="N53" s="110">
        <f t="shared" si="17"/>
        <v>78.524203</v>
      </c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</row>
    <row r="54" spans="1:45" ht="12.75" customHeight="1" x14ac:dyDescent="0.25">
      <c r="A54" s="20"/>
      <c r="B54" s="111" t="s">
        <v>72</v>
      </c>
      <c r="C54" s="112" t="s">
        <v>643</v>
      </c>
      <c r="D54" s="40" t="s">
        <v>30</v>
      </c>
      <c r="E54" s="83">
        <f t="shared" ref="E54:E55" si="18">+G124</f>
        <v>2.9335934898501512</v>
      </c>
      <c r="F54" s="119">
        <f t="shared" ref="F54:F55" si="19">+L124*1000</f>
        <v>84.75811612074672</v>
      </c>
      <c r="G54" s="113">
        <v>2.9335934898501512</v>
      </c>
      <c r="H54" s="120" t="s">
        <v>628</v>
      </c>
      <c r="I54" s="76">
        <v>22480.19962297516</v>
      </c>
      <c r="J54" s="115" t="s">
        <v>644</v>
      </c>
      <c r="K54" s="21">
        <v>84758.115999999995</v>
      </c>
      <c r="L54" s="21">
        <v>3</v>
      </c>
      <c r="M54" s="21">
        <v>0.6</v>
      </c>
      <c r="N54" s="110">
        <f t="shared" si="17"/>
        <v>85.001115999999996</v>
      </c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</row>
    <row r="55" spans="1:45" ht="12.75" customHeight="1" x14ac:dyDescent="0.25">
      <c r="A55" s="20"/>
      <c r="B55" s="117" t="s">
        <v>74</v>
      </c>
      <c r="C55" s="118" t="s">
        <v>645</v>
      </c>
      <c r="D55" s="49" t="s">
        <v>32</v>
      </c>
      <c r="E55" s="67">
        <f t="shared" si="18"/>
        <v>5.274111587340502</v>
      </c>
      <c r="F55" s="126">
        <f t="shared" si="19"/>
        <v>54.806487022879928</v>
      </c>
      <c r="G55" s="127">
        <v>5.274111587340502</v>
      </c>
      <c r="H55" s="128" t="s">
        <v>628</v>
      </c>
      <c r="I55" s="80">
        <v>37907.854789510107</v>
      </c>
      <c r="J55" s="129" t="s">
        <v>646</v>
      </c>
      <c r="K55" s="21">
        <v>54806.487000000001</v>
      </c>
      <c r="L55" s="21">
        <v>3</v>
      </c>
      <c r="M55" s="21">
        <v>0.6</v>
      </c>
      <c r="N55" s="110">
        <f t="shared" si="17"/>
        <v>55.049486999999999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</row>
    <row r="56" spans="1:45" ht="12.75" customHeight="1" x14ac:dyDescent="0.25">
      <c r="A56" s="20"/>
      <c r="B56" s="12" t="s">
        <v>594</v>
      </c>
      <c r="C56" s="12" t="s">
        <v>647</v>
      </c>
      <c r="D56" s="130" t="s">
        <v>90</v>
      </c>
      <c r="E56" s="63">
        <f>+E54*C61+E49*(1-C61)</f>
        <v>5.1927630695557223</v>
      </c>
      <c r="F56" s="131">
        <f t="shared" ref="F56:F57" si="20">+F54*D60+F49*(1-D60)</f>
        <v>70.750256038375028</v>
      </c>
      <c r="G56" s="132">
        <v>4.7913520938098202</v>
      </c>
      <c r="H56" s="114" t="s">
        <v>635</v>
      </c>
      <c r="I56" s="114">
        <v>40659.333347540545</v>
      </c>
      <c r="J56" s="115" t="s">
        <v>648</v>
      </c>
      <c r="K56" s="21"/>
      <c r="L56" s="21"/>
      <c r="M56" s="21"/>
      <c r="N56" s="98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</row>
    <row r="57" spans="1:45" ht="12.75" customHeight="1" x14ac:dyDescent="0.25">
      <c r="A57" s="20"/>
      <c r="B57" s="12" t="s">
        <v>597</v>
      </c>
      <c r="C57" s="12" t="s">
        <v>647</v>
      </c>
      <c r="D57" s="130" t="s">
        <v>97</v>
      </c>
      <c r="E57" s="67">
        <f>+E55*D61+E50*(1-D61)</f>
        <v>5.6336916725609152</v>
      </c>
      <c r="F57" s="133">
        <f t="shared" si="20"/>
        <v>73.259485841384091</v>
      </c>
      <c r="G57" s="134"/>
      <c r="H57" s="80"/>
      <c r="I57" s="80"/>
      <c r="J57" s="135"/>
      <c r="K57" s="136"/>
      <c r="L57" s="136"/>
      <c r="M57" s="136"/>
      <c r="N57" s="137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</row>
    <row r="58" spans="1:45" ht="12.75" customHeight="1" x14ac:dyDescent="0.25">
      <c r="A58" s="20"/>
      <c r="B58" s="70" t="s">
        <v>600</v>
      </c>
      <c r="C58" s="20"/>
      <c r="D58" s="20"/>
      <c r="E58" s="20"/>
      <c r="F58" s="20"/>
      <c r="G58" s="20"/>
      <c r="H58" s="20"/>
      <c r="I58" s="20"/>
      <c r="J58" s="21"/>
      <c r="K58" s="21"/>
      <c r="L58" s="21"/>
      <c r="M58" s="21"/>
      <c r="N58" s="22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</row>
    <row r="59" spans="1:45" ht="12.75" customHeight="1" x14ac:dyDescent="0.25">
      <c r="A59" s="20"/>
      <c r="B59" s="73"/>
      <c r="C59" s="73" t="s">
        <v>72</v>
      </c>
      <c r="D59" s="73" t="s">
        <v>74</v>
      </c>
      <c r="E59" s="20"/>
      <c r="F59" s="20"/>
      <c r="G59" s="20"/>
      <c r="H59" s="20"/>
      <c r="I59" s="20"/>
      <c r="J59" s="21"/>
      <c r="K59" s="21"/>
      <c r="L59" s="21"/>
      <c r="M59" s="21"/>
      <c r="N59" s="22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</row>
    <row r="60" spans="1:45" ht="12.75" customHeight="1" x14ac:dyDescent="0.25">
      <c r="A60" s="20"/>
      <c r="B60" s="73" t="s">
        <v>601</v>
      </c>
      <c r="C60" s="138">
        <v>0.1</v>
      </c>
      <c r="D60" s="138">
        <v>0.1</v>
      </c>
      <c r="E60" s="20"/>
      <c r="F60" s="20"/>
      <c r="G60" s="20"/>
      <c r="H60" s="20"/>
      <c r="I60" s="20"/>
      <c r="J60" s="21"/>
      <c r="K60" s="21"/>
      <c r="L60" s="21"/>
      <c r="M60" s="21"/>
      <c r="N60" s="22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</row>
    <row r="61" spans="1:45" ht="12.75" customHeight="1" x14ac:dyDescent="0.25">
      <c r="A61" s="20"/>
      <c r="B61" s="73" t="s">
        <v>602</v>
      </c>
      <c r="C61" s="74">
        <f>+C60*E54/(C60*E54+(1-C60)*E49)</f>
        <v>5.7621225008503835E-2</v>
      </c>
      <c r="D61" s="74">
        <f>+D60*E55/(D60*E55+(1-D60)*E50)</f>
        <v>9.3659149944684009E-2</v>
      </c>
      <c r="E61" s="20"/>
      <c r="F61" s="20"/>
      <c r="G61" s="20"/>
      <c r="H61" s="20"/>
      <c r="I61" s="20"/>
      <c r="J61" s="21"/>
      <c r="K61" s="21"/>
      <c r="L61" s="21"/>
      <c r="M61" s="21"/>
      <c r="N61" s="22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</row>
    <row r="62" spans="1:45" ht="12.75" customHeight="1" x14ac:dyDescent="0.25">
      <c r="A62" s="20"/>
      <c r="B62" s="20"/>
      <c r="C62" s="20"/>
      <c r="D62" s="20"/>
      <c r="E62" s="20"/>
      <c r="F62" s="20"/>
      <c r="G62" s="20"/>
      <c r="H62" s="20"/>
      <c r="I62" s="20"/>
      <c r="J62" s="21"/>
      <c r="K62" s="21"/>
      <c r="L62" s="21"/>
      <c r="M62" s="21"/>
      <c r="N62" s="22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</row>
    <row r="63" spans="1:45" ht="12.75" customHeight="1" x14ac:dyDescent="0.25">
      <c r="A63" s="20"/>
      <c r="B63" s="20"/>
      <c r="C63" s="20"/>
      <c r="D63" s="20"/>
      <c r="E63" s="20"/>
      <c r="F63" s="20"/>
      <c r="G63" s="20"/>
      <c r="H63" s="20"/>
      <c r="I63" s="20"/>
      <c r="J63" s="21"/>
      <c r="K63" s="21"/>
      <c r="L63" s="21"/>
      <c r="M63" s="21"/>
      <c r="N63" s="22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</row>
    <row r="64" spans="1:45" ht="12.75" customHeight="1" x14ac:dyDescent="0.25">
      <c r="A64" s="20"/>
      <c r="B64" s="20"/>
      <c r="C64" s="20"/>
      <c r="D64" s="20"/>
      <c r="E64" s="20"/>
      <c r="F64" s="20"/>
      <c r="G64" s="20"/>
      <c r="H64" s="20"/>
      <c r="I64" s="20"/>
      <c r="J64" s="21"/>
      <c r="K64" s="21"/>
      <c r="L64" s="21"/>
      <c r="M64" s="21"/>
      <c r="N64" s="22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</row>
    <row r="65" spans="1:45" ht="12.75" customHeight="1" x14ac:dyDescent="0.25">
      <c r="A65" s="20"/>
      <c r="B65" s="20"/>
      <c r="C65" s="20"/>
      <c r="D65" s="20"/>
      <c r="E65" s="20"/>
      <c r="F65" s="20"/>
      <c r="G65" s="20"/>
      <c r="H65" s="20"/>
      <c r="I65" s="20"/>
      <c r="J65" s="21"/>
      <c r="K65" s="21"/>
      <c r="L65" s="21"/>
      <c r="M65" s="21"/>
      <c r="N65" s="22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1:45" ht="12.75" customHeight="1" x14ac:dyDescent="0.25">
      <c r="A66" s="20"/>
      <c r="B66" s="20"/>
      <c r="C66" s="20"/>
      <c r="D66" s="20"/>
      <c r="E66" s="20"/>
      <c r="F66" s="20"/>
      <c r="G66" s="20"/>
      <c r="H66" s="20"/>
      <c r="I66" s="20"/>
      <c r="J66" s="21"/>
      <c r="K66" s="21"/>
      <c r="L66" s="21"/>
      <c r="M66" s="21"/>
      <c r="N66" s="22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</row>
    <row r="67" spans="1:45" ht="12.75" customHeight="1" x14ac:dyDescent="0.25">
      <c r="A67" s="20"/>
      <c r="B67" s="20"/>
      <c r="C67" s="20"/>
      <c r="D67" s="20"/>
      <c r="E67" s="20"/>
      <c r="F67" s="20"/>
      <c r="G67" s="20"/>
      <c r="H67" s="20"/>
      <c r="I67" s="20"/>
      <c r="J67" s="21"/>
      <c r="K67" s="21"/>
      <c r="L67" s="21"/>
      <c r="M67" s="21"/>
      <c r="N67" s="22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</row>
    <row r="68" spans="1:45" ht="12.75" customHeight="1" x14ac:dyDescent="0.25">
      <c r="A68" s="20"/>
      <c r="B68" s="20"/>
      <c r="C68" s="20"/>
      <c r="D68" s="20"/>
      <c r="E68" s="20"/>
      <c r="F68" s="20"/>
      <c r="G68" s="20"/>
      <c r="H68" s="20"/>
      <c r="I68" s="20"/>
      <c r="J68" s="21"/>
      <c r="K68" s="21"/>
      <c r="L68" s="21"/>
      <c r="M68" s="21"/>
      <c r="N68" s="22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ht="12.75" customHeight="1" x14ac:dyDescent="0.25">
      <c r="A69" s="20"/>
      <c r="B69" s="20"/>
      <c r="C69" s="20"/>
      <c r="D69" s="20"/>
      <c r="E69" s="20"/>
      <c r="F69" s="20"/>
      <c r="G69" s="20"/>
      <c r="H69" s="20"/>
      <c r="I69" s="20"/>
      <c r="J69" s="21"/>
      <c r="K69" s="21"/>
      <c r="L69" s="21"/>
      <c r="M69" s="21"/>
      <c r="N69" s="22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ht="12.75" customHeight="1" x14ac:dyDescent="0.25">
      <c r="A70" s="20"/>
      <c r="B70" s="20"/>
      <c r="C70" s="20"/>
      <c r="D70" s="20"/>
      <c r="E70" s="20"/>
      <c r="F70" s="20"/>
      <c r="G70" s="20"/>
      <c r="H70" s="20"/>
      <c r="I70" s="20"/>
      <c r="J70" s="21"/>
      <c r="K70" s="21"/>
      <c r="L70" s="21"/>
      <c r="M70" s="21"/>
      <c r="N70" s="22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ht="12.75" customHeight="1" x14ac:dyDescent="0.25">
      <c r="A71" s="20"/>
      <c r="B71" s="20"/>
      <c r="C71" s="20"/>
      <c r="D71" s="20"/>
      <c r="E71" s="20"/>
      <c r="F71" s="20"/>
      <c r="G71" s="20"/>
      <c r="H71" s="20"/>
      <c r="I71" s="20"/>
      <c r="J71" s="21"/>
      <c r="K71" s="21"/>
      <c r="L71" s="21"/>
      <c r="M71" s="21"/>
      <c r="N71" s="22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ht="12.75" customHeight="1" x14ac:dyDescent="0.25">
      <c r="A72" s="20"/>
      <c r="B72" s="20"/>
      <c r="C72" s="20"/>
      <c r="D72" s="20"/>
      <c r="E72" s="20"/>
      <c r="F72" s="20"/>
      <c r="G72" s="20"/>
      <c r="H72" s="20"/>
      <c r="I72" s="20"/>
      <c r="J72" s="21"/>
      <c r="K72" s="21"/>
      <c r="L72" s="21"/>
      <c r="M72" s="21"/>
      <c r="N72" s="22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ht="12.75" customHeight="1" x14ac:dyDescent="0.25">
      <c r="A73" s="20"/>
      <c r="B73" s="20"/>
      <c r="C73" s="20"/>
      <c r="D73" s="20"/>
      <c r="E73" s="20"/>
      <c r="F73" s="20"/>
      <c r="G73" s="20"/>
      <c r="H73" s="20"/>
      <c r="I73" s="20"/>
      <c r="J73" s="21"/>
      <c r="K73" s="21"/>
      <c r="L73" s="21"/>
      <c r="M73" s="21"/>
      <c r="N73" s="22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ht="12.75" customHeight="1" x14ac:dyDescent="0.25">
      <c r="A74" s="20"/>
      <c r="B74" s="20"/>
      <c r="C74" s="20"/>
      <c r="D74" s="20"/>
      <c r="E74" s="20"/>
      <c r="F74" s="20"/>
      <c r="G74" s="20"/>
      <c r="H74" s="20"/>
      <c r="I74" s="20"/>
      <c r="J74" s="21"/>
      <c r="K74" s="21"/>
      <c r="L74" s="21"/>
      <c r="M74" s="21"/>
      <c r="N74" s="22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ht="12.75" customHeight="1" x14ac:dyDescent="0.25">
      <c r="A75" s="20"/>
      <c r="B75" s="20"/>
      <c r="C75" s="20"/>
      <c r="D75" s="20"/>
      <c r="E75" s="20"/>
      <c r="F75" s="20"/>
      <c r="G75" s="20"/>
      <c r="H75" s="20"/>
      <c r="I75" s="20"/>
      <c r="J75" s="21"/>
      <c r="K75" s="21"/>
      <c r="L75" s="21"/>
      <c r="M75" s="21"/>
      <c r="N75" s="22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ht="12.75" customHeight="1" x14ac:dyDescent="0.25">
      <c r="A76" s="20"/>
      <c r="B76" s="20"/>
      <c r="C76" s="20"/>
      <c r="D76" s="20"/>
      <c r="E76" s="20"/>
      <c r="F76" s="20"/>
      <c r="G76" s="20"/>
      <c r="H76" s="20"/>
      <c r="I76" s="20"/>
      <c r="J76" s="21"/>
      <c r="K76" s="21"/>
      <c r="L76" s="21"/>
      <c r="M76" s="21"/>
      <c r="N76" s="22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  <row r="77" spans="1:45" ht="12.75" customHeight="1" x14ac:dyDescent="0.25">
      <c r="A77" s="20"/>
      <c r="B77" s="20"/>
      <c r="C77" s="20"/>
      <c r="D77" s="20"/>
      <c r="E77" s="20"/>
      <c r="F77" s="20"/>
      <c r="G77" s="20"/>
      <c r="H77" s="20"/>
      <c r="I77" s="20"/>
      <c r="J77" s="21"/>
      <c r="K77" s="21"/>
      <c r="L77" s="21"/>
      <c r="M77" s="21"/>
      <c r="N77" s="22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</row>
    <row r="78" spans="1:45" ht="12.75" customHeight="1" x14ac:dyDescent="0.25">
      <c r="A78" s="20"/>
      <c r="B78" s="20"/>
      <c r="C78" s="20"/>
      <c r="D78" s="20"/>
      <c r="E78" s="20"/>
      <c r="F78" s="20"/>
      <c r="G78" s="20"/>
      <c r="H78" s="20"/>
      <c r="I78" s="20"/>
      <c r="J78" s="21"/>
      <c r="K78" s="21"/>
      <c r="L78" s="21"/>
      <c r="M78" s="21"/>
      <c r="N78" s="22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</row>
    <row r="79" spans="1:45" ht="12.75" customHeight="1" x14ac:dyDescent="0.25">
      <c r="A79" s="20"/>
      <c r="B79" s="20"/>
      <c r="C79" s="20"/>
      <c r="D79" s="20"/>
      <c r="E79" s="20"/>
      <c r="F79" s="20"/>
      <c r="G79" s="20"/>
      <c r="H79" s="20"/>
      <c r="I79" s="20"/>
      <c r="J79" s="21"/>
      <c r="K79" s="21"/>
      <c r="L79" s="21"/>
      <c r="M79" s="21"/>
      <c r="N79" s="22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</row>
    <row r="80" spans="1:45" ht="12.75" customHeight="1" x14ac:dyDescent="0.25">
      <c r="A80" s="20"/>
      <c r="B80" s="20"/>
      <c r="C80" s="20"/>
      <c r="D80" s="20"/>
      <c r="E80" s="20"/>
      <c r="F80" s="20"/>
      <c r="G80" s="20"/>
      <c r="H80" s="20"/>
      <c r="I80" s="20"/>
      <c r="J80" s="21"/>
      <c r="K80" s="21"/>
      <c r="L80" s="21"/>
      <c r="M80" s="21"/>
      <c r="N80" s="22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</row>
    <row r="81" spans="1:45" ht="12.75" customHeight="1" x14ac:dyDescent="0.25">
      <c r="A81" s="20"/>
      <c r="B81" s="20"/>
      <c r="C81" s="20"/>
      <c r="D81" s="20"/>
      <c r="E81" s="20"/>
      <c r="F81" s="20"/>
      <c r="G81" s="20"/>
      <c r="H81" s="20"/>
      <c r="I81" s="20"/>
      <c r="J81" s="21"/>
      <c r="K81" s="21"/>
      <c r="L81" s="21"/>
      <c r="M81" s="21"/>
      <c r="N81" s="22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</row>
    <row r="82" spans="1:45" ht="12.75" customHeight="1" x14ac:dyDescent="0.25">
      <c r="A82" s="20"/>
      <c r="B82" s="20"/>
      <c r="C82" s="20"/>
      <c r="D82" s="20"/>
      <c r="E82" s="20"/>
      <c r="F82" s="20"/>
      <c r="G82" s="20"/>
      <c r="H82" s="20"/>
      <c r="I82" s="20"/>
      <c r="J82" s="21"/>
      <c r="K82" s="21"/>
      <c r="L82" s="21"/>
      <c r="M82" s="21"/>
      <c r="N82" s="22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</row>
    <row r="83" spans="1:45" ht="12.75" customHeight="1" x14ac:dyDescent="0.25">
      <c r="A83" s="20"/>
      <c r="B83" s="20"/>
      <c r="C83" s="20"/>
      <c r="D83" s="20"/>
      <c r="E83" s="20"/>
      <c r="F83" s="20"/>
      <c r="G83" s="20"/>
      <c r="H83" s="20"/>
      <c r="I83" s="20"/>
      <c r="J83" s="21"/>
      <c r="K83" s="21"/>
      <c r="L83" s="21"/>
      <c r="M83" s="21"/>
      <c r="N83" s="22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</row>
    <row r="84" spans="1:45" ht="12.75" customHeight="1" x14ac:dyDescent="0.25">
      <c r="A84" s="20"/>
      <c r="B84" s="20"/>
      <c r="C84" s="20"/>
      <c r="D84" s="20"/>
      <c r="E84" s="20"/>
      <c r="F84" s="20"/>
      <c r="G84" s="20"/>
      <c r="H84" s="20"/>
      <c r="I84" s="20"/>
      <c r="J84" s="21"/>
      <c r="K84" s="21"/>
      <c r="L84" s="21"/>
      <c r="M84" s="21"/>
      <c r="N84" s="22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</row>
    <row r="85" spans="1:45" ht="12.75" customHeight="1" x14ac:dyDescent="0.25">
      <c r="A85" s="20"/>
      <c r="B85" s="20"/>
      <c r="C85" s="20"/>
      <c r="D85" s="20"/>
      <c r="E85" s="20"/>
      <c r="F85" s="20"/>
      <c r="G85" s="20"/>
      <c r="H85" s="20"/>
      <c r="I85" s="20"/>
      <c r="J85" s="21"/>
      <c r="K85" s="21"/>
      <c r="L85" s="21"/>
      <c r="M85" s="21"/>
      <c r="N85" s="22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</row>
    <row r="86" spans="1:45" ht="12.75" customHeight="1" x14ac:dyDescent="0.25">
      <c r="A86" s="20"/>
      <c r="B86" s="20"/>
      <c r="C86" s="20"/>
      <c r="D86" s="20"/>
      <c r="E86" s="20"/>
      <c r="F86" s="20"/>
      <c r="G86" s="20"/>
      <c r="H86" s="20"/>
      <c r="I86" s="20"/>
      <c r="J86" s="21"/>
      <c r="K86" s="21"/>
      <c r="L86" s="21"/>
      <c r="M86" s="21"/>
      <c r="N86" s="22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</row>
    <row r="87" spans="1:45" ht="12.75" customHeight="1" x14ac:dyDescent="0.25">
      <c r="A87" s="20"/>
      <c r="B87" s="20"/>
      <c r="C87" s="20"/>
      <c r="D87" s="20"/>
      <c r="E87" s="20"/>
      <c r="F87" s="20"/>
      <c r="G87" s="20"/>
      <c r="H87" s="20"/>
      <c r="I87" s="20"/>
      <c r="J87" s="21"/>
      <c r="K87" s="21"/>
      <c r="L87" s="21"/>
      <c r="M87" s="21"/>
      <c r="N87" s="22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</row>
    <row r="88" spans="1:45" ht="12.75" customHeight="1" x14ac:dyDescent="0.25">
      <c r="A88" s="20"/>
      <c r="B88" s="20"/>
      <c r="C88" s="20"/>
      <c r="D88" s="20"/>
      <c r="E88" s="20"/>
      <c r="F88" s="20"/>
      <c r="G88" s="20"/>
      <c r="H88" s="20"/>
      <c r="I88" s="20"/>
      <c r="J88" s="21"/>
      <c r="K88" s="21"/>
      <c r="L88" s="21"/>
      <c r="M88" s="21"/>
      <c r="N88" s="22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</row>
    <row r="89" spans="1:45" ht="12.75" customHeight="1" x14ac:dyDescent="0.25">
      <c r="A89" s="20"/>
      <c r="B89" s="20"/>
      <c r="C89" s="20"/>
      <c r="D89" s="20"/>
      <c r="E89" s="20"/>
      <c r="F89" s="20"/>
      <c r="G89" s="20"/>
      <c r="H89" s="20"/>
      <c r="I89" s="20"/>
      <c r="J89" s="21"/>
      <c r="K89" s="21"/>
      <c r="L89" s="21"/>
      <c r="M89" s="21"/>
      <c r="N89" s="22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</row>
    <row r="90" spans="1:45" ht="12.75" customHeight="1" x14ac:dyDescent="0.25">
      <c r="A90" s="20"/>
      <c r="B90" s="20"/>
      <c r="C90" s="20"/>
      <c r="D90" s="20"/>
      <c r="E90" s="20"/>
      <c r="F90" s="20"/>
      <c r="G90" s="20"/>
      <c r="H90" s="20"/>
      <c r="I90" s="20"/>
      <c r="J90" s="21"/>
      <c r="K90" s="21"/>
      <c r="L90" s="21"/>
      <c r="M90" s="21"/>
      <c r="N90" s="22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</row>
    <row r="91" spans="1:45" ht="12.75" customHeight="1" x14ac:dyDescent="0.25">
      <c r="A91" s="20"/>
      <c r="B91" s="20"/>
      <c r="C91" s="20"/>
      <c r="D91" s="20"/>
      <c r="E91" s="20"/>
      <c r="F91" s="20"/>
      <c r="G91" s="20"/>
      <c r="H91" s="20"/>
      <c r="I91" s="20"/>
      <c r="J91" s="21"/>
      <c r="K91" s="21"/>
      <c r="L91" s="21"/>
      <c r="M91" s="21"/>
      <c r="N91" s="22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</row>
    <row r="92" spans="1:45" ht="12.75" customHeight="1" x14ac:dyDescent="0.25">
      <c r="A92" s="20"/>
      <c r="B92" s="20"/>
      <c r="C92" s="20"/>
      <c r="D92" s="20"/>
      <c r="E92" s="20"/>
      <c r="F92" s="20"/>
      <c r="G92" s="20"/>
      <c r="H92" s="20"/>
      <c r="I92" s="20"/>
      <c r="J92" s="21"/>
      <c r="K92" s="21"/>
      <c r="L92" s="21"/>
      <c r="M92" s="21"/>
      <c r="N92" s="22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</row>
    <row r="93" spans="1:45" ht="12.75" customHeight="1" x14ac:dyDescent="0.25">
      <c r="A93" s="20"/>
      <c r="B93" s="20"/>
      <c r="C93" s="20"/>
      <c r="D93" s="20"/>
      <c r="E93" s="20"/>
      <c r="F93" s="20"/>
      <c r="G93" s="20"/>
      <c r="H93" s="20"/>
      <c r="I93" s="20"/>
      <c r="J93" s="21"/>
      <c r="K93" s="21"/>
      <c r="L93" s="21"/>
      <c r="M93" s="21"/>
      <c r="N93" s="22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</row>
    <row r="94" spans="1:45" ht="12.75" customHeight="1" x14ac:dyDescent="0.25">
      <c r="A94" s="20"/>
      <c r="B94" s="20"/>
      <c r="C94" s="20"/>
      <c r="D94" s="20"/>
      <c r="E94" s="20"/>
      <c r="F94" s="20"/>
      <c r="G94" s="20"/>
      <c r="H94" s="20"/>
      <c r="I94" s="20"/>
      <c r="J94" s="21"/>
      <c r="K94" s="21"/>
      <c r="L94" s="21"/>
      <c r="M94" s="21"/>
      <c r="N94" s="22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</row>
    <row r="95" spans="1:45" ht="12.75" customHeight="1" x14ac:dyDescent="0.25">
      <c r="A95" s="20"/>
      <c r="B95" s="20"/>
      <c r="C95" s="20"/>
      <c r="D95" s="20"/>
      <c r="E95" s="20"/>
      <c r="F95" s="20"/>
      <c r="G95" s="20"/>
      <c r="H95" s="20"/>
      <c r="I95" s="20"/>
      <c r="J95" s="21"/>
      <c r="K95" s="21"/>
      <c r="L95" s="21"/>
      <c r="M95" s="21"/>
      <c r="N95" s="22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</row>
    <row r="96" spans="1:45" ht="12.75" customHeight="1" x14ac:dyDescent="0.25">
      <c r="A96" s="20"/>
      <c r="B96" s="20"/>
      <c r="C96" s="20"/>
      <c r="D96" s="20"/>
      <c r="E96" s="20"/>
      <c r="F96" s="20"/>
      <c r="G96" s="20"/>
      <c r="H96" s="20"/>
      <c r="I96" s="20"/>
      <c r="J96" s="21"/>
      <c r="K96" s="21"/>
      <c r="L96" s="21"/>
      <c r="M96" s="21"/>
      <c r="N96" s="22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</row>
    <row r="97" spans="1:45" ht="12.75" customHeight="1" x14ac:dyDescent="0.25">
      <c r="A97" s="20"/>
      <c r="B97" s="20"/>
      <c r="C97" s="20"/>
      <c r="D97" s="139"/>
      <c r="E97" s="20"/>
      <c r="F97" s="20"/>
      <c r="G97" s="20"/>
      <c r="H97" s="20"/>
      <c r="I97" s="20"/>
      <c r="J97" s="21"/>
      <c r="K97" s="21"/>
      <c r="L97" s="21"/>
      <c r="M97" s="21"/>
      <c r="N97" s="22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</row>
    <row r="98" spans="1:45" ht="12.75" customHeight="1" x14ac:dyDescent="0.25">
      <c r="A98" s="20"/>
      <c r="B98" s="20"/>
      <c r="C98" s="20"/>
      <c r="D98" s="20"/>
      <c r="E98" s="20"/>
      <c r="F98" s="20"/>
      <c r="G98" s="20"/>
      <c r="H98" s="20"/>
      <c r="I98" s="20"/>
      <c r="J98" s="21"/>
      <c r="K98" s="21"/>
      <c r="L98" s="21"/>
      <c r="M98" s="21"/>
      <c r="N98" s="1">
        <v>24843</v>
      </c>
      <c r="O98" s="1" t="s">
        <v>649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</row>
    <row r="99" spans="1:45" ht="12.75" customHeight="1" x14ac:dyDescent="0.25">
      <c r="A99" s="20"/>
      <c r="B99" s="20"/>
      <c r="C99" s="20"/>
      <c r="D99" s="20"/>
      <c r="E99" s="20"/>
      <c r="F99" s="20"/>
      <c r="G99" s="20"/>
      <c r="H99" s="20"/>
      <c r="I99" s="20"/>
      <c r="J99" s="21"/>
      <c r="K99" s="21" t="s">
        <v>650</v>
      </c>
      <c r="L99" s="21"/>
      <c r="M99" s="21"/>
      <c r="N99" s="22">
        <f>+N98*12000</f>
        <v>298116000</v>
      </c>
      <c r="O99" s="20" t="s">
        <v>651</v>
      </c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</row>
    <row r="100" spans="1:45" ht="12.75" customHeight="1" x14ac:dyDescent="0.25">
      <c r="A100" s="20"/>
      <c r="B100" s="20"/>
      <c r="C100" s="20"/>
      <c r="D100" s="20"/>
      <c r="E100" s="20"/>
      <c r="F100" s="20"/>
      <c r="G100" s="20"/>
      <c r="H100" s="20" t="s">
        <v>652</v>
      </c>
      <c r="I100" s="20">
        <f>27934768*1000</f>
        <v>27934768000</v>
      </c>
      <c r="J100" s="21" t="s">
        <v>653</v>
      </c>
      <c r="K100" s="21"/>
      <c r="L100" s="21"/>
      <c r="M100" s="21"/>
      <c r="N100" s="22">
        <f>+N99/(1000000000)</f>
        <v>0.29811599999999999</v>
      </c>
      <c r="O100" s="20" t="s">
        <v>654</v>
      </c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</row>
    <row r="101" spans="1:45" ht="12.75" customHeight="1" x14ac:dyDescent="0.25">
      <c r="A101" s="20"/>
      <c r="B101" s="20"/>
      <c r="C101" s="20"/>
      <c r="D101" s="20"/>
      <c r="E101" s="140">
        <f>+G109/H109</f>
        <v>3.6000000000000005</v>
      </c>
      <c r="F101" s="20"/>
      <c r="G101" s="20"/>
      <c r="H101" s="20"/>
      <c r="I101" s="20">
        <f>+I100*1000</f>
        <v>27934768000000</v>
      </c>
      <c r="J101" s="21" t="s">
        <v>651</v>
      </c>
      <c r="K101" s="21"/>
      <c r="L101" s="21"/>
      <c r="M101" s="21"/>
      <c r="N101" s="22">
        <f>+N100*G109/J109</f>
        <v>0.31452907449600004</v>
      </c>
      <c r="O101" s="20" t="s">
        <v>655</v>
      </c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</row>
    <row r="102" spans="1:45" ht="12.75" customHeight="1" x14ac:dyDescent="0.25">
      <c r="A102" s="20"/>
      <c r="B102" s="141" t="s">
        <v>656</v>
      </c>
      <c r="C102" s="20"/>
      <c r="D102" s="20"/>
      <c r="E102" s="20"/>
      <c r="F102" s="20"/>
      <c r="G102" s="20"/>
      <c r="H102" s="20"/>
      <c r="I102" s="20">
        <f>+I101/(1000000000)</f>
        <v>27934.768</v>
      </c>
      <c r="J102" s="21" t="s">
        <v>654</v>
      </c>
      <c r="K102" s="21"/>
      <c r="L102" s="21"/>
      <c r="M102" s="21"/>
      <c r="N102" s="22">
        <f>+N101/1000</f>
        <v>3.1452907449600005E-4</v>
      </c>
      <c r="O102" s="20" t="s">
        <v>59</v>
      </c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</row>
    <row r="103" spans="1:45" ht="12.75" customHeight="1" x14ac:dyDescent="0.25">
      <c r="A103" s="20"/>
      <c r="B103" s="20"/>
      <c r="C103" s="20"/>
      <c r="D103" s="20"/>
      <c r="E103" s="20"/>
      <c r="F103" s="20"/>
      <c r="G103" s="20"/>
      <c r="H103" s="20"/>
      <c r="I103" s="20">
        <f>+I102*G109/J109</f>
        <v>29472.744587008008</v>
      </c>
      <c r="J103" s="21" t="s">
        <v>655</v>
      </c>
      <c r="K103" s="21"/>
      <c r="L103" s="21"/>
      <c r="M103" s="21"/>
      <c r="N103" s="22"/>
      <c r="O103" s="20"/>
      <c r="P103" s="20">
        <v>186633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</row>
    <row r="104" spans="1:45" ht="12.75" customHeight="1" x14ac:dyDescent="0.25">
      <c r="A104" s="20"/>
      <c r="B104" s="142" t="s">
        <v>657</v>
      </c>
      <c r="C104" s="20"/>
      <c r="D104" s="143"/>
      <c r="E104" s="143"/>
      <c r="F104" s="144"/>
      <c r="G104" s="20"/>
      <c r="H104" s="20"/>
      <c r="I104" s="20">
        <f>+I103/1000</f>
        <v>29.472744587008009</v>
      </c>
      <c r="J104" s="21" t="s">
        <v>59</v>
      </c>
      <c r="K104" s="21"/>
      <c r="L104" s="21"/>
      <c r="M104" s="21"/>
      <c r="N104" s="22"/>
      <c r="O104" s="20"/>
      <c r="P104" s="145">
        <f>+P103/G134</f>
        <v>35009.668968801758</v>
      </c>
      <c r="Q104" s="20"/>
      <c r="R104" s="20"/>
      <c r="S104" s="20"/>
      <c r="T104" s="20"/>
      <c r="U104" s="20"/>
      <c r="V104" s="20"/>
      <c r="W104" s="146">
        <v>947817100000</v>
      </c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</row>
    <row r="105" spans="1:45" ht="12.75" customHeight="1" x14ac:dyDescent="0.25">
      <c r="A105" s="20"/>
      <c r="B105" s="20"/>
      <c r="C105" s="20"/>
      <c r="D105" s="147"/>
      <c r="E105" s="147"/>
      <c r="F105" s="148"/>
      <c r="G105" s="20"/>
      <c r="H105" s="20"/>
      <c r="I105" s="20"/>
      <c r="J105" s="21"/>
      <c r="K105" s="21"/>
      <c r="L105" s="21"/>
      <c r="M105" s="21"/>
      <c r="N105" s="22"/>
      <c r="O105" s="20"/>
      <c r="P105" s="20">
        <f>+P104*1000</f>
        <v>35009668.968801759</v>
      </c>
      <c r="Q105" s="20"/>
      <c r="R105" s="20"/>
      <c r="S105" s="20"/>
      <c r="T105" s="20"/>
      <c r="U105" s="20"/>
      <c r="V105" s="20"/>
      <c r="W105" s="146">
        <f>+W104/(1000000000)</f>
        <v>947.81709999999998</v>
      </c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</row>
    <row r="106" spans="1:45" ht="12.75" customHeight="1" x14ac:dyDescent="0.25">
      <c r="A106" s="20"/>
      <c r="B106" s="816" t="s">
        <v>658</v>
      </c>
      <c r="C106" s="814"/>
      <c r="D106" s="814"/>
      <c r="E106" s="814"/>
      <c r="F106" s="814"/>
      <c r="G106" s="814"/>
      <c r="H106" s="814"/>
      <c r="I106" s="814"/>
      <c r="J106" s="814"/>
      <c r="K106" s="814"/>
      <c r="L106" s="815"/>
      <c r="M106" s="149"/>
      <c r="N106" s="149"/>
      <c r="O106" s="20"/>
      <c r="P106" s="20">
        <f>+P105/42</f>
        <v>833563.54687623237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</row>
    <row r="107" spans="1:45" ht="12.75" customHeight="1" x14ac:dyDescent="0.25">
      <c r="A107" s="20"/>
      <c r="B107" s="150" t="s">
        <v>659</v>
      </c>
      <c r="C107" s="151" t="s">
        <v>557</v>
      </c>
      <c r="D107" s="813" t="s">
        <v>660</v>
      </c>
      <c r="E107" s="814"/>
      <c r="F107" s="814"/>
      <c r="G107" s="814"/>
      <c r="H107" s="814"/>
      <c r="I107" s="814"/>
      <c r="J107" s="815"/>
      <c r="K107" s="152" t="s">
        <v>661</v>
      </c>
      <c r="L107" s="153"/>
      <c r="M107" s="154"/>
      <c r="N107" s="154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</row>
    <row r="108" spans="1:45" ht="12.75" customHeight="1" x14ac:dyDescent="0.25">
      <c r="A108" s="20"/>
      <c r="B108" s="150"/>
      <c r="C108" s="150"/>
      <c r="D108" s="155" t="s">
        <v>662</v>
      </c>
      <c r="E108" s="155" t="s">
        <v>662</v>
      </c>
      <c r="F108" s="155" t="s">
        <v>663</v>
      </c>
      <c r="G108" s="155" t="s">
        <v>655</v>
      </c>
      <c r="H108" s="155" t="s">
        <v>664</v>
      </c>
      <c r="I108" s="155" t="s">
        <v>665</v>
      </c>
      <c r="J108" s="155" t="s">
        <v>654</v>
      </c>
      <c r="K108" s="155" t="s">
        <v>666</v>
      </c>
      <c r="L108" s="155" t="s">
        <v>667</v>
      </c>
      <c r="M108" s="154"/>
      <c r="N108" s="154"/>
      <c r="O108" s="20"/>
      <c r="P108" s="20"/>
      <c r="Q108" s="20"/>
      <c r="R108" s="20"/>
      <c r="S108" s="20" t="s">
        <v>668</v>
      </c>
      <c r="T108" s="20" t="s">
        <v>669</v>
      </c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</row>
    <row r="109" spans="1:45" ht="12.75" customHeight="1" x14ac:dyDescent="0.25">
      <c r="A109" s="20"/>
      <c r="B109" s="156" t="s">
        <v>670</v>
      </c>
      <c r="C109" s="157" t="s">
        <v>671</v>
      </c>
      <c r="D109" s="158" t="s">
        <v>672</v>
      </c>
      <c r="E109" s="158">
        <v>1</v>
      </c>
      <c r="F109" s="159">
        <f t="shared" ref="F109:F115" si="21">G109/4.1868</f>
        <v>3.5212923829401559</v>
      </c>
      <c r="G109" s="159">
        <f>G203</f>
        <v>14.742946948893843</v>
      </c>
      <c r="H109" s="159">
        <f t="shared" ref="H109:H115" si="22">F109*4.1868/3.6</f>
        <v>4.0952630413594004</v>
      </c>
      <c r="I109" s="159">
        <f t="shared" ref="I109:I115" si="23">F109*0.1</f>
        <v>0.3521292382940156</v>
      </c>
      <c r="J109" s="159">
        <f t="shared" ref="J109:J115" si="24">H109*$H$151/$H$150</f>
        <v>13.973615570068167</v>
      </c>
      <c r="K109" s="160">
        <f t="shared" ref="K109:K115" si="25">G109*L109</f>
        <v>1.6649168293688128</v>
      </c>
      <c r="L109" s="160">
        <f>L203/1000000</f>
        <v>0.11292971718206792</v>
      </c>
      <c r="M109" s="159" t="s">
        <v>673</v>
      </c>
      <c r="N109" s="159" t="s">
        <v>674</v>
      </c>
      <c r="O109" s="140">
        <f>+G109/J109</f>
        <v>1.0550560000000002</v>
      </c>
      <c r="P109" s="20"/>
      <c r="Q109" s="20"/>
      <c r="R109" s="156" t="s">
        <v>670</v>
      </c>
      <c r="S109" s="20">
        <f>N203</f>
        <v>750</v>
      </c>
      <c r="T109" s="20">
        <v>1240</v>
      </c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</row>
    <row r="110" spans="1:45" ht="12.75" customHeight="1" x14ac:dyDescent="0.25">
      <c r="A110" s="20"/>
      <c r="B110" s="161" t="s">
        <v>675</v>
      </c>
      <c r="C110" s="162" t="s">
        <v>676</v>
      </c>
      <c r="D110" s="163" t="s">
        <v>672</v>
      </c>
      <c r="E110" s="163">
        <v>1</v>
      </c>
      <c r="F110" s="164">
        <f t="shared" si="21"/>
        <v>6.8692647535293689</v>
      </c>
      <c r="G110" s="164">
        <f>G192</f>
        <v>28.760237670076762</v>
      </c>
      <c r="H110" s="164">
        <f t="shared" si="22"/>
        <v>7.988954908354656</v>
      </c>
      <c r="I110" s="164">
        <f t="shared" si="23"/>
        <v>0.68692647535293694</v>
      </c>
      <c r="J110" s="164">
        <f t="shared" si="24"/>
        <v>27.25944184012674</v>
      </c>
      <c r="K110" s="165">
        <f t="shared" si="25"/>
        <v>2.5348128434012014</v>
      </c>
      <c r="L110" s="165">
        <f>L192/1000000</f>
        <v>8.8136018640712299E-2</v>
      </c>
      <c r="M110" s="164" t="s">
        <v>673</v>
      </c>
      <c r="N110" s="164" t="s">
        <v>677</v>
      </c>
      <c r="O110" s="20"/>
      <c r="P110" s="20"/>
      <c r="Q110" s="20"/>
      <c r="R110" s="161" t="s">
        <v>675</v>
      </c>
      <c r="S110" s="20">
        <f>N192</f>
        <v>25</v>
      </c>
      <c r="T110" s="20">
        <v>465</v>
      </c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</row>
    <row r="111" spans="1:45" ht="12.75" customHeight="1" x14ac:dyDescent="0.25">
      <c r="A111" s="20"/>
      <c r="B111" s="156" t="s">
        <v>678</v>
      </c>
      <c r="C111" s="157" t="s">
        <v>679</v>
      </c>
      <c r="D111" s="158" t="s">
        <v>615</v>
      </c>
      <c r="E111" s="158">
        <v>1</v>
      </c>
      <c r="F111" s="159">
        <f t="shared" si="21"/>
        <v>0.24112862907295876</v>
      </c>
      <c r="G111" s="159">
        <f>G166</f>
        <v>1.0095573442026637</v>
      </c>
      <c r="H111" s="159">
        <f t="shared" si="22"/>
        <v>0.28043259561185102</v>
      </c>
      <c r="I111" s="159">
        <f t="shared" si="23"/>
        <v>2.4112862907295876E-2</v>
      </c>
      <c r="J111" s="159">
        <f t="shared" si="24"/>
        <v>0.95687560110805836</v>
      </c>
      <c r="K111" s="160">
        <f t="shared" si="25"/>
        <v>5.6069921395342302E-2</v>
      </c>
      <c r="L111" s="160">
        <f>L166/1000000</f>
        <v>5.5539114956987067E-2</v>
      </c>
      <c r="M111" s="159" t="s">
        <v>673</v>
      </c>
      <c r="N111" s="159" t="s">
        <v>677</v>
      </c>
      <c r="O111" s="20" t="s">
        <v>680</v>
      </c>
      <c r="P111" s="145">
        <f>H111*1000000/H143</f>
        <v>9.9033845712759661</v>
      </c>
      <c r="Q111" s="145"/>
      <c r="R111" s="156" t="s">
        <v>678</v>
      </c>
      <c r="S111" s="20">
        <f>N166</f>
        <v>25</v>
      </c>
      <c r="T111" s="20">
        <v>31</v>
      </c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</row>
    <row r="112" spans="1:45" ht="12.75" customHeight="1" x14ac:dyDescent="0.25">
      <c r="A112" s="20"/>
      <c r="B112" s="161" t="s">
        <v>681</v>
      </c>
      <c r="C112" s="162" t="s">
        <v>682</v>
      </c>
      <c r="D112" s="163" t="s">
        <v>664</v>
      </c>
      <c r="E112" s="163">
        <v>1</v>
      </c>
      <c r="F112" s="164">
        <f t="shared" si="21"/>
        <v>0.85984522785898543</v>
      </c>
      <c r="G112" s="164">
        <v>3.6</v>
      </c>
      <c r="H112" s="164">
        <f t="shared" si="22"/>
        <v>1</v>
      </c>
      <c r="I112" s="164">
        <f t="shared" si="23"/>
        <v>8.5984522785898548E-2</v>
      </c>
      <c r="J112" s="164">
        <f t="shared" si="24"/>
        <v>3.4121411564883757</v>
      </c>
      <c r="K112" s="165">
        <f t="shared" si="25"/>
        <v>0</v>
      </c>
      <c r="L112" s="165"/>
      <c r="M112" s="164" t="s">
        <v>673</v>
      </c>
      <c r="N112" s="164" t="s">
        <v>674</v>
      </c>
      <c r="O112" s="20"/>
      <c r="P112" s="20"/>
      <c r="Q112" s="20"/>
      <c r="R112" s="161" t="s">
        <v>681</v>
      </c>
      <c r="S112" s="20">
        <v>0</v>
      </c>
      <c r="T112" s="20">
        <v>0</v>
      </c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</row>
    <row r="113" spans="1:45" ht="12.75" customHeight="1" x14ac:dyDescent="0.25">
      <c r="A113" s="20"/>
      <c r="B113" s="156" t="s">
        <v>683</v>
      </c>
      <c r="C113" s="157" t="s">
        <v>684</v>
      </c>
      <c r="D113" s="158" t="s">
        <v>672</v>
      </c>
      <c r="E113" s="158">
        <v>1</v>
      </c>
      <c r="F113" s="159">
        <f t="shared" si="21"/>
        <v>4.0588160682184977</v>
      </c>
      <c r="G113" s="159">
        <f>G210</f>
        <v>16.993451114417205</v>
      </c>
      <c r="H113" s="159">
        <f t="shared" si="22"/>
        <v>4.720403087338112</v>
      </c>
      <c r="I113" s="159">
        <f t="shared" si="23"/>
        <v>0.40588160682184982</v>
      </c>
      <c r="J113" s="159">
        <f t="shared" si="24"/>
        <v>16.106681649521164</v>
      </c>
      <c r="K113" s="160">
        <f t="shared" si="25"/>
        <v>1.5213374066407455</v>
      </c>
      <c r="L113" s="160">
        <f>L210/1000000</f>
        <v>8.9524923242345178E-2</v>
      </c>
      <c r="M113" s="159" t="s">
        <v>673</v>
      </c>
      <c r="N113" s="159" t="s">
        <v>674</v>
      </c>
      <c r="O113" s="20"/>
      <c r="P113" s="20"/>
      <c r="Q113" s="20"/>
      <c r="R113" s="156" t="s">
        <v>683</v>
      </c>
      <c r="S113" s="20">
        <f>N210</f>
        <v>750</v>
      </c>
      <c r="T113" s="20">
        <v>1240</v>
      </c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</row>
    <row r="114" spans="1:45" ht="12.75" customHeight="1" x14ac:dyDescent="0.25">
      <c r="A114" s="20"/>
      <c r="B114" s="161" t="s">
        <v>685</v>
      </c>
      <c r="C114" s="162" t="s">
        <v>686</v>
      </c>
      <c r="D114" s="163" t="s">
        <v>687</v>
      </c>
      <c r="E114" s="163">
        <v>1</v>
      </c>
      <c r="F114" s="164">
        <f t="shared" si="21"/>
        <v>1.4538965719904302</v>
      </c>
      <c r="G114" s="164">
        <f>I177</f>
        <v>6.0871741676095334</v>
      </c>
      <c r="H114" s="164">
        <f t="shared" si="22"/>
        <v>1.6908817132248701</v>
      </c>
      <c r="I114" s="164">
        <f t="shared" si="23"/>
        <v>0.14538965719904304</v>
      </c>
      <c r="J114" s="164">
        <f t="shared" si="24"/>
        <v>5.7695270844481543</v>
      </c>
      <c r="K114" s="165">
        <f t="shared" si="25"/>
        <v>0.47383645830908488</v>
      </c>
      <c r="L114" s="165">
        <f>L177/1000000</f>
        <v>7.7841777688967134E-2</v>
      </c>
      <c r="M114" s="164" t="s">
        <v>673</v>
      </c>
      <c r="N114" s="164" t="s">
        <v>677</v>
      </c>
      <c r="O114" s="20"/>
      <c r="P114" s="20"/>
      <c r="Q114" s="20"/>
      <c r="R114" s="161" t="s">
        <v>685</v>
      </c>
      <c r="S114" s="20">
        <v>75</v>
      </c>
      <c r="T114" s="20">
        <v>186</v>
      </c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</row>
    <row r="115" spans="1:45" ht="12.75" customHeight="1" x14ac:dyDescent="0.25">
      <c r="A115" s="20"/>
      <c r="B115" s="156" t="s">
        <v>688</v>
      </c>
      <c r="C115" s="157" t="s">
        <v>689</v>
      </c>
      <c r="D115" s="158" t="s">
        <v>655</v>
      </c>
      <c r="E115" s="158">
        <v>1</v>
      </c>
      <c r="F115" s="159">
        <f t="shared" si="21"/>
        <v>0.23884589662749595</v>
      </c>
      <c r="G115" s="159">
        <v>1</v>
      </c>
      <c r="H115" s="159">
        <f t="shared" si="22"/>
        <v>0.27777777777777779</v>
      </c>
      <c r="I115" s="159">
        <f t="shared" si="23"/>
        <v>2.3884589662749596E-2</v>
      </c>
      <c r="J115" s="159">
        <f t="shared" si="24"/>
        <v>0.94781698791343771</v>
      </c>
      <c r="K115" s="160">
        <f t="shared" si="25"/>
        <v>0</v>
      </c>
      <c r="L115" s="160"/>
      <c r="M115" s="159" t="s">
        <v>673</v>
      </c>
      <c r="N115" s="159" t="s">
        <v>674</v>
      </c>
      <c r="O115" s="20"/>
      <c r="P115" s="20"/>
      <c r="Q115" s="20"/>
      <c r="R115" s="156" t="s">
        <v>688</v>
      </c>
      <c r="S115" s="20">
        <f>N212</f>
        <v>750</v>
      </c>
      <c r="T115" s="20">
        <v>0.31</v>
      </c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</row>
    <row r="116" spans="1:45" ht="12.75" customHeight="1" x14ac:dyDescent="0.25">
      <c r="A116" s="20"/>
      <c r="B116" s="166" t="s">
        <v>690</v>
      </c>
      <c r="C116" s="167"/>
      <c r="D116" s="168" t="str">
        <f>D117</f>
        <v>kTon</v>
      </c>
      <c r="E116" s="168">
        <f t="shared" ref="E116:L116" si="26">AVERAGE(E117:E119)</f>
        <v>1</v>
      </c>
      <c r="F116" s="169">
        <f t="shared" si="26"/>
        <v>4.275596997028372</v>
      </c>
      <c r="G116" s="169">
        <f t="shared" si="26"/>
        <v>17.901069507158386</v>
      </c>
      <c r="H116" s="169">
        <f t="shared" si="26"/>
        <v>4.9725193075439966</v>
      </c>
      <c r="I116" s="169">
        <f t="shared" si="26"/>
        <v>0.42755969970283725</v>
      </c>
      <c r="J116" s="169">
        <f t="shared" si="26"/>
        <v>16.966937780703947</v>
      </c>
      <c r="K116" s="170">
        <f t="shared" si="26"/>
        <v>1.8279689577448019</v>
      </c>
      <c r="L116" s="170">
        <f t="shared" si="26"/>
        <v>0.10252143505231959</v>
      </c>
      <c r="M116" s="171"/>
      <c r="N116" s="171"/>
      <c r="O116" s="20"/>
      <c r="P116" s="20"/>
      <c r="Q116" s="20"/>
      <c r="R116" s="166" t="s">
        <v>690</v>
      </c>
      <c r="S116" s="20">
        <v>750</v>
      </c>
      <c r="T116" s="20">
        <v>1240</v>
      </c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</row>
    <row r="117" spans="1:45" ht="12.75" customHeight="1" x14ac:dyDescent="0.25">
      <c r="A117" s="20"/>
      <c r="B117" s="172"/>
      <c r="C117" s="173" t="s">
        <v>691</v>
      </c>
      <c r="D117" s="163" t="s">
        <v>672</v>
      </c>
      <c r="E117" s="163">
        <v>1</v>
      </c>
      <c r="F117" s="164">
        <f t="shared" ref="F117:F120" si="27">G117/4.1868</f>
        <v>5.0673787049521417</v>
      </c>
      <c r="G117" s="164">
        <f>AVERAGE(G208:G209)</f>
        <v>21.216101161893626</v>
      </c>
      <c r="H117" s="164">
        <f t="shared" ref="H117:H120" si="28">F117*4.1868/3.6</f>
        <v>5.8933614338593401</v>
      </c>
      <c r="I117" s="164">
        <f t="shared" ref="I117:I120" si="29">F117*0.1</f>
        <v>0.50673787049521424</v>
      </c>
      <c r="J117" s="164">
        <f t="shared" ref="J117:J120" si="30">H117*$H$151/$H$150</f>
        <v>20.108981098532801</v>
      </c>
      <c r="K117" s="165">
        <f t="shared" ref="K117:K120" si="31">G117*L117</f>
        <v>2.069501849101949</v>
      </c>
      <c r="L117" s="165">
        <f>AVERAGE(L208:L209)/1000000</f>
        <v>9.7543928232157684E-2</v>
      </c>
      <c r="M117" s="164" t="s">
        <v>673</v>
      </c>
      <c r="N117" s="164" t="s">
        <v>674</v>
      </c>
      <c r="O117" s="20"/>
      <c r="P117" s="20"/>
      <c r="Q117" s="20"/>
      <c r="R117" s="172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</row>
    <row r="118" spans="1:45" ht="12.75" customHeight="1" x14ac:dyDescent="0.25">
      <c r="A118" s="20"/>
      <c r="B118" s="174"/>
      <c r="C118" s="175" t="s">
        <v>692</v>
      </c>
      <c r="D118" s="158" t="s">
        <v>672</v>
      </c>
      <c r="E118" s="158">
        <v>1</v>
      </c>
      <c r="F118" s="159">
        <f t="shared" si="27"/>
        <v>3.5714481871268098</v>
      </c>
      <c r="G118" s="159">
        <f>G207</f>
        <v>14.952939269862526</v>
      </c>
      <c r="H118" s="159">
        <f t="shared" si="28"/>
        <v>4.153594241628479</v>
      </c>
      <c r="I118" s="159">
        <f t="shared" si="29"/>
        <v>0.357144818712681</v>
      </c>
      <c r="J118" s="159">
        <f t="shared" si="30"/>
        <v>14.172649859213658</v>
      </c>
      <c r="K118" s="160">
        <f t="shared" si="31"/>
        <v>1.5532506057099089</v>
      </c>
      <c r="L118" s="160">
        <f>L207/1000000</f>
        <v>0.10387593888249565</v>
      </c>
      <c r="M118" s="159" t="s">
        <v>673</v>
      </c>
      <c r="N118" s="159" t="s">
        <v>674</v>
      </c>
      <c r="O118" s="20"/>
      <c r="P118" s="20"/>
      <c r="Q118" s="20"/>
      <c r="R118" s="174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</row>
    <row r="119" spans="1:45" ht="12.75" customHeight="1" x14ac:dyDescent="0.25">
      <c r="A119" s="20"/>
      <c r="B119" s="172"/>
      <c r="C119" s="173" t="s">
        <v>693</v>
      </c>
      <c r="D119" s="163" t="s">
        <v>672</v>
      </c>
      <c r="E119" s="163">
        <v>1</v>
      </c>
      <c r="F119" s="164">
        <f t="shared" si="27"/>
        <v>4.1879640990061651</v>
      </c>
      <c r="G119" s="164">
        <f>AVERAGE(G205:G206)</f>
        <v>17.53416808971901</v>
      </c>
      <c r="H119" s="164">
        <f t="shared" si="28"/>
        <v>4.870602247144169</v>
      </c>
      <c r="I119" s="164">
        <f t="shared" si="29"/>
        <v>0.41879640990061651</v>
      </c>
      <c r="J119" s="164">
        <f t="shared" si="30"/>
        <v>16.619182384365388</v>
      </c>
      <c r="K119" s="165">
        <f t="shared" si="31"/>
        <v>1.8611544184225481</v>
      </c>
      <c r="L119" s="165">
        <f>AVERAGE(L205:L206)/1000000</f>
        <v>0.10614443804230542</v>
      </c>
      <c r="M119" s="164" t="s">
        <v>673</v>
      </c>
      <c r="N119" s="164" t="s">
        <v>674</v>
      </c>
      <c r="O119" s="20"/>
      <c r="P119" s="20"/>
      <c r="Q119" s="20"/>
      <c r="R119" s="172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</row>
    <row r="120" spans="1:45" ht="12.75" customHeight="1" x14ac:dyDescent="0.25">
      <c r="A120" s="20"/>
      <c r="B120" s="156" t="s">
        <v>694</v>
      </c>
      <c r="C120" s="157" t="s">
        <v>695</v>
      </c>
      <c r="D120" s="158" t="s">
        <v>664</v>
      </c>
      <c r="E120" s="158">
        <v>1</v>
      </c>
      <c r="F120" s="159">
        <f t="shared" si="27"/>
        <v>0.85984522785898543</v>
      </c>
      <c r="G120" s="159">
        <v>3.6</v>
      </c>
      <c r="H120" s="159">
        <f t="shared" si="28"/>
        <v>1</v>
      </c>
      <c r="I120" s="159">
        <f t="shared" si="29"/>
        <v>8.5984522785898548E-2</v>
      </c>
      <c r="J120" s="159">
        <f t="shared" si="30"/>
        <v>3.4121411564883757</v>
      </c>
      <c r="K120" s="160">
        <f t="shared" si="31"/>
        <v>0</v>
      </c>
      <c r="L120" s="160"/>
      <c r="M120" s="159" t="s">
        <v>673</v>
      </c>
      <c r="N120" s="159" t="s">
        <v>674</v>
      </c>
      <c r="O120" s="20"/>
      <c r="P120" s="20"/>
      <c r="Q120" s="20"/>
      <c r="R120" s="156" t="s">
        <v>694</v>
      </c>
      <c r="S120" s="20">
        <v>750</v>
      </c>
      <c r="T120" s="20">
        <v>1240</v>
      </c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</row>
    <row r="121" spans="1:45" ht="12.75" customHeight="1" x14ac:dyDescent="0.25">
      <c r="A121" s="20"/>
      <c r="B121" s="161" t="s">
        <v>696</v>
      </c>
      <c r="C121" s="162" t="s">
        <v>697</v>
      </c>
      <c r="D121" s="163" t="s">
        <v>698</v>
      </c>
      <c r="E121" s="163">
        <f t="shared" ref="E121:L121" si="32">E132</f>
        <v>1</v>
      </c>
      <c r="F121" s="164">
        <f t="shared" si="32"/>
        <v>1</v>
      </c>
      <c r="G121" s="164">
        <f t="shared" si="32"/>
        <v>4.1867999999999999</v>
      </c>
      <c r="H121" s="164">
        <f t="shared" si="32"/>
        <v>1.163</v>
      </c>
      <c r="I121" s="164">
        <f t="shared" si="32"/>
        <v>0.1</v>
      </c>
      <c r="J121" s="164">
        <f t="shared" si="32"/>
        <v>3.9683201649959812</v>
      </c>
      <c r="K121" s="165">
        <f t="shared" si="32"/>
        <v>0.17075462526339016</v>
      </c>
      <c r="L121" s="165">
        <f t="shared" si="32"/>
        <v>4.0784041574326496E-2</v>
      </c>
      <c r="M121" s="164" t="s">
        <v>673</v>
      </c>
      <c r="N121" s="164" t="s">
        <v>674</v>
      </c>
      <c r="O121" s="20"/>
      <c r="P121" s="20"/>
      <c r="Q121" s="20"/>
      <c r="R121" s="161" t="s">
        <v>696</v>
      </c>
      <c r="S121" s="20">
        <v>0</v>
      </c>
      <c r="T121" s="20">
        <v>0</v>
      </c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</row>
    <row r="122" spans="1:45" ht="12.75" customHeight="1" x14ac:dyDescent="0.25">
      <c r="A122" s="20"/>
      <c r="B122" s="156" t="s">
        <v>699</v>
      </c>
      <c r="C122" s="157" t="s">
        <v>700</v>
      </c>
      <c r="D122" s="158" t="s">
        <v>698</v>
      </c>
      <c r="E122" s="158">
        <f t="shared" ref="E122:L122" si="33">E132</f>
        <v>1</v>
      </c>
      <c r="F122" s="159">
        <f t="shared" si="33"/>
        <v>1</v>
      </c>
      <c r="G122" s="159">
        <f t="shared" si="33"/>
        <v>4.1867999999999999</v>
      </c>
      <c r="H122" s="159">
        <f t="shared" si="33"/>
        <v>1.163</v>
      </c>
      <c r="I122" s="159">
        <f t="shared" si="33"/>
        <v>0.1</v>
      </c>
      <c r="J122" s="159">
        <f t="shared" si="33"/>
        <v>3.9683201649959812</v>
      </c>
      <c r="K122" s="160">
        <f t="shared" si="33"/>
        <v>0.17075462526339016</v>
      </c>
      <c r="L122" s="160">
        <f t="shared" si="33"/>
        <v>4.0784041574326496E-2</v>
      </c>
      <c r="M122" s="159" t="s">
        <v>673</v>
      </c>
      <c r="N122" s="159" t="s">
        <v>674</v>
      </c>
      <c r="O122" s="20"/>
      <c r="P122" s="20"/>
      <c r="Q122" s="20"/>
      <c r="R122" s="156" t="s">
        <v>699</v>
      </c>
      <c r="S122" s="20">
        <v>0</v>
      </c>
      <c r="T122" s="20">
        <v>0</v>
      </c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</row>
    <row r="123" spans="1:45" ht="12.75" customHeight="1" x14ac:dyDescent="0.25">
      <c r="A123" s="20"/>
      <c r="B123" s="816" t="s">
        <v>701</v>
      </c>
      <c r="C123" s="814"/>
      <c r="D123" s="814"/>
      <c r="E123" s="814"/>
      <c r="F123" s="814"/>
      <c r="G123" s="814"/>
      <c r="H123" s="814"/>
      <c r="I123" s="814"/>
      <c r="J123" s="814"/>
      <c r="K123" s="814"/>
      <c r="L123" s="815"/>
      <c r="M123" s="176"/>
      <c r="N123" s="176"/>
      <c r="O123" s="20"/>
      <c r="P123" s="20" t="s">
        <v>702</v>
      </c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</row>
    <row r="124" spans="1:45" ht="12.75" customHeight="1" x14ac:dyDescent="0.25">
      <c r="A124" s="20"/>
      <c r="B124" s="156" t="s">
        <v>703</v>
      </c>
      <c r="C124" s="157" t="s">
        <v>704</v>
      </c>
      <c r="D124" s="158" t="s">
        <v>687</v>
      </c>
      <c r="E124" s="158">
        <v>1</v>
      </c>
      <c r="F124" s="159">
        <f t="shared" ref="F124:F134" si="34">G124/4.1868</f>
        <v>0.70067676742384433</v>
      </c>
      <c r="G124" s="159">
        <f>I182</f>
        <v>2.9335934898501512</v>
      </c>
      <c r="H124" s="159">
        <f t="shared" ref="H124:H134" si="35">F124*4.1868/3.6</f>
        <v>0.81488708051393088</v>
      </c>
      <c r="I124" s="159">
        <f t="shared" ref="I124:I134" si="36">F124*0.1</f>
        <v>7.0067676742384441E-2</v>
      </c>
      <c r="J124" s="159">
        <f t="shared" ref="J124:J134" si="37">H124*$H$151/$H$150</f>
        <v>2.7805097453122407</v>
      </c>
      <c r="K124" s="160">
        <f t="shared" ref="K124:K134" si="38">G124*L124</f>
        <v>0.24864585766378575</v>
      </c>
      <c r="L124" s="160">
        <f>L182/1000000</f>
        <v>8.4758116120746727E-2</v>
      </c>
      <c r="M124" s="159" t="s">
        <v>705</v>
      </c>
      <c r="N124" s="159" t="s">
        <v>674</v>
      </c>
      <c r="O124" s="20"/>
      <c r="P124" s="20"/>
      <c r="Q124" s="20"/>
      <c r="R124" s="156" t="s">
        <v>703</v>
      </c>
      <c r="S124" s="20">
        <v>75</v>
      </c>
      <c r="T124" s="20">
        <v>186</v>
      </c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</row>
    <row r="125" spans="1:45" ht="12.75" customHeight="1" x14ac:dyDescent="0.25">
      <c r="A125" s="20"/>
      <c r="B125" s="161" t="s">
        <v>706</v>
      </c>
      <c r="C125" s="162" t="s">
        <v>707</v>
      </c>
      <c r="D125" s="163" t="s">
        <v>687</v>
      </c>
      <c r="E125" s="163">
        <v>1</v>
      </c>
      <c r="F125" s="164">
        <f t="shared" si="34"/>
        <v>1.2596999109918081</v>
      </c>
      <c r="G125" s="164">
        <f>I181</f>
        <v>5.274111587340502</v>
      </c>
      <c r="H125" s="164">
        <f t="shared" si="35"/>
        <v>1.4650309964834727</v>
      </c>
      <c r="I125" s="164">
        <f t="shared" si="36"/>
        <v>0.12596999109918081</v>
      </c>
      <c r="J125" s="164">
        <f t="shared" si="37"/>
        <v>4.9988925586324342</v>
      </c>
      <c r="K125" s="165">
        <f t="shared" si="38"/>
        <v>0.28905552826879788</v>
      </c>
      <c r="L125" s="165">
        <f>L181/1000000</f>
        <v>5.4806487022879928E-2</v>
      </c>
      <c r="M125" s="164" t="s">
        <v>705</v>
      </c>
      <c r="N125" s="164" t="s">
        <v>674</v>
      </c>
      <c r="O125" s="20"/>
      <c r="P125" s="20"/>
      <c r="Q125" s="20"/>
      <c r="R125" s="161" t="s">
        <v>706</v>
      </c>
      <c r="S125" s="20">
        <v>75</v>
      </c>
      <c r="T125" s="20">
        <v>186</v>
      </c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</row>
    <row r="126" spans="1:45" ht="12.75" customHeight="1" x14ac:dyDescent="0.25">
      <c r="A126" s="20"/>
      <c r="B126" s="156" t="s">
        <v>708</v>
      </c>
      <c r="C126" s="157" t="s">
        <v>709</v>
      </c>
      <c r="D126" s="158" t="s">
        <v>672</v>
      </c>
      <c r="E126" s="158">
        <v>1</v>
      </c>
      <c r="F126" s="159">
        <f t="shared" si="34"/>
        <v>6.4989968472341646</v>
      </c>
      <c r="G126" s="159">
        <v>27.21</v>
      </c>
      <c r="H126" s="159">
        <f t="shared" si="35"/>
        <v>7.5583333333333336</v>
      </c>
      <c r="I126" s="159">
        <f t="shared" si="36"/>
        <v>0.64989968472341653</v>
      </c>
      <c r="J126" s="159">
        <f t="shared" si="37"/>
        <v>25.790100241124641</v>
      </c>
      <c r="K126" s="160">
        <f t="shared" si="38"/>
        <v>2.4359731614242124</v>
      </c>
      <c r="L126" s="160">
        <f>L210/1000000</f>
        <v>8.9524923242345178E-2</v>
      </c>
      <c r="M126" s="159" t="s">
        <v>705</v>
      </c>
      <c r="N126" s="159" t="s">
        <v>674</v>
      </c>
      <c r="O126" s="20"/>
      <c r="P126" s="20"/>
      <c r="Q126" s="20"/>
      <c r="R126" s="156" t="s">
        <v>708</v>
      </c>
      <c r="S126" s="22">
        <v>750</v>
      </c>
      <c r="T126" s="20">
        <v>1240</v>
      </c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</row>
    <row r="127" spans="1:45" ht="12.75" customHeight="1" x14ac:dyDescent="0.25">
      <c r="A127" s="20"/>
      <c r="B127" s="161" t="s">
        <v>710</v>
      </c>
      <c r="C127" s="162" t="s">
        <v>711</v>
      </c>
      <c r="D127" s="163" t="s">
        <v>672</v>
      </c>
      <c r="E127" s="163">
        <v>1</v>
      </c>
      <c r="F127" s="164">
        <f t="shared" si="34"/>
        <v>4.8008025222126687</v>
      </c>
      <c r="G127" s="164">
        <v>20.100000000000001</v>
      </c>
      <c r="H127" s="164">
        <f t="shared" si="35"/>
        <v>5.5833333333333339</v>
      </c>
      <c r="I127" s="164">
        <f t="shared" si="36"/>
        <v>0.48008025222126688</v>
      </c>
      <c r="J127" s="164">
        <f t="shared" si="37"/>
        <v>19.051121457060102</v>
      </c>
      <c r="K127" s="165">
        <f t="shared" si="38"/>
        <v>1.7715339746783174</v>
      </c>
      <c r="L127" s="165">
        <f>L192/1000000</f>
        <v>8.8136018640712299E-2</v>
      </c>
      <c r="M127" s="164" t="s">
        <v>705</v>
      </c>
      <c r="N127" s="164" t="s">
        <v>677</v>
      </c>
      <c r="O127" s="20"/>
      <c r="P127" s="20"/>
      <c r="Q127" s="20"/>
      <c r="R127" s="161" t="s">
        <v>710</v>
      </c>
      <c r="S127" s="20">
        <v>25</v>
      </c>
      <c r="T127" s="20">
        <v>465</v>
      </c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</row>
    <row r="128" spans="1:45" ht="12.75" customHeight="1" x14ac:dyDescent="0.25">
      <c r="A128" s="20"/>
      <c r="B128" s="156" t="s">
        <v>712</v>
      </c>
      <c r="C128" s="157" t="s">
        <v>713</v>
      </c>
      <c r="D128" s="158" t="s">
        <v>687</v>
      </c>
      <c r="E128" s="158">
        <v>1</v>
      </c>
      <c r="F128" s="159">
        <f t="shared" si="34"/>
        <v>1.3544592146893291</v>
      </c>
      <c r="G128" s="159">
        <f>I189</f>
        <v>5.6708498400612823</v>
      </c>
      <c r="H128" s="159">
        <f t="shared" si="35"/>
        <v>1.5752360666836895</v>
      </c>
      <c r="I128" s="159">
        <f t="shared" si="36"/>
        <v>0.13544592146893292</v>
      </c>
      <c r="J128" s="159">
        <f t="shared" si="37"/>
        <v>5.3749278143162851</v>
      </c>
      <c r="K128" s="160">
        <f t="shared" si="38"/>
        <v>0.42625722966545743</v>
      </c>
      <c r="L128" s="160">
        <f>L189/1000000</f>
        <v>7.5166375708662928E-2</v>
      </c>
      <c r="M128" s="159" t="s">
        <v>705</v>
      </c>
      <c r="N128" s="159" t="s">
        <v>677</v>
      </c>
      <c r="O128" s="20" t="s">
        <v>714</v>
      </c>
      <c r="P128" s="145">
        <f>H128/42000*1000000</f>
        <v>37.50562063532594</v>
      </c>
      <c r="Q128" s="145">
        <f>P128*0.3</f>
        <v>11.251686190597782</v>
      </c>
      <c r="R128" s="156" t="s">
        <v>712</v>
      </c>
      <c r="S128" s="20">
        <v>75</v>
      </c>
      <c r="T128" s="20">
        <v>186</v>
      </c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</row>
    <row r="129" spans="1:45" ht="12.75" customHeight="1" x14ac:dyDescent="0.25">
      <c r="A129" s="20"/>
      <c r="B129" s="161" t="s">
        <v>715</v>
      </c>
      <c r="C129" s="162" t="s">
        <v>716</v>
      </c>
      <c r="D129" s="163" t="s">
        <v>664</v>
      </c>
      <c r="E129" s="163">
        <v>1</v>
      </c>
      <c r="F129" s="164">
        <f t="shared" si="34"/>
        <v>0.85984522785898543</v>
      </c>
      <c r="G129" s="164">
        <v>3.6</v>
      </c>
      <c r="H129" s="164">
        <f t="shared" si="35"/>
        <v>1</v>
      </c>
      <c r="I129" s="164">
        <f t="shared" si="36"/>
        <v>8.5984522785898548E-2</v>
      </c>
      <c r="J129" s="164">
        <f t="shared" si="37"/>
        <v>3.4121411564883757</v>
      </c>
      <c r="K129" s="165">
        <f t="shared" si="38"/>
        <v>0</v>
      </c>
      <c r="L129" s="165"/>
      <c r="M129" s="164" t="s">
        <v>705</v>
      </c>
      <c r="N129" s="164"/>
      <c r="O129" s="20"/>
      <c r="P129" s="20"/>
      <c r="Q129" s="20"/>
      <c r="R129" s="161" t="s">
        <v>715</v>
      </c>
      <c r="S129" s="20">
        <f>('Bases de Cálculo'!N166*0.6+'Bases de Cálculo'!N203*0.2+'Bases de Cálculo'!N192*0.2)</f>
        <v>170</v>
      </c>
      <c r="T129" s="20">
        <f>('Bases de Cálculo'!P166*0.6+'Bases de Cálculo'!P203*0.2+'Bases de Cálculo'!P192*0.2)</f>
        <v>359.6</v>
      </c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</row>
    <row r="130" spans="1:45" ht="12.75" customHeight="1" x14ac:dyDescent="0.25">
      <c r="A130" s="20"/>
      <c r="B130" s="156" t="s">
        <v>717</v>
      </c>
      <c r="C130" s="157" t="s">
        <v>718</v>
      </c>
      <c r="D130" s="158" t="s">
        <v>664</v>
      </c>
      <c r="E130" s="158">
        <v>1</v>
      </c>
      <c r="F130" s="159">
        <f t="shared" si="34"/>
        <v>0.85984522785898543</v>
      </c>
      <c r="G130" s="159">
        <v>3.6</v>
      </c>
      <c r="H130" s="159">
        <f t="shared" si="35"/>
        <v>1</v>
      </c>
      <c r="I130" s="159">
        <f t="shared" si="36"/>
        <v>8.5984522785898548E-2</v>
      </c>
      <c r="J130" s="159">
        <f t="shared" si="37"/>
        <v>3.4121411564883757</v>
      </c>
      <c r="K130" s="160">
        <f t="shared" si="38"/>
        <v>0</v>
      </c>
      <c r="L130" s="160"/>
      <c r="M130" s="159" t="s">
        <v>705</v>
      </c>
      <c r="N130" s="159"/>
      <c r="O130" s="20"/>
      <c r="P130" s="20"/>
      <c r="Q130" s="20"/>
      <c r="R130" s="156" t="s">
        <v>717</v>
      </c>
      <c r="S130" s="20">
        <v>0</v>
      </c>
      <c r="T130" s="20">
        <v>0</v>
      </c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</row>
    <row r="131" spans="1:45" ht="12.75" customHeight="1" x14ac:dyDescent="0.25">
      <c r="A131" s="20"/>
      <c r="B131" s="161" t="s">
        <v>719</v>
      </c>
      <c r="C131" s="162" t="s">
        <v>720</v>
      </c>
      <c r="D131" s="163" t="s">
        <v>687</v>
      </c>
      <c r="E131" s="163">
        <v>1</v>
      </c>
      <c r="F131" s="164">
        <f t="shared" si="34"/>
        <v>1.3042945965731128</v>
      </c>
      <c r="G131" s="164">
        <f>I183</f>
        <v>5.4608206169323079</v>
      </c>
      <c r="H131" s="164">
        <f t="shared" si="35"/>
        <v>1.51689461581453</v>
      </c>
      <c r="I131" s="164">
        <f t="shared" si="36"/>
        <v>0.13042945965731129</v>
      </c>
      <c r="J131" s="164">
        <f t="shared" si="37"/>
        <v>5.1758585486763815</v>
      </c>
      <c r="K131" s="165">
        <f t="shared" si="38"/>
        <v>0.42747960913735483</v>
      </c>
      <c r="L131" s="165">
        <f>L183/1000000</f>
        <v>7.8281203343664757E-2</v>
      </c>
      <c r="M131" s="164" t="s">
        <v>705</v>
      </c>
      <c r="N131" s="164" t="s">
        <v>677</v>
      </c>
      <c r="O131" s="20"/>
      <c r="P131" s="20"/>
      <c r="Q131" s="20"/>
      <c r="R131" s="161" t="s">
        <v>719</v>
      </c>
      <c r="S131" s="20">
        <v>75</v>
      </c>
      <c r="T131" s="20">
        <v>186</v>
      </c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</row>
    <row r="132" spans="1:45" ht="12.75" customHeight="1" x14ac:dyDescent="0.25">
      <c r="A132" s="20"/>
      <c r="B132" s="156" t="s">
        <v>721</v>
      </c>
      <c r="C132" s="157" t="s">
        <v>722</v>
      </c>
      <c r="D132" s="158" t="s">
        <v>698</v>
      </c>
      <c r="E132" s="158">
        <v>1</v>
      </c>
      <c r="F132" s="159">
        <f t="shared" si="34"/>
        <v>1</v>
      </c>
      <c r="G132" s="159">
        <v>4.1867999999999999</v>
      </c>
      <c r="H132" s="159">
        <f t="shared" si="35"/>
        <v>1.163</v>
      </c>
      <c r="I132" s="159">
        <f t="shared" si="36"/>
        <v>0.1</v>
      </c>
      <c r="J132" s="159">
        <f t="shared" si="37"/>
        <v>3.9683201649959812</v>
      </c>
      <c r="K132" s="160">
        <f t="shared" si="38"/>
        <v>0.17075462526339016</v>
      </c>
      <c r="L132" s="160">
        <f>L158/1000000</f>
        <v>4.0784041574326496E-2</v>
      </c>
      <c r="M132" s="159" t="s">
        <v>705</v>
      </c>
      <c r="N132" s="159" t="s">
        <v>677</v>
      </c>
      <c r="O132" s="20"/>
      <c r="P132" s="20"/>
      <c r="Q132" s="20"/>
      <c r="R132" s="156" t="s">
        <v>721</v>
      </c>
      <c r="S132" s="20">
        <v>25</v>
      </c>
      <c r="T132" s="20">
        <v>31</v>
      </c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</row>
    <row r="133" spans="1:45" ht="12.75" customHeight="1" x14ac:dyDescent="0.25">
      <c r="A133" s="20"/>
      <c r="B133" s="161" t="s">
        <v>723</v>
      </c>
      <c r="C133" s="162" t="s">
        <v>724</v>
      </c>
      <c r="D133" s="163" t="s">
        <v>687</v>
      </c>
      <c r="E133" s="163">
        <v>1</v>
      </c>
      <c r="F133" s="164">
        <f t="shared" si="34"/>
        <v>0.96882250080219201</v>
      </c>
      <c r="G133" s="164">
        <f>I190</f>
        <v>4.0562660463586173</v>
      </c>
      <c r="H133" s="164">
        <f t="shared" si="35"/>
        <v>1.1267405684329492</v>
      </c>
      <c r="I133" s="164">
        <f t="shared" si="36"/>
        <v>9.6882250080219209E-2</v>
      </c>
      <c r="J133" s="164">
        <f t="shared" si="37"/>
        <v>3.8445978662351732</v>
      </c>
      <c r="K133" s="165">
        <f t="shared" si="38"/>
        <v>0.19181813708539003</v>
      </c>
      <c r="L133" s="165">
        <f>L190/1000000</f>
        <v>4.7289338246831368E-2</v>
      </c>
      <c r="M133" s="164" t="s">
        <v>705</v>
      </c>
      <c r="N133" s="164" t="s">
        <v>677</v>
      </c>
      <c r="O133" s="20"/>
      <c r="P133" s="20"/>
      <c r="Q133" s="20"/>
      <c r="R133" s="161" t="s">
        <v>723</v>
      </c>
      <c r="S133" s="20">
        <v>25</v>
      </c>
      <c r="T133" s="20">
        <v>31</v>
      </c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</row>
    <row r="134" spans="1:45" ht="12.75" customHeight="1" x14ac:dyDescent="0.25">
      <c r="A134" s="20"/>
      <c r="B134" s="156" t="s">
        <v>725</v>
      </c>
      <c r="C134" s="157" t="s">
        <v>726</v>
      </c>
      <c r="D134" s="158" t="s">
        <v>687</v>
      </c>
      <c r="E134" s="158">
        <v>1</v>
      </c>
      <c r="F134" s="159">
        <f t="shared" si="34"/>
        <v>1.273263288064878</v>
      </c>
      <c r="G134" s="159">
        <f>(I188*0.99+I178*0.01)</f>
        <v>5.3308987344700309</v>
      </c>
      <c r="H134" s="159">
        <f t="shared" si="35"/>
        <v>1.480805204019453</v>
      </c>
      <c r="I134" s="159">
        <f t="shared" si="36"/>
        <v>0.12732632880648781</v>
      </c>
      <c r="J134" s="159">
        <f t="shared" si="37"/>
        <v>5.0527163813769418</v>
      </c>
      <c r="K134" s="160">
        <f t="shared" si="38"/>
        <v>0.36886528553554315</v>
      </c>
      <c r="L134" s="160">
        <f>AVERAGE(L188*0.99+L178*0.01)/1000000</f>
        <v>6.919382714033373E-2</v>
      </c>
      <c r="M134" s="159" t="s">
        <v>705</v>
      </c>
      <c r="N134" s="159" t="s">
        <v>677</v>
      </c>
      <c r="O134" s="20" t="s">
        <v>714</v>
      </c>
      <c r="P134" s="145">
        <f>H134/42000*1000000</f>
        <v>35.257266762367934</v>
      </c>
      <c r="Q134" s="20"/>
      <c r="R134" s="156" t="s">
        <v>725</v>
      </c>
      <c r="S134" s="20">
        <v>25</v>
      </c>
      <c r="T134" s="20">
        <v>186</v>
      </c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</row>
    <row r="135" spans="1:45" ht="12.75" customHeight="1" x14ac:dyDescent="0.25">
      <c r="A135" s="20"/>
      <c r="B135" s="161" t="s">
        <v>727</v>
      </c>
      <c r="C135" s="162" t="s">
        <v>728</v>
      </c>
      <c r="D135" s="163" t="str">
        <f t="shared" ref="D135:L135" si="39">D132</f>
        <v>Tcal</v>
      </c>
      <c r="E135" s="163">
        <f t="shared" si="39"/>
        <v>1</v>
      </c>
      <c r="F135" s="164">
        <f t="shared" si="39"/>
        <v>1</v>
      </c>
      <c r="G135" s="164">
        <f t="shared" si="39"/>
        <v>4.1867999999999999</v>
      </c>
      <c r="H135" s="164">
        <f t="shared" si="39"/>
        <v>1.163</v>
      </c>
      <c r="I135" s="164">
        <f t="shared" si="39"/>
        <v>0.1</v>
      </c>
      <c r="J135" s="164">
        <f t="shared" si="39"/>
        <v>3.9683201649959812</v>
      </c>
      <c r="K135" s="165">
        <f t="shared" si="39"/>
        <v>0.17075462526339016</v>
      </c>
      <c r="L135" s="165">
        <f t="shared" si="39"/>
        <v>4.0784041574326496E-2</v>
      </c>
      <c r="M135" s="164" t="s">
        <v>705</v>
      </c>
      <c r="N135" s="164" t="s">
        <v>677</v>
      </c>
      <c r="O135" s="20"/>
      <c r="P135" s="20"/>
      <c r="Q135" s="20"/>
      <c r="R135" s="161" t="s">
        <v>727</v>
      </c>
      <c r="S135" s="20">
        <v>25</v>
      </c>
      <c r="T135" s="20">
        <v>31</v>
      </c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</row>
    <row r="136" spans="1:45" ht="12.75" customHeight="1" x14ac:dyDescent="0.25">
      <c r="A136" s="20"/>
      <c r="B136" s="156" t="s">
        <v>729</v>
      </c>
      <c r="C136" s="157" t="s">
        <v>730</v>
      </c>
      <c r="D136" s="158" t="s">
        <v>687</v>
      </c>
      <c r="E136" s="158">
        <v>1</v>
      </c>
      <c r="F136" s="159">
        <f>G136/4.1868</f>
        <v>1.1253928529549111</v>
      </c>
      <c r="G136" s="159">
        <f>I175*0.05+I179*0.95</f>
        <v>4.7117947967516214</v>
      </c>
      <c r="H136" s="159">
        <f>F136*4.1868/3.6</f>
        <v>1.3088318879865615</v>
      </c>
      <c r="I136" s="159">
        <f>F136*0.1</f>
        <v>0.11253928529549112</v>
      </c>
      <c r="J136" s="159">
        <f>H136*$H$151/$H$150</f>
        <v>4.4659191519233303</v>
      </c>
      <c r="K136" s="160">
        <f>G136*L136</f>
        <v>0.41338958040781071</v>
      </c>
      <c r="L136" s="160">
        <f>AVERAGE(L175*0.05+L179*0.95)/1000000</f>
        <v>8.7735056011523968E-2</v>
      </c>
      <c r="M136" s="159" t="s">
        <v>705</v>
      </c>
      <c r="N136" s="159" t="s">
        <v>677</v>
      </c>
      <c r="O136" s="20"/>
      <c r="P136" s="20"/>
      <c r="Q136" s="20"/>
      <c r="R136" s="156" t="s">
        <v>729</v>
      </c>
      <c r="S136" s="20">
        <v>75</v>
      </c>
      <c r="T136" s="20">
        <v>186</v>
      </c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</row>
    <row r="137" spans="1:45" ht="12.75" customHeight="1" x14ac:dyDescent="0.25">
      <c r="A137" s="20"/>
      <c r="B137" s="161" t="s">
        <v>731</v>
      </c>
      <c r="C137" s="162" t="s">
        <v>732</v>
      </c>
      <c r="D137" s="163" t="str">
        <f t="shared" ref="D137:N137" si="40">D132</f>
        <v>Tcal</v>
      </c>
      <c r="E137" s="163">
        <f t="shared" si="40"/>
        <v>1</v>
      </c>
      <c r="F137" s="164">
        <f t="shared" si="40"/>
        <v>1</v>
      </c>
      <c r="G137" s="164">
        <f t="shared" si="40"/>
        <v>4.1867999999999999</v>
      </c>
      <c r="H137" s="164">
        <f t="shared" si="40"/>
        <v>1.163</v>
      </c>
      <c r="I137" s="164">
        <f t="shared" si="40"/>
        <v>0.1</v>
      </c>
      <c r="J137" s="164">
        <f t="shared" si="40"/>
        <v>3.9683201649959812</v>
      </c>
      <c r="K137" s="165">
        <f t="shared" si="40"/>
        <v>0.17075462526339016</v>
      </c>
      <c r="L137" s="165">
        <f t="shared" si="40"/>
        <v>4.0784041574326496E-2</v>
      </c>
      <c r="M137" s="164" t="str">
        <f t="shared" si="40"/>
        <v>Secundario</v>
      </c>
      <c r="N137" s="164" t="str">
        <f t="shared" si="40"/>
        <v>No Renovable</v>
      </c>
      <c r="O137" s="20"/>
      <c r="P137" s="20"/>
      <c r="Q137" s="20"/>
      <c r="R137" s="161" t="s">
        <v>731</v>
      </c>
      <c r="S137" s="20">
        <v>75</v>
      </c>
      <c r="T137" s="20">
        <v>186</v>
      </c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</row>
    <row r="138" spans="1:45" ht="12.75" customHeight="1" x14ac:dyDescent="0.25">
      <c r="A138" s="20"/>
      <c r="B138" s="156" t="s">
        <v>733</v>
      </c>
      <c r="C138" s="157" t="s">
        <v>734</v>
      </c>
      <c r="D138" s="158" t="s">
        <v>735</v>
      </c>
      <c r="E138" s="158">
        <v>1</v>
      </c>
      <c r="F138" s="159">
        <f>G138/4.1868</f>
        <v>0.32960733734594438</v>
      </c>
      <c r="G138" s="159">
        <v>1.38</v>
      </c>
      <c r="H138" s="159">
        <f>F138*4.1868/3.6</f>
        <v>0.3833333333333333</v>
      </c>
      <c r="I138" s="159">
        <f>F138*0.1</f>
        <v>3.296073373459444E-2</v>
      </c>
      <c r="J138" s="159">
        <f>H138*$H$151/$H$150</f>
        <v>1.3079874433205441</v>
      </c>
      <c r="K138" s="160">
        <f>G138*L138</f>
        <v>0</v>
      </c>
      <c r="L138" s="160">
        <f>L232/1000000</f>
        <v>0</v>
      </c>
      <c r="M138" s="159" t="s">
        <v>705</v>
      </c>
      <c r="N138" s="159"/>
      <c r="O138" s="20"/>
      <c r="P138" s="20"/>
      <c r="Q138" s="20"/>
      <c r="R138" s="156" t="s">
        <v>733</v>
      </c>
      <c r="S138" s="20">
        <v>0</v>
      </c>
      <c r="T138" s="20">
        <v>0</v>
      </c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</row>
    <row r="139" spans="1:45" ht="12.75" customHeight="1" x14ac:dyDescent="0.25">
      <c r="A139" s="20"/>
      <c r="B139" s="20"/>
      <c r="C139" s="20"/>
      <c r="D139" s="20"/>
      <c r="E139" s="20"/>
      <c r="F139" s="20"/>
      <c r="G139" s="20"/>
      <c r="H139" s="20"/>
      <c r="I139" s="20"/>
      <c r="J139" s="21"/>
      <c r="K139" s="21"/>
      <c r="L139" s="21"/>
      <c r="M139" s="21"/>
      <c r="N139" s="22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</row>
    <row r="140" spans="1:45" ht="12.75" customHeight="1" x14ac:dyDescent="0.25">
      <c r="A140" s="20"/>
      <c r="B140" s="817"/>
      <c r="C140" s="818"/>
      <c r="D140" s="818"/>
      <c r="E140" s="819"/>
      <c r="F140" s="20"/>
      <c r="G140" s="820" t="s">
        <v>736</v>
      </c>
      <c r="H140" s="821"/>
      <c r="I140" s="822"/>
      <c r="J140" s="21"/>
      <c r="K140" s="21"/>
      <c r="L140" s="21"/>
      <c r="M140" s="21"/>
      <c r="N140" s="22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</row>
    <row r="141" spans="1:45" ht="12.75" customHeight="1" x14ac:dyDescent="0.25">
      <c r="A141" s="20"/>
      <c r="B141" s="156" t="str">
        <f t="array" ref="B141:B146">TRANSPOSE(E108:J108)</f>
        <v>UO</v>
      </c>
      <c r="C141" s="157" t="s">
        <v>737</v>
      </c>
      <c r="D141" s="158"/>
      <c r="E141" s="156">
        <v>2006</v>
      </c>
      <c r="F141" s="20"/>
      <c r="G141" s="155" t="s">
        <v>738</v>
      </c>
      <c r="H141" s="155" t="s">
        <v>739</v>
      </c>
      <c r="I141" s="155" t="s">
        <v>740</v>
      </c>
      <c r="J141" s="21"/>
      <c r="K141" s="21"/>
      <c r="L141" s="155" t="s">
        <v>738</v>
      </c>
      <c r="M141" s="155" t="s">
        <v>740</v>
      </c>
      <c r="N141" s="22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</row>
    <row r="142" spans="1:45" ht="12.75" customHeight="1" x14ac:dyDescent="0.25">
      <c r="A142" s="20"/>
      <c r="B142" s="161" t="str">
        <v>TCal</v>
      </c>
      <c r="C142" s="162" t="s">
        <v>741</v>
      </c>
      <c r="D142" s="163"/>
      <c r="E142" s="161">
        <v>2007</v>
      </c>
      <c r="F142" s="20"/>
      <c r="G142" s="177" t="s">
        <v>742</v>
      </c>
      <c r="H142" s="178">
        <v>35.31467</v>
      </c>
      <c r="I142" s="177" t="s">
        <v>743</v>
      </c>
      <c r="J142" s="21"/>
      <c r="K142" s="21"/>
      <c r="L142" s="177" t="s">
        <v>680</v>
      </c>
      <c r="M142" s="177" t="s">
        <v>743</v>
      </c>
      <c r="N142" s="22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</row>
    <row r="143" spans="1:45" ht="12.75" customHeight="1" x14ac:dyDescent="0.25">
      <c r="A143" s="20"/>
      <c r="B143" s="156" t="str">
        <v>TJ</v>
      </c>
      <c r="C143" s="157" t="s">
        <v>744</v>
      </c>
      <c r="D143" s="158"/>
      <c r="E143" s="156">
        <v>2008</v>
      </c>
      <c r="F143" s="20"/>
      <c r="G143" s="179" t="s">
        <v>745</v>
      </c>
      <c r="H143" s="180">
        <f>1000000/H142</f>
        <v>28316.843963146195</v>
      </c>
      <c r="I143" s="179" t="s">
        <v>680</v>
      </c>
      <c r="J143" s="21"/>
      <c r="K143" s="21"/>
      <c r="L143" s="179" t="s">
        <v>746</v>
      </c>
      <c r="M143" s="179" t="s">
        <v>680</v>
      </c>
      <c r="N143" s="22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</row>
    <row r="144" spans="1:45" ht="12.75" customHeight="1" x14ac:dyDescent="0.25">
      <c r="A144" s="20"/>
      <c r="B144" s="161" t="str">
        <v>GWh</v>
      </c>
      <c r="C144" s="162" t="s">
        <v>747</v>
      </c>
      <c r="D144" s="163"/>
      <c r="E144" s="161">
        <v>2009</v>
      </c>
      <c r="F144" s="20"/>
      <c r="G144" s="177" t="s">
        <v>748</v>
      </c>
      <c r="H144" s="178">
        <v>3.7854117999999999</v>
      </c>
      <c r="I144" s="177" t="s">
        <v>749</v>
      </c>
      <c r="J144" s="21"/>
      <c r="K144" s="21"/>
      <c r="L144" s="177" t="s">
        <v>714</v>
      </c>
      <c r="M144" s="177" t="s">
        <v>749</v>
      </c>
      <c r="N144" s="22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</row>
    <row r="145" spans="1:45" ht="12.75" customHeight="1" x14ac:dyDescent="0.25">
      <c r="A145" s="20"/>
      <c r="B145" s="156" t="str">
        <v>KTEP</v>
      </c>
      <c r="C145" s="157" t="s">
        <v>750</v>
      </c>
      <c r="D145" s="158"/>
      <c r="E145" s="156">
        <v>2010</v>
      </c>
      <c r="F145" s="20"/>
      <c r="G145" s="179" t="s">
        <v>751</v>
      </c>
      <c r="H145" s="180">
        <v>42</v>
      </c>
      <c r="I145" s="179" t="s">
        <v>714</v>
      </c>
      <c r="J145" s="21"/>
      <c r="K145" s="21"/>
      <c r="L145" s="179" t="s">
        <v>752</v>
      </c>
      <c r="M145" s="179" t="s">
        <v>714</v>
      </c>
      <c r="N145" s="22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</row>
    <row r="146" spans="1:45" ht="12.75" customHeight="1" x14ac:dyDescent="0.25">
      <c r="A146" s="20"/>
      <c r="B146" s="161" t="str">
        <v>GBTU</v>
      </c>
      <c r="C146" s="162" t="s">
        <v>753</v>
      </c>
      <c r="D146" s="163"/>
      <c r="E146" s="161">
        <v>2011</v>
      </c>
      <c r="F146" s="20"/>
      <c r="G146" s="177" t="s">
        <v>742</v>
      </c>
      <c r="H146" s="178">
        <f>1000/H144/H145</f>
        <v>6.2898107438466297</v>
      </c>
      <c r="I146" s="177" t="s">
        <v>752</v>
      </c>
      <c r="J146" s="21"/>
      <c r="K146" s="21"/>
      <c r="L146" s="177" t="s">
        <v>680</v>
      </c>
      <c r="M146" s="177" t="s">
        <v>752</v>
      </c>
      <c r="N146" s="22"/>
      <c r="O146" s="20"/>
      <c r="P146" s="20"/>
      <c r="Q146" s="20"/>
      <c r="R146" s="20">
        <v>3517.2031699650001</v>
      </c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</row>
    <row r="147" spans="1:45" ht="12.75" customHeight="1" x14ac:dyDescent="0.25">
      <c r="A147" s="20"/>
      <c r="B147" s="156" t="s">
        <v>754</v>
      </c>
      <c r="C147" s="157" t="s">
        <v>755</v>
      </c>
      <c r="D147" s="158"/>
      <c r="E147" s="156">
        <v>2012</v>
      </c>
      <c r="F147" s="20"/>
      <c r="G147" s="179" t="s">
        <v>742</v>
      </c>
      <c r="H147" s="180">
        <v>1000</v>
      </c>
      <c r="I147" s="179" t="s">
        <v>749</v>
      </c>
      <c r="J147" s="21"/>
      <c r="K147" s="21"/>
      <c r="L147" s="179" t="s">
        <v>680</v>
      </c>
      <c r="M147" s="179" t="s">
        <v>749</v>
      </c>
      <c r="N147" s="22"/>
      <c r="O147" s="20"/>
      <c r="P147" s="20"/>
      <c r="Q147" s="20"/>
      <c r="R147" s="20">
        <v>1.055056</v>
      </c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</row>
    <row r="148" spans="1:45" ht="12.75" customHeight="1" x14ac:dyDescent="0.25">
      <c r="A148" s="20"/>
      <c r="B148" s="161" t="s">
        <v>672</v>
      </c>
      <c r="C148" s="162" t="s">
        <v>756</v>
      </c>
      <c r="D148" s="163"/>
      <c r="E148" s="161">
        <v>2013</v>
      </c>
      <c r="F148" s="20"/>
      <c r="G148" s="177" t="s">
        <v>757</v>
      </c>
      <c r="H148" s="178">
        <v>1000</v>
      </c>
      <c r="I148" s="177" t="s">
        <v>752</v>
      </c>
      <c r="J148" s="21"/>
      <c r="K148" s="21"/>
      <c r="L148" s="177" t="s">
        <v>735</v>
      </c>
      <c r="M148" s="177" t="s">
        <v>752</v>
      </c>
      <c r="N148" s="22"/>
      <c r="O148" s="20"/>
      <c r="P148" s="20"/>
      <c r="Q148" s="20"/>
      <c r="R148" s="20">
        <f>+R146*R147</f>
        <v>3710.8463076905932</v>
      </c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</row>
    <row r="149" spans="1:45" ht="12.75" customHeight="1" x14ac:dyDescent="0.25">
      <c r="A149" s="20"/>
      <c r="B149" s="156" t="s">
        <v>615</v>
      </c>
      <c r="C149" s="157" t="s">
        <v>758</v>
      </c>
      <c r="D149" s="158"/>
      <c r="E149" s="156">
        <v>2014</v>
      </c>
      <c r="F149" s="20"/>
      <c r="G149" s="179" t="s">
        <v>759</v>
      </c>
      <c r="H149" s="181">
        <f>1/H144/H145/H148</f>
        <v>6.2898107438466298E-6</v>
      </c>
      <c r="I149" s="179" t="s">
        <v>735</v>
      </c>
      <c r="J149" s="21"/>
      <c r="K149" s="21"/>
      <c r="L149" s="179" t="s">
        <v>749</v>
      </c>
      <c r="M149" s="179" t="s">
        <v>735</v>
      </c>
      <c r="N149" s="22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</row>
    <row r="150" spans="1:45" ht="12.75" customHeight="1" x14ac:dyDescent="0.25">
      <c r="A150" s="20"/>
      <c r="B150" s="161" t="s">
        <v>735</v>
      </c>
      <c r="C150" s="162" t="s">
        <v>760</v>
      </c>
      <c r="D150" s="163"/>
      <c r="E150" s="161">
        <v>2015</v>
      </c>
      <c r="F150" s="20"/>
      <c r="G150" s="177" t="s">
        <v>761</v>
      </c>
      <c r="H150" s="178">
        <v>1055.056</v>
      </c>
      <c r="I150" s="177" t="s">
        <v>762</v>
      </c>
      <c r="J150" s="21"/>
      <c r="K150" s="21"/>
      <c r="L150" s="177" t="s">
        <v>651</v>
      </c>
      <c r="M150" s="177" t="s">
        <v>762</v>
      </c>
      <c r="N150" s="22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</row>
    <row r="151" spans="1:45" ht="12.75" customHeight="1" x14ac:dyDescent="0.25">
      <c r="A151" s="20"/>
      <c r="B151" s="20"/>
      <c r="C151" s="20"/>
      <c r="D151" s="20"/>
      <c r="E151" s="156">
        <v>2016</v>
      </c>
      <c r="F151" s="20"/>
      <c r="G151" s="179" t="s">
        <v>763</v>
      </c>
      <c r="H151" s="180">
        <v>3600</v>
      </c>
      <c r="I151" s="179" t="s">
        <v>762</v>
      </c>
      <c r="J151" s="21"/>
      <c r="K151" s="21"/>
      <c r="L151" s="179" t="s">
        <v>764</v>
      </c>
      <c r="M151" s="179" t="s">
        <v>762</v>
      </c>
      <c r="N151" s="22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</row>
    <row r="152" spans="1:45" ht="12.75" customHeight="1" x14ac:dyDescent="0.25">
      <c r="A152" s="20"/>
      <c r="B152" s="20"/>
      <c r="C152" s="20"/>
      <c r="D152" s="20"/>
      <c r="E152" s="161">
        <v>2017</v>
      </c>
      <c r="F152" s="20"/>
      <c r="G152" s="177" t="s">
        <v>742</v>
      </c>
      <c r="H152" s="178">
        <f>H147/H144</f>
        <v>264.17205124155845</v>
      </c>
      <c r="I152" s="177" t="s">
        <v>714</v>
      </c>
      <c r="J152" s="21"/>
      <c r="K152" s="21"/>
      <c r="L152" s="177" t="s">
        <v>680</v>
      </c>
      <c r="M152" s="177" t="s">
        <v>714</v>
      </c>
      <c r="N152" s="22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</row>
    <row r="153" spans="1:45" ht="12.75" customHeight="1" x14ac:dyDescent="0.25">
      <c r="A153" s="20"/>
      <c r="B153" s="20"/>
      <c r="C153" s="20"/>
      <c r="D153" s="20"/>
      <c r="E153" s="156">
        <v>2018</v>
      </c>
      <c r="F153" s="20"/>
      <c r="G153" s="182"/>
      <c r="H153" s="183"/>
      <c r="I153" s="182"/>
      <c r="J153" s="21"/>
      <c r="K153" s="21"/>
      <c r="L153" s="182"/>
      <c r="M153" s="182"/>
      <c r="N153" s="22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</row>
    <row r="154" spans="1:45" ht="12.75" customHeight="1" x14ac:dyDescent="0.25">
      <c r="A154" s="20"/>
      <c r="B154" s="20"/>
      <c r="C154" s="20"/>
      <c r="D154" s="20"/>
      <c r="E154" s="20"/>
      <c r="F154" s="20"/>
      <c r="G154" s="20"/>
      <c r="H154" s="20"/>
      <c r="I154" s="20"/>
      <c r="J154" s="21"/>
      <c r="K154" s="21"/>
      <c r="L154" s="21"/>
      <c r="M154" s="21"/>
      <c r="N154" s="22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</row>
    <row r="155" spans="1:45" ht="12.75" customHeight="1" x14ac:dyDescent="0.25">
      <c r="A155" s="20"/>
      <c r="B155" s="20"/>
      <c r="C155" s="184"/>
      <c r="D155" s="184"/>
      <c r="E155" s="184" t="s">
        <v>765</v>
      </c>
      <c r="F155" s="184" t="s">
        <v>766</v>
      </c>
      <c r="G155" s="184"/>
      <c r="H155" s="184" t="s">
        <v>767</v>
      </c>
      <c r="I155" s="184"/>
      <c r="J155" s="184"/>
      <c r="K155" s="184"/>
      <c r="L155" s="184" t="s">
        <v>768</v>
      </c>
      <c r="M155" s="21" t="s">
        <v>769</v>
      </c>
      <c r="N155" s="22" t="s">
        <v>770</v>
      </c>
      <c r="O155" s="20" t="s">
        <v>771</v>
      </c>
      <c r="P155" s="20" t="s">
        <v>772</v>
      </c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</row>
    <row r="156" spans="1:45" ht="12.75" customHeight="1" x14ac:dyDescent="0.25">
      <c r="A156" s="20"/>
      <c r="B156" s="20"/>
      <c r="C156" s="185" t="s">
        <v>773</v>
      </c>
      <c r="D156" s="186"/>
      <c r="E156" s="155"/>
      <c r="F156" s="155" t="s">
        <v>774</v>
      </c>
      <c r="G156" s="155" t="s">
        <v>775</v>
      </c>
      <c r="H156" s="155" t="s">
        <v>776</v>
      </c>
      <c r="I156" s="155" t="s">
        <v>777</v>
      </c>
      <c r="J156" s="155" t="s">
        <v>778</v>
      </c>
      <c r="K156" s="155" t="s">
        <v>779</v>
      </c>
      <c r="L156" s="155" t="s">
        <v>619</v>
      </c>
      <c r="M156" s="21" t="s">
        <v>619</v>
      </c>
      <c r="N156" s="22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</row>
    <row r="157" spans="1:45" ht="12.75" customHeight="1" x14ac:dyDescent="0.25">
      <c r="A157" s="20"/>
      <c r="B157" s="20"/>
      <c r="C157" s="187" t="s">
        <v>780</v>
      </c>
      <c r="D157" s="188"/>
      <c r="E157" s="189">
        <f t="shared" ref="E157:E173" si="41">H157/F157</f>
        <v>1.0919058660269887</v>
      </c>
      <c r="F157" s="189">
        <v>20.148378049547535</v>
      </c>
      <c r="G157" s="189">
        <f t="shared" ref="G157:G173" si="42">H157*$H$143/1000000</f>
        <v>0.62297431020112526</v>
      </c>
      <c r="H157" s="189">
        <v>22.00013218323037</v>
      </c>
      <c r="I157" s="189">
        <f t="shared" ref="I157:I173" si="43">H157/($H$146*1000)</f>
        <v>3.4977415186543204E-3</v>
      </c>
      <c r="J157" s="189">
        <f t="shared" ref="J157:J173" si="44">G157*1000000/$H$150</f>
        <v>590.46563424228214</v>
      </c>
      <c r="K157" s="189">
        <f t="shared" ref="K157:K173" si="45">G157*1000/$H$151</f>
        <v>0.17304841950031258</v>
      </c>
      <c r="L157" s="190">
        <v>84364.418306302701</v>
      </c>
      <c r="M157" s="21">
        <v>1</v>
      </c>
      <c r="N157" s="22">
        <f t="shared" ref="N157:N173" si="46">M157*25</f>
        <v>25</v>
      </c>
      <c r="O157" s="20">
        <v>0.1</v>
      </c>
      <c r="P157" s="20">
        <f t="shared" ref="P157:P173" si="47">O157*310</f>
        <v>31</v>
      </c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</row>
    <row r="158" spans="1:45" ht="12.75" customHeight="1" x14ac:dyDescent="0.25">
      <c r="A158" s="20"/>
      <c r="B158" s="20"/>
      <c r="C158" s="191" t="s">
        <v>781</v>
      </c>
      <c r="D158" s="192"/>
      <c r="E158" s="180">
        <f t="shared" si="41"/>
        <v>0.47283633381654921</v>
      </c>
      <c r="F158" s="180">
        <v>31.776669869184339</v>
      </c>
      <c r="G158" s="180">
        <f t="shared" si="42"/>
        <v>0.42546522682624327</v>
      </c>
      <c r="H158" s="180">
        <v>15.025164081843927</v>
      </c>
      <c r="I158" s="180">
        <f t="shared" si="43"/>
        <v>2.3888102033186231E-3</v>
      </c>
      <c r="J158" s="180">
        <f t="shared" si="44"/>
        <v>403.26316975235744</v>
      </c>
      <c r="K158" s="180">
        <f t="shared" si="45"/>
        <v>0.11818478522951202</v>
      </c>
      <c r="L158" s="179">
        <v>40784.041574326497</v>
      </c>
      <c r="M158" s="21">
        <v>1</v>
      </c>
      <c r="N158" s="22">
        <f t="shared" si="46"/>
        <v>25</v>
      </c>
      <c r="O158" s="20">
        <v>0.1</v>
      </c>
      <c r="P158" s="20">
        <f t="shared" si="47"/>
        <v>31</v>
      </c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</row>
    <row r="159" spans="1:45" ht="12.75" customHeight="1" x14ac:dyDescent="0.25">
      <c r="A159" s="20"/>
      <c r="B159" s="20"/>
      <c r="C159" s="187" t="s">
        <v>782</v>
      </c>
      <c r="D159" s="188"/>
      <c r="E159" s="189">
        <f t="shared" si="41"/>
        <v>0.82805816320750392</v>
      </c>
      <c r="F159" s="189">
        <v>46.703886147213531</v>
      </c>
      <c r="G159" s="189">
        <f t="shared" si="42"/>
        <v>1.0951124328137294</v>
      </c>
      <c r="H159" s="189">
        <v>38.673534177714025</v>
      </c>
      <c r="I159" s="189">
        <f t="shared" si="43"/>
        <v>6.148600610208923E-3</v>
      </c>
      <c r="J159" s="189">
        <f t="shared" si="44"/>
        <v>1037.966167496066</v>
      </c>
      <c r="K159" s="189">
        <f t="shared" si="45"/>
        <v>0.30419789800381369</v>
      </c>
      <c r="L159" s="190">
        <v>56647.701811453429</v>
      </c>
      <c r="M159" s="21">
        <v>1</v>
      </c>
      <c r="N159" s="22">
        <f t="shared" si="46"/>
        <v>25</v>
      </c>
      <c r="O159" s="20">
        <v>0.1</v>
      </c>
      <c r="P159" s="20">
        <f t="shared" si="47"/>
        <v>31</v>
      </c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</row>
    <row r="160" spans="1:45" ht="12.75" customHeight="1" x14ac:dyDescent="0.25">
      <c r="A160" s="20"/>
      <c r="B160" s="20"/>
      <c r="C160" s="191" t="s">
        <v>783</v>
      </c>
      <c r="D160" s="192"/>
      <c r="E160" s="180">
        <f t="shared" si="41"/>
        <v>0.68944210535051864</v>
      </c>
      <c r="F160" s="180">
        <v>48.581707173245775</v>
      </c>
      <c r="G160" s="180">
        <f t="shared" si="42"/>
        <v>0.94845214396863864</v>
      </c>
      <c r="H160" s="180">
        <v>33.494274475044961</v>
      </c>
      <c r="I160" s="180">
        <f t="shared" si="43"/>
        <v>5.3251641168715084E-3</v>
      </c>
      <c r="J160" s="180">
        <f t="shared" si="44"/>
        <v>898.9590542763973</v>
      </c>
      <c r="K160" s="180">
        <f t="shared" si="45"/>
        <v>0.26345892888017741</v>
      </c>
      <c r="L160" s="179">
        <v>54911.333346521977</v>
      </c>
      <c r="M160" s="21">
        <v>1</v>
      </c>
      <c r="N160" s="22">
        <f t="shared" si="46"/>
        <v>25</v>
      </c>
      <c r="O160" s="20">
        <v>0.1</v>
      </c>
      <c r="P160" s="20">
        <f t="shared" si="47"/>
        <v>31</v>
      </c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</row>
    <row r="161" spans="1:45" ht="12.75" customHeight="1" x14ac:dyDescent="0.25">
      <c r="A161" s="20"/>
      <c r="B161" s="20"/>
      <c r="C161" s="187" t="s">
        <v>784</v>
      </c>
      <c r="D161" s="188"/>
      <c r="E161" s="189">
        <f t="shared" si="41"/>
        <v>0.69906138957644803</v>
      </c>
      <c r="F161" s="189">
        <v>47.590537507391971</v>
      </c>
      <c r="G161" s="189">
        <f t="shared" si="42"/>
        <v>0.94206479292054834</v>
      </c>
      <c r="H161" s="189">
        <v>33.268707280607501</v>
      </c>
      <c r="I161" s="189">
        <f t="shared" si="43"/>
        <v>5.2893017986518171E-3</v>
      </c>
      <c r="J161" s="189">
        <f t="shared" si="44"/>
        <v>892.90501444525057</v>
      </c>
      <c r="K161" s="189">
        <f t="shared" si="45"/>
        <v>0.26168466470015234</v>
      </c>
      <c r="L161" s="190">
        <v>54869.575225054097</v>
      </c>
      <c r="M161" s="21">
        <v>1</v>
      </c>
      <c r="N161" s="22">
        <f t="shared" si="46"/>
        <v>25</v>
      </c>
      <c r="O161" s="20">
        <v>0.1</v>
      </c>
      <c r="P161" s="20">
        <f t="shared" si="47"/>
        <v>31</v>
      </c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</row>
    <row r="162" spans="1:45" ht="12.75" customHeight="1" x14ac:dyDescent="0.25">
      <c r="A162" s="20"/>
      <c r="B162" s="20"/>
      <c r="C162" s="191" t="s">
        <v>785</v>
      </c>
      <c r="D162" s="192"/>
      <c r="E162" s="180">
        <f t="shared" si="41"/>
        <v>0.79827746622006956</v>
      </c>
      <c r="F162" s="180">
        <v>46.674185425559152</v>
      </c>
      <c r="G162" s="180">
        <f t="shared" si="42"/>
        <v>1.0550558869557909</v>
      </c>
      <c r="H162" s="180">
        <v>37.258950479401058</v>
      </c>
      <c r="I162" s="180">
        <f t="shared" si="43"/>
        <v>5.9236997736142978E-3</v>
      </c>
      <c r="J162" s="180">
        <f t="shared" si="44"/>
        <v>999.99989285477818</v>
      </c>
      <c r="K162" s="180">
        <f t="shared" si="45"/>
        <v>0.2930710797099419</v>
      </c>
      <c r="L162" s="179">
        <v>54618.088800570877</v>
      </c>
      <c r="M162" s="21">
        <v>1</v>
      </c>
      <c r="N162" s="22">
        <f t="shared" si="46"/>
        <v>25</v>
      </c>
      <c r="O162" s="20">
        <v>0.1</v>
      </c>
      <c r="P162" s="20">
        <f t="shared" si="47"/>
        <v>31</v>
      </c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</row>
    <row r="163" spans="1:45" ht="12.75" customHeight="1" x14ac:dyDescent="0.25">
      <c r="A163" s="20"/>
      <c r="B163" s="20"/>
      <c r="C163" s="187" t="s">
        <v>786</v>
      </c>
      <c r="D163" s="188"/>
      <c r="E163" s="189">
        <f t="shared" si="41"/>
        <v>0.72219603487749551</v>
      </c>
      <c r="F163" s="189">
        <v>49.057537361627276</v>
      </c>
      <c r="G163" s="189">
        <f t="shared" si="42"/>
        <v>1.0032419661127179</v>
      </c>
      <c r="H163" s="189">
        <v>35.429158963421813</v>
      </c>
      <c r="I163" s="189">
        <f t="shared" si="43"/>
        <v>5.6327861689769339E-3</v>
      </c>
      <c r="J163" s="189">
        <f t="shared" si="44"/>
        <v>950.88977846931141</v>
      </c>
      <c r="K163" s="189">
        <f t="shared" si="45"/>
        <v>0.27867832392019937</v>
      </c>
      <c r="L163" s="190">
        <v>55801.045967069134</v>
      </c>
      <c r="M163" s="70">
        <v>1</v>
      </c>
      <c r="N163" s="22">
        <f t="shared" si="46"/>
        <v>25</v>
      </c>
      <c r="O163" s="20">
        <v>0.1</v>
      </c>
      <c r="P163" s="20">
        <f t="shared" si="47"/>
        <v>31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</row>
    <row r="164" spans="1:45" ht="12.75" customHeight="1" x14ac:dyDescent="0.25">
      <c r="A164" s="20"/>
      <c r="B164" s="20"/>
      <c r="C164" s="191" t="s">
        <v>787</v>
      </c>
      <c r="D164" s="192"/>
      <c r="E164" s="180">
        <f t="shared" si="41"/>
        <v>0.81264331694746639</v>
      </c>
      <c r="F164" s="180">
        <v>46.681045476918939</v>
      </c>
      <c r="G164" s="180">
        <f t="shared" si="42"/>
        <v>1.0742005980783322</v>
      </c>
      <c r="H164" s="180">
        <v>37.935039634938931</v>
      </c>
      <c r="I164" s="180">
        <f t="shared" si="43"/>
        <v>6.0311893600377524E-3</v>
      </c>
      <c r="J164" s="180">
        <f t="shared" si="44"/>
        <v>1018.1455752854181</v>
      </c>
      <c r="K164" s="180">
        <f t="shared" si="45"/>
        <v>0.29838905502175894</v>
      </c>
      <c r="L164" s="179">
        <v>56979.995471723574</v>
      </c>
      <c r="M164" s="70">
        <v>1</v>
      </c>
      <c r="N164" s="22">
        <f t="shared" si="46"/>
        <v>25</v>
      </c>
      <c r="O164" s="20">
        <v>0.1</v>
      </c>
      <c r="P164" s="20">
        <f t="shared" si="47"/>
        <v>31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</row>
    <row r="165" spans="1:45" ht="12.75" customHeight="1" x14ac:dyDescent="0.25">
      <c r="A165" s="20"/>
      <c r="B165" s="20"/>
      <c r="C165" s="187" t="s">
        <v>788</v>
      </c>
      <c r="D165" s="188"/>
      <c r="E165" s="189">
        <f t="shared" si="41"/>
        <v>0.69505471404304453</v>
      </c>
      <c r="F165" s="189">
        <v>48.205739070710145</v>
      </c>
      <c r="G165" s="189">
        <f t="shared" si="42"/>
        <v>0.94877358856888827</v>
      </c>
      <c r="H165" s="189">
        <v>33.50562618502606</v>
      </c>
      <c r="I165" s="189">
        <f t="shared" si="43"/>
        <v>5.3269688945418387E-3</v>
      </c>
      <c r="J165" s="189">
        <f t="shared" si="44"/>
        <v>899.26372492918688</v>
      </c>
      <c r="K165" s="189">
        <f t="shared" si="45"/>
        <v>0.26354821904691339</v>
      </c>
      <c r="L165" s="190">
        <v>54667.782262129222</v>
      </c>
      <c r="M165" s="70">
        <v>1</v>
      </c>
      <c r="N165" s="22">
        <f t="shared" si="46"/>
        <v>25</v>
      </c>
      <c r="O165" s="20">
        <v>0.1</v>
      </c>
      <c r="P165" s="20">
        <f t="shared" si="47"/>
        <v>31</v>
      </c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</row>
    <row r="166" spans="1:45" ht="12.75" customHeight="1" x14ac:dyDescent="0.25">
      <c r="A166" s="20"/>
      <c r="B166" s="20" t="s">
        <v>327</v>
      </c>
      <c r="C166" s="191" t="s">
        <v>789</v>
      </c>
      <c r="D166" s="192"/>
      <c r="E166" s="180">
        <f t="shared" si="41"/>
        <v>0.7483337440478588</v>
      </c>
      <c r="F166" s="180">
        <v>47.642091166095256</v>
      </c>
      <c r="G166" s="180">
        <f t="shared" si="42"/>
        <v>1.0095573442026637</v>
      </c>
      <c r="H166" s="180">
        <v>35.652184456593481</v>
      </c>
      <c r="I166" s="180">
        <f t="shared" si="43"/>
        <v>5.6682443889861534E-3</v>
      </c>
      <c r="J166" s="180">
        <f t="shared" si="44"/>
        <v>956.87560110805839</v>
      </c>
      <c r="K166" s="180">
        <f t="shared" si="45"/>
        <v>0.28043259561185108</v>
      </c>
      <c r="L166" s="179">
        <v>55539.114956987069</v>
      </c>
      <c r="M166" s="70">
        <v>1</v>
      </c>
      <c r="N166" s="22">
        <f t="shared" si="46"/>
        <v>25</v>
      </c>
      <c r="O166" s="20">
        <v>0.1</v>
      </c>
      <c r="P166" s="20">
        <f t="shared" si="47"/>
        <v>31</v>
      </c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</row>
    <row r="167" spans="1:45" ht="12.75" customHeight="1" x14ac:dyDescent="0.25">
      <c r="A167" s="20"/>
      <c r="B167" s="20"/>
      <c r="C167" s="193" t="s">
        <v>790</v>
      </c>
      <c r="D167" s="194"/>
      <c r="E167" s="195">
        <f t="shared" si="41"/>
        <v>2.1573476378085363</v>
      </c>
      <c r="F167" s="195">
        <v>45.989410956446889</v>
      </c>
      <c r="G167" s="195">
        <f t="shared" si="42"/>
        <v>2.8094598389591834</v>
      </c>
      <c r="H167" s="195">
        <v>99.215147091096711</v>
      </c>
      <c r="I167" s="195">
        <f t="shared" si="43"/>
        <v>1.5773947918569672E-2</v>
      </c>
      <c r="J167" s="195">
        <f t="shared" si="44"/>
        <v>2662.8537622260651</v>
      </c>
      <c r="K167" s="195">
        <f t="shared" si="45"/>
        <v>0.78040551082199539</v>
      </c>
      <c r="L167" s="196">
        <v>47289.338246831365</v>
      </c>
      <c r="M167" s="70">
        <v>1</v>
      </c>
      <c r="N167" s="22">
        <f t="shared" si="46"/>
        <v>25</v>
      </c>
      <c r="O167" s="20">
        <v>0.1</v>
      </c>
      <c r="P167" s="20">
        <f t="shared" si="47"/>
        <v>31</v>
      </c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</row>
    <row r="168" spans="1:45" ht="12.75" customHeight="1" x14ac:dyDescent="0.25">
      <c r="A168" s="20"/>
      <c r="B168" s="20"/>
      <c r="C168" s="191" t="s">
        <v>791</v>
      </c>
      <c r="D168" s="192"/>
      <c r="E168" s="180">
        <f t="shared" si="41"/>
        <v>1.8613192388858333</v>
      </c>
      <c r="F168" s="180">
        <v>46.338572000000006</v>
      </c>
      <c r="G168" s="180">
        <f t="shared" si="42"/>
        <v>2.4423525850898904</v>
      </c>
      <c r="H168" s="180">
        <v>86.250875566096397</v>
      </c>
      <c r="I168" s="180">
        <f t="shared" si="43"/>
        <v>1.3712793449385786E-2</v>
      </c>
      <c r="J168" s="180">
        <f t="shared" si="44"/>
        <v>2314.903270622498</v>
      </c>
      <c r="K168" s="180">
        <f t="shared" si="45"/>
        <v>0.67843127363608069</v>
      </c>
      <c r="L168" s="179">
        <v>64686.225077500494</v>
      </c>
      <c r="M168" s="70">
        <v>1</v>
      </c>
      <c r="N168" s="22">
        <f t="shared" si="46"/>
        <v>25</v>
      </c>
      <c r="O168" s="20">
        <v>0.1</v>
      </c>
      <c r="P168" s="20">
        <f t="shared" si="47"/>
        <v>31</v>
      </c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</row>
    <row r="169" spans="1:45" ht="12.75" customHeight="1" x14ac:dyDescent="0.25">
      <c r="A169" s="20"/>
      <c r="B169" s="20"/>
      <c r="C169" s="187" t="s">
        <v>792</v>
      </c>
      <c r="D169" s="188"/>
      <c r="E169" s="189">
        <f t="shared" si="41"/>
        <v>0.92134120077745862</v>
      </c>
      <c r="F169" s="189">
        <v>44.036387540348116</v>
      </c>
      <c r="G169" s="189">
        <f t="shared" si="42"/>
        <v>1.1488862326711775</v>
      </c>
      <c r="H169" s="189">
        <v>40.57253817432585</v>
      </c>
      <c r="I169" s="189">
        <f t="shared" si="43"/>
        <v>6.4505181199638285E-3</v>
      </c>
      <c r="J169" s="189">
        <f t="shared" si="44"/>
        <v>1088.9338885056125</v>
      </c>
      <c r="K169" s="189">
        <f t="shared" si="45"/>
        <v>0.31913506463088265</v>
      </c>
      <c r="L169" s="190">
        <v>56225.456549044327</v>
      </c>
      <c r="M169" s="70">
        <v>1</v>
      </c>
      <c r="N169" s="22">
        <f t="shared" si="46"/>
        <v>25</v>
      </c>
      <c r="O169" s="20">
        <v>0.1</v>
      </c>
      <c r="P169" s="20">
        <f t="shared" si="47"/>
        <v>31</v>
      </c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</row>
    <row r="170" spans="1:45" ht="12.75" customHeight="1" x14ac:dyDescent="0.25">
      <c r="A170" s="20"/>
      <c r="B170" s="20"/>
      <c r="C170" s="191" t="s">
        <v>793</v>
      </c>
      <c r="D170" s="192"/>
      <c r="E170" s="180">
        <f t="shared" si="41"/>
        <v>0.74418245042342812</v>
      </c>
      <c r="F170" s="180">
        <v>47.747590968266259</v>
      </c>
      <c r="G170" s="180">
        <f t="shared" si="42"/>
        <v>1.0061801299171118</v>
      </c>
      <c r="H170" s="180">
        <v>35.53291924857993</v>
      </c>
      <c r="I170" s="180">
        <f t="shared" si="43"/>
        <v>5.6492827361049073E-3</v>
      </c>
      <c r="J170" s="180">
        <f t="shared" si="44"/>
        <v>953.67462003638843</v>
      </c>
      <c r="K170" s="180">
        <f t="shared" si="45"/>
        <v>0.27949448053253106</v>
      </c>
      <c r="L170" s="179">
        <v>54641.783771340481</v>
      </c>
      <c r="M170" s="70">
        <v>1</v>
      </c>
      <c r="N170" s="22">
        <f t="shared" si="46"/>
        <v>25</v>
      </c>
      <c r="O170" s="20">
        <v>0.1</v>
      </c>
      <c r="P170" s="20">
        <f t="shared" si="47"/>
        <v>31</v>
      </c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</row>
    <row r="171" spans="1:45" ht="12.75" customHeight="1" x14ac:dyDescent="0.25">
      <c r="A171" s="20"/>
      <c r="B171" s="20"/>
      <c r="C171" s="187" t="s">
        <v>794</v>
      </c>
      <c r="D171" s="188"/>
      <c r="E171" s="189">
        <f t="shared" si="41"/>
        <v>0.82898038028404941</v>
      </c>
      <c r="F171" s="189">
        <v>44.938157927686106</v>
      </c>
      <c r="G171" s="189">
        <f t="shared" si="42"/>
        <v>1.054883175976383</v>
      </c>
      <c r="H171" s="189">
        <v>37.252851248157896</v>
      </c>
      <c r="I171" s="189">
        <f t="shared" si="43"/>
        <v>5.9227300733337082E-3</v>
      </c>
      <c r="J171" s="189">
        <f t="shared" si="44"/>
        <v>999.83619445449619</v>
      </c>
      <c r="K171" s="189">
        <f t="shared" si="45"/>
        <v>0.29302310443788415</v>
      </c>
      <c r="L171" s="190">
        <v>56385.19473831357</v>
      </c>
      <c r="M171" s="70">
        <v>1</v>
      </c>
      <c r="N171" s="22">
        <f t="shared" si="46"/>
        <v>25</v>
      </c>
      <c r="O171" s="20">
        <v>0.1</v>
      </c>
      <c r="P171" s="20">
        <f t="shared" si="47"/>
        <v>31</v>
      </c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</row>
    <row r="172" spans="1:45" ht="12.75" customHeight="1" x14ac:dyDescent="0.25">
      <c r="A172" s="20"/>
      <c r="B172" s="20"/>
      <c r="C172" s="191" t="s">
        <v>795</v>
      </c>
      <c r="D172" s="192"/>
      <c r="E172" s="180">
        <f t="shared" si="41"/>
        <v>0.82463870845783294</v>
      </c>
      <c r="F172" s="180">
        <v>46.648620259590245</v>
      </c>
      <c r="G172" s="180">
        <f t="shared" si="42"/>
        <v>1.0892996582499115</v>
      </c>
      <c r="H172" s="180">
        <v>38.468257962208398</v>
      </c>
      <c r="I172" s="180">
        <f t="shared" si="43"/>
        <v>6.1159642998546799E-3</v>
      </c>
      <c r="J172" s="180">
        <f t="shared" si="44"/>
        <v>1032.456721017568</v>
      </c>
      <c r="K172" s="180">
        <f t="shared" si="45"/>
        <v>0.3025832384027532</v>
      </c>
      <c r="L172" s="179">
        <v>56642.073852843634</v>
      </c>
      <c r="M172" s="70">
        <v>1</v>
      </c>
      <c r="N172" s="22">
        <f t="shared" si="46"/>
        <v>25</v>
      </c>
      <c r="O172" s="20">
        <v>0.1</v>
      </c>
      <c r="P172" s="20">
        <f t="shared" si="47"/>
        <v>31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</row>
    <row r="173" spans="1:45" ht="12.75" customHeight="1" x14ac:dyDescent="0.25">
      <c r="A173" s="20"/>
      <c r="B173" s="20"/>
      <c r="C173" s="187" t="s">
        <v>796</v>
      </c>
      <c r="D173" s="188"/>
      <c r="E173" s="189">
        <f t="shared" si="41"/>
        <v>0.82805816320750392</v>
      </c>
      <c r="F173" s="189">
        <v>46.703886147213531</v>
      </c>
      <c r="G173" s="189">
        <f t="shared" si="42"/>
        <v>1.0951124328137294</v>
      </c>
      <c r="H173" s="189">
        <v>38.673534177714025</v>
      </c>
      <c r="I173" s="189">
        <f t="shared" si="43"/>
        <v>6.148600610208923E-3</v>
      </c>
      <c r="J173" s="189">
        <f t="shared" si="44"/>
        <v>1037.966167496066</v>
      </c>
      <c r="K173" s="189">
        <f t="shared" si="45"/>
        <v>0.30419789800381369</v>
      </c>
      <c r="L173" s="190">
        <v>56647.701811453429</v>
      </c>
      <c r="M173" s="70">
        <v>1</v>
      </c>
      <c r="N173" s="22">
        <f t="shared" si="46"/>
        <v>25</v>
      </c>
      <c r="O173" s="20">
        <v>0.1</v>
      </c>
      <c r="P173" s="20">
        <f t="shared" si="47"/>
        <v>31</v>
      </c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</row>
    <row r="174" spans="1:45" ht="12.75" customHeight="1" x14ac:dyDescent="0.25">
      <c r="A174" s="20"/>
      <c r="B174" s="20"/>
      <c r="C174" s="185" t="s">
        <v>797</v>
      </c>
      <c r="D174" s="186"/>
      <c r="E174" s="155" t="s">
        <v>798</v>
      </c>
      <c r="F174" s="155" t="s">
        <v>621</v>
      </c>
      <c r="G174" s="155" t="s">
        <v>799</v>
      </c>
      <c r="H174" s="155" t="s">
        <v>800</v>
      </c>
      <c r="I174" s="155" t="s">
        <v>777</v>
      </c>
      <c r="J174" s="155" t="s">
        <v>801</v>
      </c>
      <c r="K174" s="155" t="s">
        <v>802</v>
      </c>
      <c r="L174" s="197" t="s">
        <v>619</v>
      </c>
      <c r="M174" s="70"/>
      <c r="N174" s="22"/>
      <c r="O174" s="7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</row>
    <row r="175" spans="1:45" ht="12.75" customHeight="1" x14ac:dyDescent="0.25">
      <c r="A175" s="20"/>
      <c r="B175" s="20"/>
      <c r="C175" s="187" t="s">
        <v>803</v>
      </c>
      <c r="D175" s="188"/>
      <c r="E175" s="189">
        <v>0.80300000000000005</v>
      </c>
      <c r="F175" s="189">
        <v>42816.831863606341</v>
      </c>
      <c r="G175" s="189">
        <f t="shared" ref="G175:G190" si="48">E175*$H$144</f>
        <v>3.0396856753999999</v>
      </c>
      <c r="H175" s="189">
        <f t="shared" ref="H175:H190" si="49">E175*F175</f>
        <v>34381.915986475891</v>
      </c>
      <c r="I175" s="189">
        <f t="shared" ref="I175:I190" si="50">H175/($H$149*1000000000)</f>
        <v>5.4662878402362081</v>
      </c>
      <c r="J175" s="189">
        <f t="shared" ref="J175:J190" si="51">I175*1000000/$H$150</f>
        <v>5181.0404758005343</v>
      </c>
      <c r="K175" s="189">
        <f t="shared" ref="K175:K190" si="52">I175*1000/$H$151</f>
        <v>1.5184132889545023</v>
      </c>
      <c r="L175" s="190">
        <v>73939.639375102066</v>
      </c>
      <c r="M175" s="70">
        <v>3</v>
      </c>
      <c r="N175" s="22">
        <f t="shared" ref="N175:N216" si="53">M175*25</f>
        <v>75</v>
      </c>
      <c r="O175" s="70">
        <v>0.6</v>
      </c>
      <c r="P175" s="20">
        <f t="shared" ref="P175:P216" si="54">O175*310</f>
        <v>186</v>
      </c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</row>
    <row r="176" spans="1:45" ht="12.75" customHeight="1" x14ac:dyDescent="0.25">
      <c r="A176" s="20"/>
      <c r="B176" s="20"/>
      <c r="C176" s="191" t="s">
        <v>69</v>
      </c>
      <c r="D176" s="192"/>
      <c r="E176" s="180">
        <v>0.97</v>
      </c>
      <c r="F176" s="180">
        <v>39346.885349170327</v>
      </c>
      <c r="G176" s="180">
        <f t="shared" si="48"/>
        <v>3.671849446</v>
      </c>
      <c r="H176" s="180">
        <f t="shared" si="49"/>
        <v>38166.478788695218</v>
      </c>
      <c r="I176" s="180">
        <f t="shared" si="50"/>
        <v>6.0679852451894165</v>
      </c>
      <c r="J176" s="180">
        <f t="shared" si="51"/>
        <v>5751.3394977986154</v>
      </c>
      <c r="K176" s="180">
        <f t="shared" si="52"/>
        <v>1.6855514569970602</v>
      </c>
      <c r="L176" s="179">
        <v>80460.272244806489</v>
      </c>
      <c r="M176" s="70">
        <v>3</v>
      </c>
      <c r="N176" s="22">
        <f t="shared" si="53"/>
        <v>75</v>
      </c>
      <c r="O176" s="70">
        <v>0.6</v>
      </c>
      <c r="P176" s="20">
        <f t="shared" si="54"/>
        <v>186</v>
      </c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</row>
    <row r="177" spans="1:45" ht="12.75" customHeight="1" x14ac:dyDescent="0.25">
      <c r="A177" s="20"/>
      <c r="B177" s="20"/>
      <c r="C177" s="187" t="s">
        <v>804</v>
      </c>
      <c r="D177" s="188"/>
      <c r="E177" s="189">
        <v>0.94140000000000001</v>
      </c>
      <c r="F177" s="189">
        <v>40670.462586675276</v>
      </c>
      <c r="G177" s="189">
        <f t="shared" si="48"/>
        <v>3.5635866685199997</v>
      </c>
      <c r="H177" s="189">
        <f t="shared" si="49"/>
        <v>38287.173479096105</v>
      </c>
      <c r="I177" s="189">
        <f t="shared" si="50"/>
        <v>6.0871741676095334</v>
      </c>
      <c r="J177" s="189">
        <f t="shared" si="51"/>
        <v>5769.5270844481556</v>
      </c>
      <c r="K177" s="189">
        <f t="shared" si="52"/>
        <v>1.6908817132248704</v>
      </c>
      <c r="L177" s="190">
        <v>77841.777688967137</v>
      </c>
      <c r="M177" s="70">
        <v>3</v>
      </c>
      <c r="N177" s="22">
        <f t="shared" si="53"/>
        <v>75</v>
      </c>
      <c r="O177" s="70">
        <v>0.6</v>
      </c>
      <c r="P177" s="20">
        <f t="shared" si="54"/>
        <v>186</v>
      </c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</row>
    <row r="178" spans="1:45" ht="12.75" customHeight="1" x14ac:dyDescent="0.25">
      <c r="A178" s="20"/>
      <c r="B178" s="20"/>
      <c r="C178" s="191" t="s">
        <v>805</v>
      </c>
      <c r="D178" s="192"/>
      <c r="E178" s="180">
        <v>0.69599999999999995</v>
      </c>
      <c r="F178" s="180">
        <v>43030.226535559123</v>
      </c>
      <c r="G178" s="180">
        <f t="shared" si="48"/>
        <v>2.6346466127999997</v>
      </c>
      <c r="H178" s="180">
        <f t="shared" si="49"/>
        <v>29949.037668749148</v>
      </c>
      <c r="I178" s="180">
        <f t="shared" si="50"/>
        <v>4.7615165047769556</v>
      </c>
      <c r="J178" s="180">
        <f t="shared" si="51"/>
        <v>4513.0462314578144</v>
      </c>
      <c r="K178" s="180">
        <f t="shared" si="52"/>
        <v>1.3226434735491543</v>
      </c>
      <c r="L178" s="179">
        <v>56337.812381502488</v>
      </c>
      <c r="M178" s="70">
        <v>3</v>
      </c>
      <c r="N178" s="22">
        <f t="shared" si="53"/>
        <v>75</v>
      </c>
      <c r="O178" s="70">
        <v>0.6</v>
      </c>
      <c r="P178" s="20">
        <f t="shared" si="54"/>
        <v>186</v>
      </c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</row>
    <row r="179" spans="1:45" ht="12.75" customHeight="1" x14ac:dyDescent="0.25">
      <c r="A179" s="20"/>
      <c r="B179" s="20"/>
      <c r="C179" s="187" t="s">
        <v>638</v>
      </c>
      <c r="D179" s="188"/>
      <c r="E179" s="189">
        <v>0.82599999999999996</v>
      </c>
      <c r="F179" s="189">
        <v>35576.910585045494</v>
      </c>
      <c r="G179" s="189">
        <f t="shared" si="48"/>
        <v>3.1267501467999996</v>
      </c>
      <c r="H179" s="189">
        <f t="shared" si="49"/>
        <v>29386.528143247579</v>
      </c>
      <c r="I179" s="189">
        <f t="shared" si="50"/>
        <v>4.672084636568222</v>
      </c>
      <c r="J179" s="189">
        <f t="shared" si="51"/>
        <v>4428.2811875087409</v>
      </c>
      <c r="K179" s="189">
        <f t="shared" si="52"/>
        <v>1.2978012879356171</v>
      </c>
      <c r="L179" s="190">
        <v>88461.130571335641</v>
      </c>
      <c r="M179" s="70">
        <v>3</v>
      </c>
      <c r="N179" s="22">
        <f t="shared" si="53"/>
        <v>75</v>
      </c>
      <c r="O179" s="70">
        <v>0.6</v>
      </c>
      <c r="P179" s="20">
        <f t="shared" si="54"/>
        <v>186</v>
      </c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</row>
    <row r="180" spans="1:45" ht="12.75" customHeight="1" x14ac:dyDescent="0.25">
      <c r="A180" s="20"/>
      <c r="B180" s="20"/>
      <c r="C180" s="191" t="s">
        <v>806</v>
      </c>
      <c r="D180" s="192"/>
      <c r="E180" s="180">
        <v>0.86070000000000002</v>
      </c>
      <c r="F180" s="180">
        <v>42149.657430561099</v>
      </c>
      <c r="G180" s="180">
        <f t="shared" si="48"/>
        <v>3.2581039362599999</v>
      </c>
      <c r="H180" s="180">
        <f t="shared" si="49"/>
        <v>36278.210150483937</v>
      </c>
      <c r="I180" s="180">
        <f t="shared" si="50"/>
        <v>5.7677745210339104</v>
      </c>
      <c r="J180" s="180">
        <f t="shared" si="51"/>
        <v>5466.7946734902316</v>
      </c>
      <c r="K180" s="180">
        <f t="shared" si="52"/>
        <v>1.6021595891760863</v>
      </c>
      <c r="L180" s="179">
        <v>74831.822793995394</v>
      </c>
      <c r="M180" s="70">
        <v>3</v>
      </c>
      <c r="N180" s="22">
        <f t="shared" si="53"/>
        <v>75</v>
      </c>
      <c r="O180" s="70">
        <v>0.6</v>
      </c>
      <c r="P180" s="20">
        <f t="shared" si="54"/>
        <v>186</v>
      </c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</row>
    <row r="181" spans="1:45" ht="12.75" customHeight="1" x14ac:dyDescent="0.25">
      <c r="A181" s="20"/>
      <c r="B181" s="20"/>
      <c r="C181" s="187" t="s">
        <v>807</v>
      </c>
      <c r="D181" s="188"/>
      <c r="E181" s="189">
        <v>0.87509999999999999</v>
      </c>
      <c r="F181" s="189">
        <v>37907.854789510107</v>
      </c>
      <c r="G181" s="189">
        <f t="shared" si="48"/>
        <v>3.31261386618</v>
      </c>
      <c r="H181" s="189">
        <f t="shared" si="49"/>
        <v>33173.163726300292</v>
      </c>
      <c r="I181" s="189">
        <f t="shared" si="50"/>
        <v>5.274111587340502</v>
      </c>
      <c r="J181" s="189">
        <f t="shared" si="51"/>
        <v>4998.8925586324349</v>
      </c>
      <c r="K181" s="189">
        <f t="shared" si="52"/>
        <v>1.4650309964834729</v>
      </c>
      <c r="L181" s="190">
        <v>54806.487022879926</v>
      </c>
      <c r="M181" s="70">
        <v>3</v>
      </c>
      <c r="N181" s="22">
        <f t="shared" si="53"/>
        <v>75</v>
      </c>
      <c r="O181" s="70">
        <v>0.6</v>
      </c>
      <c r="P181" s="20">
        <f t="shared" si="54"/>
        <v>186</v>
      </c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</row>
    <row r="182" spans="1:45" ht="12.75" customHeight="1" x14ac:dyDescent="0.25">
      <c r="A182" s="20"/>
      <c r="B182" s="20"/>
      <c r="C182" s="191" t="s">
        <v>808</v>
      </c>
      <c r="D182" s="192"/>
      <c r="E182" s="180">
        <v>0.82079999999999997</v>
      </c>
      <c r="F182" s="180">
        <v>22480.19962297516</v>
      </c>
      <c r="G182" s="180">
        <f t="shared" si="48"/>
        <v>3.1070660054399997</v>
      </c>
      <c r="H182" s="180">
        <f t="shared" si="49"/>
        <v>18451.74785053801</v>
      </c>
      <c r="I182" s="180">
        <f t="shared" si="50"/>
        <v>2.9335934898501512</v>
      </c>
      <c r="J182" s="180">
        <f t="shared" si="51"/>
        <v>2780.5097453122407</v>
      </c>
      <c r="K182" s="180">
        <f t="shared" si="52"/>
        <v>0.81488708051393099</v>
      </c>
      <c r="L182" s="179">
        <v>84758.116120746723</v>
      </c>
      <c r="M182" s="70">
        <v>3</v>
      </c>
      <c r="N182" s="22">
        <f t="shared" si="53"/>
        <v>75</v>
      </c>
      <c r="O182" s="70">
        <v>0.6</v>
      </c>
      <c r="P182" s="20">
        <f t="shared" si="54"/>
        <v>186</v>
      </c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</row>
    <row r="183" spans="1:45" ht="12.75" customHeight="1" x14ac:dyDescent="0.25">
      <c r="A183" s="20"/>
      <c r="B183" s="20"/>
      <c r="C183" s="187" t="s">
        <v>809</v>
      </c>
      <c r="D183" s="188"/>
      <c r="E183" s="189">
        <v>0.84930000000000005</v>
      </c>
      <c r="F183" s="189">
        <v>40442.162000000004</v>
      </c>
      <c r="G183" s="189">
        <f t="shared" si="48"/>
        <v>3.21495024174</v>
      </c>
      <c r="H183" s="189">
        <f t="shared" si="49"/>
        <v>34347.528186600008</v>
      </c>
      <c r="I183" s="189">
        <f t="shared" si="50"/>
        <v>5.4608206169323079</v>
      </c>
      <c r="J183" s="189">
        <f t="shared" si="51"/>
        <v>5175.8585486763814</v>
      </c>
      <c r="K183" s="189">
        <f t="shared" si="52"/>
        <v>1.5168946158145298</v>
      </c>
      <c r="L183" s="190">
        <v>78281.203343664762</v>
      </c>
      <c r="M183" s="70">
        <v>3</v>
      </c>
      <c r="N183" s="22">
        <f t="shared" si="53"/>
        <v>75</v>
      </c>
      <c r="O183" s="70">
        <v>0.6</v>
      </c>
      <c r="P183" s="20">
        <f t="shared" si="54"/>
        <v>186</v>
      </c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</row>
    <row r="184" spans="1:45" ht="12.75" customHeight="1" x14ac:dyDescent="0.25">
      <c r="A184" s="20"/>
      <c r="B184" s="20"/>
      <c r="C184" s="191" t="s">
        <v>810</v>
      </c>
      <c r="D184" s="192"/>
      <c r="E184" s="180">
        <v>0.74050000000000005</v>
      </c>
      <c r="F184" s="180">
        <v>45329.53267685703</v>
      </c>
      <c r="G184" s="180">
        <f t="shared" si="48"/>
        <v>2.8030974379</v>
      </c>
      <c r="H184" s="180">
        <f t="shared" si="49"/>
        <v>33566.518947212637</v>
      </c>
      <c r="I184" s="180">
        <f t="shared" si="50"/>
        <v>5.336650070123496</v>
      </c>
      <c r="J184" s="180">
        <f t="shared" si="51"/>
        <v>5058.1675950124891</v>
      </c>
      <c r="K184" s="180">
        <f t="shared" si="52"/>
        <v>1.4824027972565268</v>
      </c>
      <c r="L184" s="179">
        <v>69323.685875271418</v>
      </c>
      <c r="M184" s="70">
        <v>3</v>
      </c>
      <c r="N184" s="22">
        <f t="shared" si="53"/>
        <v>75</v>
      </c>
      <c r="O184" s="70">
        <v>0.6</v>
      </c>
      <c r="P184" s="20">
        <f t="shared" si="54"/>
        <v>186</v>
      </c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</row>
    <row r="185" spans="1:45" ht="12.75" customHeight="1" x14ac:dyDescent="0.25">
      <c r="A185" s="20"/>
      <c r="B185" s="20"/>
      <c r="C185" s="187" t="s">
        <v>811</v>
      </c>
      <c r="D185" s="188"/>
      <c r="E185" s="189">
        <v>0.85760000000000003</v>
      </c>
      <c r="F185" s="189">
        <v>41869.435674091314</v>
      </c>
      <c r="G185" s="189">
        <f t="shared" si="48"/>
        <v>3.2463691596799999</v>
      </c>
      <c r="H185" s="189">
        <f t="shared" si="49"/>
        <v>35907.228034100714</v>
      </c>
      <c r="I185" s="189">
        <f t="shared" si="50"/>
        <v>5.7087930776341773</v>
      </c>
      <c r="J185" s="189">
        <f t="shared" si="51"/>
        <v>5410.8910594643103</v>
      </c>
      <c r="K185" s="189">
        <f t="shared" si="52"/>
        <v>1.5857758548983827</v>
      </c>
      <c r="L185" s="190">
        <v>65207.202864739491</v>
      </c>
      <c r="M185" s="70">
        <v>1</v>
      </c>
      <c r="N185" s="22">
        <f t="shared" si="53"/>
        <v>25</v>
      </c>
      <c r="O185" s="70">
        <v>0.6</v>
      </c>
      <c r="P185" s="20">
        <f t="shared" si="54"/>
        <v>186</v>
      </c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</row>
    <row r="186" spans="1:45" ht="12.75" customHeight="1" x14ac:dyDescent="0.25">
      <c r="A186" s="20"/>
      <c r="B186" s="20"/>
      <c r="C186" s="191" t="s">
        <v>812</v>
      </c>
      <c r="D186" s="192"/>
      <c r="E186" s="180">
        <v>0.85189999999999999</v>
      </c>
      <c r="F186" s="180">
        <v>42418.466233751533</v>
      </c>
      <c r="G186" s="180">
        <f t="shared" si="48"/>
        <v>3.22479231242</v>
      </c>
      <c r="H186" s="180">
        <f t="shared" si="49"/>
        <v>36136.291384532931</v>
      </c>
      <c r="I186" s="180">
        <f t="shared" si="50"/>
        <v>5.7452112402404705</v>
      </c>
      <c r="J186" s="180">
        <f t="shared" si="51"/>
        <v>5445.4088126511488</v>
      </c>
      <c r="K186" s="180">
        <f t="shared" si="52"/>
        <v>1.5958920111779082</v>
      </c>
      <c r="L186" s="179">
        <v>74193.482509376976</v>
      </c>
      <c r="M186" s="70">
        <v>1</v>
      </c>
      <c r="N186" s="22">
        <f t="shared" si="53"/>
        <v>25</v>
      </c>
      <c r="O186" s="70">
        <v>0.6</v>
      </c>
      <c r="P186" s="20">
        <f t="shared" si="54"/>
        <v>186</v>
      </c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</row>
    <row r="187" spans="1:45" ht="12.75" customHeight="1" x14ac:dyDescent="0.25">
      <c r="A187" s="20"/>
      <c r="B187" s="20"/>
      <c r="C187" s="187" t="s">
        <v>648</v>
      </c>
      <c r="D187" s="188"/>
      <c r="E187" s="189">
        <v>0.74119999999999997</v>
      </c>
      <c r="F187" s="189">
        <v>40659.333347540545</v>
      </c>
      <c r="G187" s="189">
        <f t="shared" si="48"/>
        <v>2.8057472261599998</v>
      </c>
      <c r="H187" s="189">
        <f t="shared" si="49"/>
        <v>30136.69787719705</v>
      </c>
      <c r="I187" s="189">
        <f t="shared" si="50"/>
        <v>4.7913520938098202</v>
      </c>
      <c r="J187" s="189">
        <f t="shared" si="51"/>
        <v>4541.3249095875663</v>
      </c>
      <c r="K187" s="189">
        <f t="shared" si="52"/>
        <v>1.3309311371693944</v>
      </c>
      <c r="L187" s="190">
        <v>66778.409255501349</v>
      </c>
      <c r="M187" s="70">
        <v>3</v>
      </c>
      <c r="N187" s="22">
        <f t="shared" si="53"/>
        <v>75</v>
      </c>
      <c r="O187" s="70">
        <v>0.6</v>
      </c>
      <c r="P187" s="20">
        <f t="shared" si="54"/>
        <v>186</v>
      </c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</row>
    <row r="188" spans="1:45" ht="12.75" customHeight="1" x14ac:dyDescent="0.25">
      <c r="A188" s="20"/>
      <c r="B188" s="20"/>
      <c r="C188" s="191" t="s">
        <v>813</v>
      </c>
      <c r="D188" s="192"/>
      <c r="E188" s="180">
        <v>0.74050000000000016</v>
      </c>
      <c r="F188" s="180">
        <v>45329.53267685703</v>
      </c>
      <c r="G188" s="180">
        <f t="shared" si="48"/>
        <v>2.8030974379000004</v>
      </c>
      <c r="H188" s="180">
        <f t="shared" si="49"/>
        <v>33566.518947212637</v>
      </c>
      <c r="I188" s="180">
        <f t="shared" si="50"/>
        <v>5.336650070123496</v>
      </c>
      <c r="J188" s="180">
        <f t="shared" si="51"/>
        <v>5058.1675950124891</v>
      </c>
      <c r="K188" s="180">
        <f t="shared" si="52"/>
        <v>1.4824027972565268</v>
      </c>
      <c r="L188" s="179">
        <v>69323.685875271418</v>
      </c>
      <c r="M188" s="70">
        <v>1</v>
      </c>
      <c r="N188" s="22">
        <f t="shared" si="53"/>
        <v>25</v>
      </c>
      <c r="O188" s="70">
        <v>0.6</v>
      </c>
      <c r="P188" s="20">
        <f t="shared" si="54"/>
        <v>186</v>
      </c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</row>
    <row r="189" spans="1:45" ht="12.75" customHeight="1" x14ac:dyDescent="0.25">
      <c r="A189" s="20"/>
      <c r="B189" s="20"/>
      <c r="C189" s="187" t="s">
        <v>814</v>
      </c>
      <c r="D189" s="188"/>
      <c r="E189" s="189">
        <v>0.85189999999999999</v>
      </c>
      <c r="F189" s="189">
        <v>41869.435674091314</v>
      </c>
      <c r="G189" s="189">
        <f t="shared" si="48"/>
        <v>3.22479231242</v>
      </c>
      <c r="H189" s="189">
        <f t="shared" si="49"/>
        <v>35668.572250758392</v>
      </c>
      <c r="I189" s="189">
        <f t="shared" si="50"/>
        <v>5.6708498400612823</v>
      </c>
      <c r="J189" s="189">
        <f t="shared" si="51"/>
        <v>5374.9278143162855</v>
      </c>
      <c r="K189" s="189">
        <f t="shared" si="52"/>
        <v>1.5752360666836895</v>
      </c>
      <c r="L189" s="190">
        <v>75166.375708662934</v>
      </c>
      <c r="M189" s="70">
        <v>1</v>
      </c>
      <c r="N189" s="22">
        <f t="shared" si="53"/>
        <v>25</v>
      </c>
      <c r="O189" s="70">
        <v>0.6</v>
      </c>
      <c r="P189" s="20">
        <f t="shared" si="54"/>
        <v>186</v>
      </c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</row>
    <row r="190" spans="1:45" ht="12.75" customHeight="1" x14ac:dyDescent="0.25">
      <c r="A190" s="20"/>
      <c r="B190" s="20"/>
      <c r="C190" s="198" t="s">
        <v>815</v>
      </c>
      <c r="D190" s="199"/>
      <c r="E190" s="200">
        <f>2.1/H144</f>
        <v>0.55476130760727282</v>
      </c>
      <c r="F190" s="200">
        <v>45989.410956446904</v>
      </c>
      <c r="G190" s="200">
        <f t="shared" si="48"/>
        <v>2.1</v>
      </c>
      <c r="H190" s="200">
        <f t="shared" si="49"/>
        <v>25513.145758286722</v>
      </c>
      <c r="I190" s="200">
        <f t="shared" si="50"/>
        <v>4.0562660463586173</v>
      </c>
      <c r="J190" s="200">
        <f t="shared" si="51"/>
        <v>3844.5978662351736</v>
      </c>
      <c r="K190" s="200">
        <f t="shared" si="52"/>
        <v>1.1267405684329492</v>
      </c>
      <c r="L190" s="201">
        <v>47289.338246831365</v>
      </c>
      <c r="M190" s="70">
        <v>1</v>
      </c>
      <c r="N190" s="22">
        <f t="shared" si="53"/>
        <v>25</v>
      </c>
      <c r="O190" s="70">
        <v>0.1</v>
      </c>
      <c r="P190" s="20">
        <f t="shared" si="54"/>
        <v>31</v>
      </c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</row>
    <row r="191" spans="1:45" ht="12.75" customHeight="1" x14ac:dyDescent="0.25">
      <c r="A191" s="20"/>
      <c r="B191" s="20"/>
      <c r="C191" s="185" t="s">
        <v>816</v>
      </c>
      <c r="D191" s="186"/>
      <c r="E191" s="155"/>
      <c r="F191" s="155" t="s">
        <v>621</v>
      </c>
      <c r="G191" s="155" t="s">
        <v>817</v>
      </c>
      <c r="H191" s="155"/>
      <c r="I191" s="155"/>
      <c r="J191" s="155" t="s">
        <v>801</v>
      </c>
      <c r="K191" s="155" t="s">
        <v>818</v>
      </c>
      <c r="L191" s="197" t="s">
        <v>619</v>
      </c>
      <c r="M191" s="70"/>
      <c r="N191" s="22">
        <f t="shared" si="53"/>
        <v>0</v>
      </c>
      <c r="O191" s="70"/>
      <c r="P191" s="20">
        <f t="shared" si="54"/>
        <v>0</v>
      </c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</row>
    <row r="192" spans="1:45" ht="12.75" customHeight="1" x14ac:dyDescent="0.25">
      <c r="A192" s="20"/>
      <c r="B192" s="20"/>
      <c r="C192" s="187" t="s">
        <v>819</v>
      </c>
      <c r="D192" s="188"/>
      <c r="E192" s="189"/>
      <c r="F192" s="189">
        <v>28760.237670076764</v>
      </c>
      <c r="G192" s="189">
        <f t="shared" ref="G192:G216" si="55">F192/1000</f>
        <v>28.760237670076762</v>
      </c>
      <c r="H192" s="189"/>
      <c r="I192" s="189"/>
      <c r="J192" s="189">
        <f t="shared" ref="J192:J216" si="56">G192*1000000/$H$150</f>
        <v>27259.441840126743</v>
      </c>
      <c r="K192" s="189">
        <f t="shared" ref="K192:K216" si="57">G192*1000/$H$151</f>
        <v>7.9889549083546569</v>
      </c>
      <c r="L192" s="190">
        <v>88136.018640712296</v>
      </c>
      <c r="M192" s="70">
        <v>1</v>
      </c>
      <c r="N192" s="22">
        <f t="shared" si="53"/>
        <v>25</v>
      </c>
      <c r="O192" s="70">
        <v>1.5</v>
      </c>
      <c r="P192" s="20">
        <f t="shared" si="54"/>
        <v>465</v>
      </c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</row>
    <row r="193" spans="1:45" ht="12.75" customHeight="1" x14ac:dyDescent="0.25">
      <c r="A193" s="20"/>
      <c r="B193" s="20"/>
      <c r="C193" s="191" t="s">
        <v>820</v>
      </c>
      <c r="D193" s="192"/>
      <c r="E193" s="180"/>
      <c r="F193" s="180">
        <v>26622.365041004105</v>
      </c>
      <c r="G193" s="180">
        <f t="shared" si="55"/>
        <v>26.622365041004105</v>
      </c>
      <c r="H193" s="180"/>
      <c r="I193" s="180"/>
      <c r="J193" s="180">
        <f t="shared" si="56"/>
        <v>25233.129844296516</v>
      </c>
      <c r="K193" s="180">
        <f t="shared" si="57"/>
        <v>7.3951014002789179</v>
      </c>
      <c r="L193" s="179">
        <v>81163.161565699658</v>
      </c>
      <c r="M193" s="70">
        <v>1</v>
      </c>
      <c r="N193" s="22">
        <f t="shared" si="53"/>
        <v>25</v>
      </c>
      <c r="O193" s="70">
        <v>1.5</v>
      </c>
      <c r="P193" s="20">
        <f t="shared" si="54"/>
        <v>465</v>
      </c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</row>
    <row r="194" spans="1:45" ht="12.75" customHeight="1" x14ac:dyDescent="0.25">
      <c r="A194" s="20"/>
      <c r="B194" s="20"/>
      <c r="C194" s="187" t="s">
        <v>821</v>
      </c>
      <c r="D194" s="188"/>
      <c r="E194" s="189"/>
      <c r="F194" s="189">
        <v>30416.887533401004</v>
      </c>
      <c r="G194" s="189">
        <f t="shared" si="55"/>
        <v>30.416887533401006</v>
      </c>
      <c r="H194" s="189"/>
      <c r="I194" s="189"/>
      <c r="J194" s="189">
        <f t="shared" si="56"/>
        <v>28829.642723609933</v>
      </c>
      <c r="K194" s="189">
        <f t="shared" si="57"/>
        <v>8.4491354259447231</v>
      </c>
      <c r="L194" s="190">
        <v>95146.406011433093</v>
      </c>
      <c r="M194" s="70">
        <v>1</v>
      </c>
      <c r="N194" s="22">
        <f t="shared" si="53"/>
        <v>25</v>
      </c>
      <c r="O194" s="70">
        <v>1.5</v>
      </c>
      <c r="P194" s="20">
        <f t="shared" si="54"/>
        <v>465</v>
      </c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</row>
    <row r="195" spans="1:45" ht="12.75" customHeight="1" x14ac:dyDescent="0.25">
      <c r="A195" s="20"/>
      <c r="B195" s="20"/>
      <c r="C195" s="191" t="s">
        <v>822</v>
      </c>
      <c r="D195" s="192"/>
      <c r="E195" s="180"/>
      <c r="F195" s="180">
        <v>29170.195087514916</v>
      </c>
      <c r="G195" s="180">
        <f t="shared" si="55"/>
        <v>29.170195087514916</v>
      </c>
      <c r="H195" s="180"/>
      <c r="I195" s="180"/>
      <c r="J195" s="180">
        <f t="shared" si="56"/>
        <v>27648.006444695744</v>
      </c>
      <c r="K195" s="180">
        <f t="shared" si="57"/>
        <v>8.1028319687541437</v>
      </c>
      <c r="L195" s="179">
        <v>75915.137965351329</v>
      </c>
      <c r="M195" s="70">
        <v>1</v>
      </c>
      <c r="N195" s="22">
        <f t="shared" si="53"/>
        <v>25</v>
      </c>
      <c r="O195" s="70">
        <v>1.5</v>
      </c>
      <c r="P195" s="20">
        <f t="shared" si="54"/>
        <v>465</v>
      </c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</row>
    <row r="196" spans="1:45" ht="12.75" customHeight="1" x14ac:dyDescent="0.25">
      <c r="A196" s="20"/>
      <c r="B196" s="20"/>
      <c r="C196" s="187" t="s">
        <v>823</v>
      </c>
      <c r="D196" s="188"/>
      <c r="E196" s="189"/>
      <c r="F196" s="189">
        <v>31212.294776583451</v>
      </c>
      <c r="G196" s="189">
        <f t="shared" si="55"/>
        <v>31.212294776583452</v>
      </c>
      <c r="H196" s="189"/>
      <c r="I196" s="189"/>
      <c r="J196" s="189">
        <f t="shared" si="56"/>
        <v>29583.543221007654</v>
      </c>
      <c r="K196" s="189">
        <f t="shared" si="57"/>
        <v>8.6700818823842916</v>
      </c>
      <c r="L196" s="190">
        <v>80341.164884007187</v>
      </c>
      <c r="M196" s="70">
        <v>1</v>
      </c>
      <c r="N196" s="22">
        <f t="shared" si="53"/>
        <v>25</v>
      </c>
      <c r="O196" s="70">
        <v>1.5</v>
      </c>
      <c r="P196" s="20">
        <f t="shared" si="54"/>
        <v>465</v>
      </c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</row>
    <row r="197" spans="1:45" ht="12.75" customHeight="1" x14ac:dyDescent="0.25">
      <c r="A197" s="20"/>
      <c r="B197" s="20"/>
      <c r="C197" s="191" t="s">
        <v>824</v>
      </c>
      <c r="D197" s="192"/>
      <c r="E197" s="180"/>
      <c r="F197" s="180">
        <v>31229.263666666669</v>
      </c>
      <c r="G197" s="180">
        <f t="shared" si="55"/>
        <v>31.229263666666668</v>
      </c>
      <c r="H197" s="180"/>
      <c r="I197" s="180"/>
      <c r="J197" s="180">
        <f t="shared" si="56"/>
        <v>29599.62662329456</v>
      </c>
      <c r="K197" s="180">
        <f t="shared" si="57"/>
        <v>8.6747954629629636</v>
      </c>
      <c r="L197" s="179">
        <v>90067.932924215478</v>
      </c>
      <c r="M197" s="70">
        <v>1</v>
      </c>
      <c r="N197" s="22">
        <f t="shared" si="53"/>
        <v>25</v>
      </c>
      <c r="O197" s="70">
        <v>1.5</v>
      </c>
      <c r="P197" s="20">
        <f t="shared" si="54"/>
        <v>465</v>
      </c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</row>
    <row r="198" spans="1:45" ht="12.75" customHeight="1" x14ac:dyDescent="0.25">
      <c r="A198" s="20"/>
      <c r="B198" s="20"/>
      <c r="C198" s="187" t="s">
        <v>825</v>
      </c>
      <c r="D198" s="188"/>
      <c r="E198" s="189"/>
      <c r="F198" s="189">
        <v>20947.59350251879</v>
      </c>
      <c r="G198" s="189">
        <f t="shared" si="55"/>
        <v>20.947593502518789</v>
      </c>
      <c r="H198" s="189"/>
      <c r="I198" s="189"/>
      <c r="J198" s="189">
        <f t="shared" si="56"/>
        <v>19854.484977592456</v>
      </c>
      <c r="K198" s="189">
        <f t="shared" si="57"/>
        <v>5.8187759729218858</v>
      </c>
      <c r="L198" s="190">
        <v>90854.391229956236</v>
      </c>
      <c r="M198" s="70">
        <v>1</v>
      </c>
      <c r="N198" s="22">
        <f t="shared" si="53"/>
        <v>25</v>
      </c>
      <c r="O198" s="70">
        <v>1.5</v>
      </c>
      <c r="P198" s="20">
        <f t="shared" si="54"/>
        <v>465</v>
      </c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</row>
    <row r="199" spans="1:45" ht="12.75" customHeight="1" x14ac:dyDescent="0.25">
      <c r="A199" s="20"/>
      <c r="B199" s="20"/>
      <c r="C199" s="191" t="s">
        <v>826</v>
      </c>
      <c r="D199" s="192"/>
      <c r="E199" s="180"/>
      <c r="F199" s="180">
        <v>33076.688699879494</v>
      </c>
      <c r="G199" s="180">
        <f t="shared" si="55"/>
        <v>33.076688699879497</v>
      </c>
      <c r="H199" s="180"/>
      <c r="I199" s="180"/>
      <c r="J199" s="180">
        <f t="shared" si="56"/>
        <v>31350.647453670226</v>
      </c>
      <c r="K199" s="180">
        <f t="shared" si="57"/>
        <v>9.1879690832998602</v>
      </c>
      <c r="L199" s="179">
        <v>77405.137520676377</v>
      </c>
      <c r="M199" s="70">
        <v>1</v>
      </c>
      <c r="N199" s="22">
        <f t="shared" si="53"/>
        <v>25</v>
      </c>
      <c r="O199" s="70">
        <v>1.5</v>
      </c>
      <c r="P199" s="20">
        <f t="shared" si="54"/>
        <v>465</v>
      </c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</row>
    <row r="200" spans="1:45" ht="12.75" customHeight="1" x14ac:dyDescent="0.25">
      <c r="A200" s="20"/>
      <c r="B200" s="20"/>
      <c r="C200" s="187" t="s">
        <v>827</v>
      </c>
      <c r="D200" s="188"/>
      <c r="E200" s="189"/>
      <c r="F200" s="189">
        <v>29204.713770792197</v>
      </c>
      <c r="G200" s="189">
        <f t="shared" si="55"/>
        <v>29.204713770792196</v>
      </c>
      <c r="H200" s="189"/>
      <c r="I200" s="189"/>
      <c r="J200" s="189">
        <f t="shared" si="56"/>
        <v>27680.723839106358</v>
      </c>
      <c r="K200" s="189">
        <f t="shared" si="57"/>
        <v>8.1124204918867218</v>
      </c>
      <c r="L200" s="190">
        <v>92142.04125478481</v>
      </c>
      <c r="M200" s="70">
        <v>1</v>
      </c>
      <c r="N200" s="22">
        <f t="shared" si="53"/>
        <v>25</v>
      </c>
      <c r="O200" s="70">
        <v>1.5</v>
      </c>
      <c r="P200" s="20">
        <f t="shared" si="54"/>
        <v>465</v>
      </c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</row>
    <row r="201" spans="1:45" ht="12.75" customHeight="1" x14ac:dyDescent="0.25">
      <c r="A201" s="20"/>
      <c r="B201" s="20"/>
      <c r="C201" s="191" t="s">
        <v>828</v>
      </c>
      <c r="D201" s="192"/>
      <c r="E201" s="180"/>
      <c r="F201" s="180">
        <v>35206.206224646681</v>
      </c>
      <c r="G201" s="180">
        <f t="shared" si="55"/>
        <v>35.206206224646678</v>
      </c>
      <c r="H201" s="180"/>
      <c r="I201" s="180"/>
      <c r="J201" s="180">
        <f t="shared" si="56"/>
        <v>33369.040339703941</v>
      </c>
      <c r="K201" s="180">
        <f t="shared" si="57"/>
        <v>9.7795017290685227</v>
      </c>
      <c r="L201" s="179">
        <v>86711.808115560081</v>
      </c>
      <c r="M201" s="70">
        <v>1</v>
      </c>
      <c r="N201" s="22">
        <f t="shared" si="53"/>
        <v>25</v>
      </c>
      <c r="O201" s="70">
        <v>1.5</v>
      </c>
      <c r="P201" s="20">
        <f t="shared" si="54"/>
        <v>465</v>
      </c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</row>
    <row r="202" spans="1:45" ht="12.75" customHeight="1" x14ac:dyDescent="0.25">
      <c r="A202" s="20"/>
      <c r="B202" s="20"/>
      <c r="C202" s="187" t="s">
        <v>829</v>
      </c>
      <c r="D202" s="188"/>
      <c r="E202" s="189"/>
      <c r="F202" s="189">
        <v>24405.425301665378</v>
      </c>
      <c r="G202" s="189">
        <f t="shared" si="55"/>
        <v>24.405425301665378</v>
      </c>
      <c r="H202" s="189"/>
      <c r="I202" s="189"/>
      <c r="J202" s="189">
        <f t="shared" si="56"/>
        <v>23131.87669817088</v>
      </c>
      <c r="K202" s="189">
        <f t="shared" si="57"/>
        <v>6.7792848060181603</v>
      </c>
      <c r="L202" s="190">
        <v>93317.236202801345</v>
      </c>
      <c r="M202" s="70">
        <v>1</v>
      </c>
      <c r="N202" s="22">
        <f t="shared" si="53"/>
        <v>25</v>
      </c>
      <c r="O202" s="70">
        <v>1.5</v>
      </c>
      <c r="P202" s="20">
        <f t="shared" si="54"/>
        <v>465</v>
      </c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</row>
    <row r="203" spans="1:45" ht="12.75" customHeight="1" x14ac:dyDescent="0.25">
      <c r="A203" s="20"/>
      <c r="B203" s="20"/>
      <c r="C203" s="191" t="s">
        <v>830</v>
      </c>
      <c r="D203" s="192"/>
      <c r="E203" s="180"/>
      <c r="F203" s="180">
        <v>14742.946948893843</v>
      </c>
      <c r="G203" s="180">
        <f t="shared" si="55"/>
        <v>14.742946948893843</v>
      </c>
      <c r="H203" s="180"/>
      <c r="I203" s="180"/>
      <c r="J203" s="180">
        <f t="shared" si="56"/>
        <v>13973.61557006817</v>
      </c>
      <c r="K203" s="180">
        <f t="shared" si="57"/>
        <v>4.0952630413594004</v>
      </c>
      <c r="L203" s="179">
        <v>112929.71718206792</v>
      </c>
      <c r="M203" s="70">
        <v>30</v>
      </c>
      <c r="N203" s="22">
        <f t="shared" si="53"/>
        <v>750</v>
      </c>
      <c r="O203" s="70">
        <v>4</v>
      </c>
      <c r="P203" s="20">
        <f t="shared" si="54"/>
        <v>1240</v>
      </c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</row>
    <row r="204" spans="1:45" ht="12.75" customHeight="1" x14ac:dyDescent="0.25">
      <c r="A204" s="20"/>
      <c r="B204" s="20"/>
      <c r="C204" s="187" t="s">
        <v>831</v>
      </c>
      <c r="D204" s="188"/>
      <c r="E204" s="189"/>
      <c r="F204" s="189">
        <v>16639.711247080875</v>
      </c>
      <c r="G204" s="189">
        <f t="shared" si="55"/>
        <v>16.639711247080875</v>
      </c>
      <c r="H204" s="189"/>
      <c r="I204" s="189"/>
      <c r="J204" s="189">
        <f t="shared" si="56"/>
        <v>15771.400993957548</v>
      </c>
      <c r="K204" s="189">
        <f t="shared" si="57"/>
        <v>4.6221420130780206</v>
      </c>
      <c r="L204" s="190">
        <v>112371.9449612372</v>
      </c>
      <c r="M204" s="70">
        <v>30</v>
      </c>
      <c r="N204" s="22">
        <f t="shared" si="53"/>
        <v>750</v>
      </c>
      <c r="O204" s="70">
        <v>4</v>
      </c>
      <c r="P204" s="20">
        <f t="shared" si="54"/>
        <v>1240</v>
      </c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</row>
    <row r="205" spans="1:45" ht="12.75" customHeight="1" x14ac:dyDescent="0.25">
      <c r="A205" s="20"/>
      <c r="B205" s="20"/>
      <c r="C205" s="191" t="s">
        <v>832</v>
      </c>
      <c r="D205" s="192"/>
      <c r="E205" s="180"/>
      <c r="F205" s="180">
        <v>16770.969509684281</v>
      </c>
      <c r="G205" s="180">
        <f t="shared" si="55"/>
        <v>16.770969509684281</v>
      </c>
      <c r="H205" s="180"/>
      <c r="I205" s="180"/>
      <c r="J205" s="180">
        <f t="shared" si="56"/>
        <v>15895.809805057059</v>
      </c>
      <c r="K205" s="180">
        <f t="shared" si="57"/>
        <v>4.658602641578967</v>
      </c>
      <c r="L205" s="179">
        <v>104850.5458247817</v>
      </c>
      <c r="M205" s="70">
        <v>30</v>
      </c>
      <c r="N205" s="22">
        <f t="shared" si="53"/>
        <v>750</v>
      </c>
      <c r="O205" s="70">
        <v>4</v>
      </c>
      <c r="P205" s="20">
        <f t="shared" si="54"/>
        <v>1240</v>
      </c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</row>
    <row r="206" spans="1:45" ht="12.75" customHeight="1" x14ac:dyDescent="0.25">
      <c r="A206" s="20"/>
      <c r="B206" s="20"/>
      <c r="C206" s="187" t="s">
        <v>833</v>
      </c>
      <c r="D206" s="188"/>
      <c r="E206" s="189"/>
      <c r="F206" s="189">
        <v>18297.366669753734</v>
      </c>
      <c r="G206" s="189">
        <f t="shared" si="55"/>
        <v>18.297366669753735</v>
      </c>
      <c r="H206" s="189"/>
      <c r="I206" s="189"/>
      <c r="J206" s="189">
        <f t="shared" si="56"/>
        <v>17342.554963673712</v>
      </c>
      <c r="K206" s="189">
        <f t="shared" si="57"/>
        <v>5.0826018527093701</v>
      </c>
      <c r="L206" s="190">
        <v>107438.3302598291</v>
      </c>
      <c r="M206" s="70">
        <v>30</v>
      </c>
      <c r="N206" s="22">
        <f t="shared" si="53"/>
        <v>750</v>
      </c>
      <c r="O206" s="70">
        <v>4</v>
      </c>
      <c r="P206" s="20">
        <f t="shared" si="54"/>
        <v>1240</v>
      </c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</row>
    <row r="207" spans="1:45" ht="12.75" customHeight="1" x14ac:dyDescent="0.25">
      <c r="A207" s="20"/>
      <c r="B207" s="20"/>
      <c r="C207" s="191" t="s">
        <v>834</v>
      </c>
      <c r="D207" s="192"/>
      <c r="E207" s="180"/>
      <c r="F207" s="180">
        <v>14952.939269862525</v>
      </c>
      <c r="G207" s="180">
        <f t="shared" si="55"/>
        <v>14.952939269862526</v>
      </c>
      <c r="H207" s="180"/>
      <c r="I207" s="180"/>
      <c r="J207" s="180">
        <f t="shared" si="56"/>
        <v>14172.649859213658</v>
      </c>
      <c r="K207" s="180">
        <f t="shared" si="57"/>
        <v>4.153594241628479</v>
      </c>
      <c r="L207" s="179">
        <v>103875.93888249564</v>
      </c>
      <c r="M207" s="70">
        <v>30</v>
      </c>
      <c r="N207" s="22">
        <f t="shared" si="53"/>
        <v>750</v>
      </c>
      <c r="O207" s="70">
        <v>4</v>
      </c>
      <c r="P207" s="20">
        <f t="shared" si="54"/>
        <v>1240</v>
      </c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</row>
    <row r="208" spans="1:45" ht="12.75" customHeight="1" x14ac:dyDescent="0.25">
      <c r="A208" s="20"/>
      <c r="B208" s="20"/>
      <c r="C208" s="187" t="s">
        <v>835</v>
      </c>
      <c r="D208" s="188"/>
      <c r="E208" s="189"/>
      <c r="F208" s="189">
        <v>24506.211785179668</v>
      </c>
      <c r="G208" s="189">
        <f t="shared" si="55"/>
        <v>24.506211785179669</v>
      </c>
      <c r="H208" s="189"/>
      <c r="I208" s="189"/>
      <c r="J208" s="189">
        <f t="shared" si="56"/>
        <v>23227.403839397786</v>
      </c>
      <c r="K208" s="189">
        <f t="shared" si="57"/>
        <v>6.8072810514387969</v>
      </c>
      <c r="L208" s="190">
        <v>90676.956104587094</v>
      </c>
      <c r="M208" s="70">
        <v>30</v>
      </c>
      <c r="N208" s="22">
        <f t="shared" si="53"/>
        <v>750</v>
      </c>
      <c r="O208" s="70">
        <v>4</v>
      </c>
      <c r="P208" s="20">
        <f t="shared" si="54"/>
        <v>1240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</row>
    <row r="209" spans="1:45" ht="12.75" customHeight="1" x14ac:dyDescent="0.25">
      <c r="A209" s="20"/>
      <c r="B209" s="20"/>
      <c r="C209" s="191" t="s">
        <v>836</v>
      </c>
      <c r="D209" s="192"/>
      <c r="E209" s="180"/>
      <c r="F209" s="180">
        <v>17925.990538607581</v>
      </c>
      <c r="G209" s="180">
        <f t="shared" si="55"/>
        <v>17.925990538607582</v>
      </c>
      <c r="H209" s="180"/>
      <c r="I209" s="180"/>
      <c r="J209" s="180">
        <f t="shared" si="56"/>
        <v>16990.558357667822</v>
      </c>
      <c r="K209" s="180">
        <f t="shared" si="57"/>
        <v>4.9794418162798832</v>
      </c>
      <c r="L209" s="179">
        <v>104410.9003597283</v>
      </c>
      <c r="M209" s="70">
        <v>30</v>
      </c>
      <c r="N209" s="22">
        <f t="shared" si="53"/>
        <v>750</v>
      </c>
      <c r="O209" s="70">
        <v>4</v>
      </c>
      <c r="P209" s="20">
        <f t="shared" si="54"/>
        <v>1240</v>
      </c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</row>
    <row r="210" spans="1:45" ht="12.75" customHeight="1" x14ac:dyDescent="0.25">
      <c r="A210" s="20"/>
      <c r="B210" s="20"/>
      <c r="C210" s="187" t="s">
        <v>837</v>
      </c>
      <c r="D210" s="188"/>
      <c r="E210" s="189"/>
      <c r="F210" s="189">
        <v>16993.451114417207</v>
      </c>
      <c r="G210" s="189">
        <f t="shared" si="55"/>
        <v>16.993451114417205</v>
      </c>
      <c r="H210" s="189"/>
      <c r="I210" s="189"/>
      <c r="J210" s="189">
        <f t="shared" si="56"/>
        <v>16106.681649521168</v>
      </c>
      <c r="K210" s="189">
        <f t="shared" si="57"/>
        <v>4.7204030873381129</v>
      </c>
      <c r="L210" s="190">
        <v>89524.923242345176</v>
      </c>
      <c r="M210" s="70">
        <v>30</v>
      </c>
      <c r="N210" s="22">
        <f t="shared" si="53"/>
        <v>750</v>
      </c>
      <c r="O210" s="70">
        <v>4</v>
      </c>
      <c r="P210" s="20">
        <f t="shared" si="54"/>
        <v>1240</v>
      </c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</row>
    <row r="211" spans="1:45" ht="12.75" customHeight="1" x14ac:dyDescent="0.25">
      <c r="A211" s="20"/>
      <c r="B211" s="20"/>
      <c r="C211" s="191" t="s">
        <v>838</v>
      </c>
      <c r="D211" s="192"/>
      <c r="E211" s="180"/>
      <c r="F211" s="180">
        <v>16979.092464285328</v>
      </c>
      <c r="G211" s="180">
        <f t="shared" si="55"/>
        <v>16.979092464285326</v>
      </c>
      <c r="H211" s="180"/>
      <c r="I211" s="180"/>
      <c r="J211" s="180">
        <f t="shared" si="56"/>
        <v>16093.072277002666</v>
      </c>
      <c r="K211" s="180">
        <f t="shared" si="57"/>
        <v>4.7164145734125915</v>
      </c>
      <c r="L211" s="179">
        <v>115342.94546658927</v>
      </c>
      <c r="M211" s="70">
        <v>30</v>
      </c>
      <c r="N211" s="22">
        <f t="shared" si="53"/>
        <v>750</v>
      </c>
      <c r="O211" s="70">
        <v>4</v>
      </c>
      <c r="P211" s="20">
        <f t="shared" si="54"/>
        <v>1240</v>
      </c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</row>
    <row r="212" spans="1:45" ht="12.75" customHeight="1" x14ac:dyDescent="0.25">
      <c r="A212" s="20"/>
      <c r="B212" s="20"/>
      <c r="C212" s="187" t="s">
        <v>839</v>
      </c>
      <c r="D212" s="188"/>
      <c r="E212" s="189"/>
      <c r="F212" s="189">
        <v>18489</v>
      </c>
      <c r="G212" s="189">
        <f t="shared" si="55"/>
        <v>18.489000000000001</v>
      </c>
      <c r="H212" s="189"/>
      <c r="I212" s="189"/>
      <c r="J212" s="189">
        <f t="shared" si="56"/>
        <v>17524.18828953155</v>
      </c>
      <c r="K212" s="189">
        <f t="shared" si="57"/>
        <v>5.1358333333333333</v>
      </c>
      <c r="L212" s="190">
        <v>105650.94236696765</v>
      </c>
      <c r="M212" s="70">
        <v>30</v>
      </c>
      <c r="N212" s="22">
        <f t="shared" si="53"/>
        <v>750</v>
      </c>
      <c r="O212" s="70">
        <v>4</v>
      </c>
      <c r="P212" s="20">
        <f t="shared" si="54"/>
        <v>1240</v>
      </c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</row>
    <row r="213" spans="1:45" ht="12.75" customHeight="1" x14ac:dyDescent="0.25">
      <c r="A213" s="20"/>
      <c r="B213" s="20"/>
      <c r="C213" s="191" t="s">
        <v>840</v>
      </c>
      <c r="D213" s="192"/>
      <c r="E213" s="180"/>
      <c r="F213" s="180">
        <v>18969</v>
      </c>
      <c r="G213" s="180">
        <f t="shared" si="55"/>
        <v>18.969000000000001</v>
      </c>
      <c r="H213" s="180"/>
      <c r="I213" s="180"/>
      <c r="J213" s="180">
        <f t="shared" si="56"/>
        <v>17979.140443730001</v>
      </c>
      <c r="K213" s="180">
        <f t="shared" si="57"/>
        <v>5.269166666666667</v>
      </c>
      <c r="L213" s="179">
        <v>105720.48009857842</v>
      </c>
      <c r="M213" s="70">
        <v>30</v>
      </c>
      <c r="N213" s="22">
        <f t="shared" si="53"/>
        <v>750</v>
      </c>
      <c r="O213" s="70">
        <v>4</v>
      </c>
      <c r="P213" s="20">
        <f t="shared" si="54"/>
        <v>1240</v>
      </c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</row>
    <row r="214" spans="1:45" ht="12.75" customHeight="1" x14ac:dyDescent="0.25">
      <c r="A214" s="20"/>
      <c r="B214" s="20"/>
      <c r="C214" s="187" t="s">
        <v>841</v>
      </c>
      <c r="D214" s="188"/>
      <c r="E214" s="189"/>
      <c r="F214" s="189">
        <v>18694</v>
      </c>
      <c r="G214" s="189">
        <f t="shared" si="55"/>
        <v>18.693999999999999</v>
      </c>
      <c r="H214" s="189"/>
      <c r="I214" s="189"/>
      <c r="J214" s="189">
        <f t="shared" si="56"/>
        <v>17718.490772053807</v>
      </c>
      <c r="K214" s="189">
        <f t="shared" si="57"/>
        <v>5.1927777777777777</v>
      </c>
      <c r="L214" s="190">
        <v>103923.93919138091</v>
      </c>
      <c r="M214" s="70">
        <v>30</v>
      </c>
      <c r="N214" s="22">
        <f t="shared" si="53"/>
        <v>750</v>
      </c>
      <c r="O214" s="70">
        <v>4</v>
      </c>
      <c r="P214" s="20">
        <f t="shared" si="54"/>
        <v>1240</v>
      </c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</row>
    <row r="215" spans="1:45" ht="12.75" customHeight="1" x14ac:dyDescent="0.25">
      <c r="A215" s="20"/>
      <c r="B215" s="20"/>
      <c r="C215" s="191" t="s">
        <v>842</v>
      </c>
      <c r="D215" s="192"/>
      <c r="E215" s="180"/>
      <c r="F215" s="180">
        <v>18582</v>
      </c>
      <c r="G215" s="180">
        <f t="shared" si="55"/>
        <v>18.582000000000001</v>
      </c>
      <c r="H215" s="180"/>
      <c r="I215" s="180"/>
      <c r="J215" s="180">
        <f t="shared" si="56"/>
        <v>17612.3352694075</v>
      </c>
      <c r="K215" s="180">
        <f t="shared" si="57"/>
        <v>5.1616666666666671</v>
      </c>
      <c r="L215" s="179">
        <v>103978.4719117686</v>
      </c>
      <c r="M215" s="70">
        <v>30</v>
      </c>
      <c r="N215" s="22">
        <f t="shared" si="53"/>
        <v>750</v>
      </c>
      <c r="O215" s="70">
        <v>4</v>
      </c>
      <c r="P215" s="20">
        <f t="shared" si="54"/>
        <v>1240</v>
      </c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</row>
    <row r="216" spans="1:45" ht="12.75" customHeight="1" x14ac:dyDescent="0.25">
      <c r="A216" s="20"/>
      <c r="B216" s="20"/>
      <c r="C216" s="187" t="s">
        <v>843</v>
      </c>
      <c r="D216" s="188"/>
      <c r="E216" s="189"/>
      <c r="F216" s="189">
        <v>37920.740990303515</v>
      </c>
      <c r="G216" s="189">
        <f t="shared" si="55"/>
        <v>37.920740990303514</v>
      </c>
      <c r="H216" s="189"/>
      <c r="I216" s="189"/>
      <c r="J216" s="189">
        <f t="shared" si="56"/>
        <v>35941.92250487511</v>
      </c>
      <c r="K216" s="189">
        <f t="shared" si="57"/>
        <v>10.533539163973199</v>
      </c>
      <c r="L216" s="190">
        <v>77577.487802640724</v>
      </c>
      <c r="M216" s="70">
        <v>30</v>
      </c>
      <c r="N216" s="22">
        <f t="shared" si="53"/>
        <v>750</v>
      </c>
      <c r="O216" s="70">
        <v>0.1</v>
      </c>
      <c r="P216" s="20">
        <f t="shared" si="54"/>
        <v>31</v>
      </c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</row>
    <row r="217" spans="1:45" ht="12.75" customHeight="1" x14ac:dyDescent="0.25">
      <c r="A217" s="20"/>
      <c r="B217" s="20"/>
      <c r="C217" s="20"/>
      <c r="D217" s="20"/>
      <c r="E217" s="20"/>
      <c r="F217" s="20"/>
      <c r="G217" s="20"/>
      <c r="H217" s="20"/>
      <c r="I217" s="20"/>
      <c r="J217" s="21"/>
      <c r="K217" s="21"/>
      <c r="L217" s="21"/>
      <c r="M217" s="21"/>
      <c r="N217" s="22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</row>
    <row r="218" spans="1:45" ht="12.75" customHeight="1" x14ac:dyDescent="0.25">
      <c r="A218" s="20"/>
      <c r="B218" s="20"/>
      <c r="C218" s="20"/>
      <c r="D218" s="20"/>
      <c r="E218" s="20"/>
      <c r="F218" s="20"/>
      <c r="G218" s="20"/>
      <c r="H218" s="20"/>
      <c r="I218" s="20"/>
      <c r="J218" s="21"/>
      <c r="K218" s="21"/>
      <c r="L218" s="21"/>
      <c r="M218" s="21"/>
      <c r="N218" s="22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</row>
    <row r="219" spans="1:45" ht="12.75" customHeight="1" x14ac:dyDescent="0.25">
      <c r="A219" s="20"/>
      <c r="B219" s="156" t="s">
        <v>670</v>
      </c>
      <c r="C219" s="156" t="str">
        <f t="shared" ref="C219:C238" si="58">VLOOKUP(B219,$B$109:$L$138,2,FALSE)</f>
        <v>BAGAZO</v>
      </c>
      <c r="D219" s="20"/>
      <c r="E219" s="156">
        <v>1975</v>
      </c>
      <c r="F219" s="20"/>
      <c r="G219" s="20"/>
      <c r="H219" s="20"/>
      <c r="I219" s="20"/>
      <c r="J219" s="21"/>
      <c r="K219" s="21"/>
      <c r="L219" s="21"/>
      <c r="M219" s="21"/>
      <c r="N219" s="22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</row>
    <row r="220" spans="1:45" ht="12.75" customHeight="1" x14ac:dyDescent="0.25">
      <c r="A220" s="20"/>
      <c r="B220" s="161" t="s">
        <v>675</v>
      </c>
      <c r="C220" s="161" t="str">
        <f t="shared" si="58"/>
        <v>CARBÓN MINERAL</v>
      </c>
      <c r="D220" s="20"/>
      <c r="E220" s="161">
        <v>1976</v>
      </c>
      <c r="F220" s="20"/>
      <c r="G220" s="20"/>
      <c r="H220" s="20"/>
      <c r="I220" s="20"/>
      <c r="J220" s="21"/>
      <c r="K220" s="21"/>
      <c r="L220" s="21"/>
      <c r="M220" s="21"/>
      <c r="N220" s="22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</row>
    <row r="221" spans="1:45" ht="12.75" customHeight="1" x14ac:dyDescent="0.25">
      <c r="A221" s="20"/>
      <c r="B221" s="156" t="s">
        <v>678</v>
      </c>
      <c r="C221" s="156" t="str">
        <f t="shared" si="58"/>
        <v>GAS NATURAL</v>
      </c>
      <c r="D221" s="20"/>
      <c r="E221" s="156">
        <v>1977</v>
      </c>
      <c r="F221" s="20"/>
      <c r="G221" s="20"/>
      <c r="H221" s="20"/>
      <c r="I221" s="20"/>
      <c r="J221" s="21"/>
      <c r="K221" s="21"/>
      <c r="L221" s="21"/>
      <c r="M221" s="21"/>
      <c r="N221" s="22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</row>
    <row r="222" spans="1:45" ht="12.75" customHeight="1" x14ac:dyDescent="0.25">
      <c r="A222" s="20"/>
      <c r="B222" s="161" t="s">
        <v>681</v>
      </c>
      <c r="C222" s="161" t="str">
        <f t="shared" si="58"/>
        <v>HIDROENERGÍA</v>
      </c>
      <c r="D222" s="20"/>
      <c r="E222" s="161">
        <v>1978</v>
      </c>
      <c r="F222" s="20"/>
      <c r="G222" s="20"/>
      <c r="H222" s="20"/>
      <c r="I222" s="20"/>
      <c r="J222" s="21"/>
      <c r="K222" s="21"/>
      <c r="L222" s="21"/>
      <c r="M222" s="21"/>
      <c r="N222" s="22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</row>
    <row r="223" spans="1:45" ht="12.75" customHeight="1" x14ac:dyDescent="0.25">
      <c r="A223" s="20"/>
      <c r="B223" s="156" t="s">
        <v>683</v>
      </c>
      <c r="C223" s="156" t="str">
        <f t="shared" si="58"/>
        <v>LEÑA</v>
      </c>
      <c r="D223" s="20"/>
      <c r="E223" s="156">
        <v>1979</v>
      </c>
      <c r="F223" s="20"/>
      <c r="G223" s="20"/>
      <c r="H223" s="20"/>
      <c r="I223" s="20"/>
      <c r="J223" s="21"/>
      <c r="K223" s="21"/>
      <c r="L223" s="21"/>
      <c r="M223" s="21"/>
      <c r="N223" s="22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</row>
    <row r="224" spans="1:45" ht="12.75" customHeight="1" x14ac:dyDescent="0.25">
      <c r="A224" s="20"/>
      <c r="B224" s="161" t="s">
        <v>685</v>
      </c>
      <c r="C224" s="161" t="str">
        <f t="shared" si="58"/>
        <v>PETROLEO</v>
      </c>
      <c r="D224" s="20"/>
      <c r="E224" s="161">
        <v>1980</v>
      </c>
      <c r="F224" s="20"/>
      <c r="G224" s="20"/>
      <c r="H224" s="20"/>
      <c r="I224" s="20"/>
      <c r="J224" s="21"/>
      <c r="K224" s="21"/>
      <c r="L224" s="21"/>
      <c r="M224" s="21"/>
      <c r="N224" s="22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</row>
    <row r="225" spans="1:45" ht="12.75" customHeight="1" x14ac:dyDescent="0.25">
      <c r="A225" s="20"/>
      <c r="B225" s="156" t="s">
        <v>688</v>
      </c>
      <c r="C225" s="156" t="str">
        <f t="shared" si="58"/>
        <v>RECUPERACIÓN / RESIDUOS</v>
      </c>
      <c r="D225" s="20"/>
      <c r="E225" s="156">
        <v>1981</v>
      </c>
      <c r="F225" s="20"/>
      <c r="G225" s="20"/>
      <c r="H225" s="20"/>
      <c r="I225" s="20"/>
      <c r="J225" s="21"/>
      <c r="K225" s="21"/>
      <c r="L225" s="21"/>
      <c r="M225" s="21"/>
      <c r="N225" s="22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</row>
    <row r="226" spans="1:45" ht="12.75" customHeight="1" x14ac:dyDescent="0.25">
      <c r="A226" s="20"/>
      <c r="B226" s="161" t="s">
        <v>694</v>
      </c>
      <c r="C226" s="161" t="str">
        <f t="shared" si="58"/>
        <v>OTROS RENOVABLES</v>
      </c>
      <c r="D226" s="20"/>
      <c r="E226" s="161">
        <v>1982</v>
      </c>
      <c r="F226" s="20"/>
      <c r="G226" s="20"/>
      <c r="H226" s="20"/>
      <c r="I226" s="20"/>
      <c r="J226" s="21"/>
      <c r="K226" s="21"/>
      <c r="L226" s="21"/>
      <c r="M226" s="21"/>
      <c r="N226" s="22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</row>
    <row r="227" spans="1:45" ht="12.75" customHeight="1" x14ac:dyDescent="0.25">
      <c r="A227" s="20"/>
      <c r="B227" s="156" t="s">
        <v>703</v>
      </c>
      <c r="C227" s="156" t="str">
        <f t="shared" si="58"/>
        <v>ALCOHOL CARBURANTE</v>
      </c>
      <c r="D227" s="20"/>
      <c r="E227" s="156">
        <v>1983</v>
      </c>
      <c r="F227" s="20"/>
      <c r="G227" s="20"/>
      <c r="H227" s="20"/>
      <c r="I227" s="20"/>
      <c r="J227" s="21"/>
      <c r="K227" s="21"/>
      <c r="L227" s="21"/>
      <c r="M227" s="21"/>
      <c r="N227" s="22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</row>
    <row r="228" spans="1:45" ht="12.75" customHeight="1" x14ac:dyDescent="0.25">
      <c r="A228" s="20"/>
      <c r="B228" s="161" t="s">
        <v>706</v>
      </c>
      <c r="C228" s="161" t="str">
        <f t="shared" si="58"/>
        <v>BIODIESEL</v>
      </c>
      <c r="D228" s="20"/>
      <c r="E228" s="161">
        <v>1984</v>
      </c>
      <c r="F228" s="20"/>
      <c r="G228" s="20"/>
      <c r="H228" s="20"/>
      <c r="I228" s="20"/>
      <c r="J228" s="21"/>
      <c r="K228" s="21"/>
      <c r="L228" s="21"/>
      <c r="M228" s="21"/>
      <c r="N228" s="22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</row>
    <row r="229" spans="1:45" ht="12.75" customHeight="1" x14ac:dyDescent="0.25">
      <c r="A229" s="20"/>
      <c r="B229" s="156" t="s">
        <v>708</v>
      </c>
      <c r="C229" s="156" t="str">
        <f t="shared" si="58"/>
        <v>CARBÓN LEÑA</v>
      </c>
      <c r="D229" s="20"/>
      <c r="E229" s="156">
        <v>1985</v>
      </c>
      <c r="F229" s="20"/>
      <c r="G229" s="20"/>
      <c r="H229" s="20"/>
      <c r="I229" s="20"/>
      <c r="J229" s="21"/>
      <c r="K229" s="21"/>
      <c r="L229" s="21"/>
      <c r="M229" s="21"/>
      <c r="N229" s="22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</row>
    <row r="230" spans="1:45" ht="12.75" customHeight="1" x14ac:dyDescent="0.25">
      <c r="A230" s="20"/>
      <c r="B230" s="161" t="s">
        <v>710</v>
      </c>
      <c r="C230" s="161" t="str">
        <f t="shared" si="58"/>
        <v>COQUE</v>
      </c>
      <c r="D230" s="20"/>
      <c r="E230" s="161">
        <v>1986</v>
      </c>
      <c r="F230" s="20"/>
      <c r="G230" s="20"/>
      <c r="H230" s="20"/>
      <c r="I230" s="20"/>
      <c r="J230" s="21"/>
      <c r="K230" s="21"/>
      <c r="L230" s="21"/>
      <c r="M230" s="21"/>
      <c r="N230" s="22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</row>
    <row r="231" spans="1:45" ht="12.75" customHeight="1" x14ac:dyDescent="0.25">
      <c r="A231" s="20"/>
      <c r="B231" s="156" t="s">
        <v>712</v>
      </c>
      <c r="C231" s="156" t="str">
        <f t="shared" si="58"/>
        <v>DIESEL OIL</v>
      </c>
      <c r="D231" s="20"/>
      <c r="E231" s="156">
        <v>1987</v>
      </c>
      <c r="F231" s="20"/>
      <c r="G231" s="20"/>
      <c r="H231" s="20"/>
      <c r="I231" s="20"/>
      <c r="J231" s="21"/>
      <c r="K231" s="21"/>
      <c r="L231" s="21"/>
      <c r="M231" s="21"/>
      <c r="N231" s="22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</row>
    <row r="232" spans="1:45" ht="12.75" customHeight="1" x14ac:dyDescent="0.25">
      <c r="A232" s="20"/>
      <c r="B232" s="161" t="s">
        <v>715</v>
      </c>
      <c r="C232" s="161" t="str">
        <f t="shared" si="58"/>
        <v>AUTO &amp; COGENERACIÓN</v>
      </c>
      <c r="D232" s="20"/>
      <c r="E232" s="161">
        <v>1988</v>
      </c>
      <c r="F232" s="20"/>
      <c r="G232" s="20"/>
      <c r="H232" s="20"/>
      <c r="I232" s="20"/>
      <c r="J232" s="21"/>
      <c r="K232" s="21"/>
      <c r="L232" s="21"/>
      <c r="M232" s="21"/>
      <c r="N232" s="22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</row>
    <row r="233" spans="1:45" ht="12.75" customHeight="1" x14ac:dyDescent="0.25">
      <c r="A233" s="20"/>
      <c r="B233" s="156" t="s">
        <v>717</v>
      </c>
      <c r="C233" s="156" t="str">
        <f t="shared" si="58"/>
        <v>ENERGÍA ELECTRICA SIN</v>
      </c>
      <c r="D233" s="20"/>
      <c r="E233" s="156">
        <v>1989</v>
      </c>
      <c r="F233" s="20"/>
      <c r="G233" s="20"/>
      <c r="H233" s="20"/>
      <c r="I233" s="20"/>
      <c r="J233" s="21"/>
      <c r="K233" s="21"/>
      <c r="L233" s="21"/>
      <c r="M233" s="21"/>
      <c r="N233" s="22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</row>
    <row r="234" spans="1:45" ht="12.75" customHeight="1" x14ac:dyDescent="0.25">
      <c r="A234" s="20"/>
      <c r="B234" s="161" t="s">
        <v>719</v>
      </c>
      <c r="C234" s="161" t="str">
        <f t="shared" si="58"/>
        <v>FUEL OIL</v>
      </c>
      <c r="D234" s="20"/>
      <c r="E234" s="161">
        <v>1990</v>
      </c>
      <c r="F234" s="20"/>
      <c r="G234" s="20"/>
      <c r="H234" s="20"/>
      <c r="I234" s="20"/>
      <c r="J234" s="21"/>
      <c r="K234" s="21"/>
      <c r="L234" s="21"/>
      <c r="M234" s="21"/>
      <c r="N234" s="22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</row>
    <row r="235" spans="1:45" ht="12.75" customHeight="1" x14ac:dyDescent="0.25">
      <c r="A235" s="20"/>
      <c r="B235" s="156" t="s">
        <v>721</v>
      </c>
      <c r="C235" s="156" t="str">
        <f t="shared" si="58"/>
        <v>GAS INDUSTRIAL DE ALTO HORNO</v>
      </c>
      <c r="D235" s="20"/>
      <c r="E235" s="156">
        <v>1991</v>
      </c>
      <c r="F235" s="20"/>
      <c r="G235" s="20"/>
      <c r="H235" s="20"/>
      <c r="I235" s="20"/>
      <c r="J235" s="21"/>
      <c r="K235" s="21"/>
      <c r="L235" s="21"/>
      <c r="M235" s="21"/>
      <c r="N235" s="22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</row>
    <row r="236" spans="1:45" ht="12.75" customHeight="1" x14ac:dyDescent="0.25">
      <c r="A236" s="20"/>
      <c r="B236" s="161" t="s">
        <v>723</v>
      </c>
      <c r="C236" s="161" t="str">
        <f t="shared" si="58"/>
        <v>GAS LICUADO DE PETRÓLEO</v>
      </c>
      <c r="D236" s="20"/>
      <c r="E236" s="161">
        <v>1992</v>
      </c>
      <c r="F236" s="20"/>
      <c r="G236" s="20"/>
      <c r="H236" s="20"/>
      <c r="I236" s="20"/>
      <c r="J236" s="21"/>
      <c r="K236" s="21"/>
      <c r="L236" s="21"/>
      <c r="M236" s="21"/>
      <c r="N236" s="22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</row>
    <row r="237" spans="1:45" ht="12.75" customHeight="1" x14ac:dyDescent="0.25">
      <c r="A237" s="20"/>
      <c r="B237" s="156" t="s">
        <v>725</v>
      </c>
      <c r="C237" s="156" t="str">
        <f t="shared" si="58"/>
        <v>GASOLINA MOTOR</v>
      </c>
      <c r="D237" s="20"/>
      <c r="E237" s="156">
        <v>1993</v>
      </c>
      <c r="F237" s="20"/>
      <c r="G237" s="20"/>
      <c r="H237" s="20"/>
      <c r="I237" s="20"/>
      <c r="J237" s="21"/>
      <c r="K237" s="21"/>
      <c r="L237" s="21"/>
      <c r="M237" s="21"/>
      <c r="N237" s="22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</row>
    <row r="238" spans="1:45" ht="12.75" customHeight="1" x14ac:dyDescent="0.25">
      <c r="A238" s="20"/>
      <c r="B238" s="161" t="s">
        <v>729</v>
      </c>
      <c r="C238" s="161" t="str">
        <f t="shared" si="58"/>
        <v>KEROSENE Y JET FUEL</v>
      </c>
      <c r="D238" s="20"/>
      <c r="E238" s="161">
        <v>1994</v>
      </c>
      <c r="F238" s="20"/>
      <c r="G238" s="20"/>
      <c r="H238" s="20"/>
      <c r="I238" s="20"/>
      <c r="J238" s="21"/>
      <c r="K238" s="21"/>
      <c r="L238" s="21"/>
      <c r="M238" s="21"/>
      <c r="N238" s="22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</row>
    <row r="239" spans="1:45" ht="12.75" customHeight="1" x14ac:dyDescent="0.25">
      <c r="A239" s="20"/>
      <c r="B239" s="20"/>
      <c r="C239" s="20"/>
      <c r="D239" s="20"/>
      <c r="E239" s="156">
        <v>1995</v>
      </c>
      <c r="F239" s="20"/>
      <c r="G239" s="20"/>
      <c r="H239" s="20"/>
      <c r="I239" s="20"/>
      <c r="J239" s="21"/>
      <c r="K239" s="21"/>
      <c r="L239" s="21"/>
      <c r="M239" s="21"/>
      <c r="N239" s="22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</row>
    <row r="240" spans="1:45" ht="12.75" customHeight="1" x14ac:dyDescent="0.25">
      <c r="A240" s="20"/>
      <c r="B240" s="20"/>
      <c r="C240" s="20"/>
      <c r="D240" s="20"/>
      <c r="E240" s="161">
        <v>1996</v>
      </c>
      <c r="F240" s="20"/>
      <c r="G240" s="20"/>
      <c r="H240" s="20"/>
      <c r="I240" s="20"/>
      <c r="J240" s="21"/>
      <c r="K240" s="21"/>
      <c r="L240" s="21"/>
      <c r="M240" s="21"/>
      <c r="N240" s="22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</row>
    <row r="241" spans="1:45" ht="12.75" customHeight="1" x14ac:dyDescent="0.25">
      <c r="A241" s="20"/>
      <c r="B241" s="20"/>
      <c r="C241" s="20"/>
      <c r="D241" s="20"/>
      <c r="E241" s="156">
        <v>1997</v>
      </c>
      <c r="F241" s="20"/>
      <c r="G241" s="20"/>
      <c r="H241" s="20"/>
      <c r="I241" s="20"/>
      <c r="J241" s="21"/>
      <c r="K241" s="21"/>
      <c r="L241" s="21"/>
      <c r="M241" s="21"/>
      <c r="N241" s="22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</row>
    <row r="242" spans="1:45" ht="12.75" customHeight="1" x14ac:dyDescent="0.25">
      <c r="A242" s="20"/>
      <c r="B242" s="20"/>
      <c r="C242" s="20"/>
      <c r="D242" s="20"/>
      <c r="E242" s="161">
        <v>1998</v>
      </c>
      <c r="F242" s="20"/>
      <c r="G242" s="20"/>
      <c r="H242" s="20"/>
      <c r="I242" s="20"/>
      <c r="J242" s="21"/>
      <c r="K242" s="21"/>
      <c r="L242" s="21"/>
      <c r="M242" s="21"/>
      <c r="N242" s="22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</row>
    <row r="243" spans="1:45" ht="12.75" customHeight="1" x14ac:dyDescent="0.25">
      <c r="A243" s="20"/>
      <c r="B243" s="20"/>
      <c r="C243" s="20"/>
      <c r="D243" s="20"/>
      <c r="E243" s="156">
        <v>1999</v>
      </c>
      <c r="F243" s="20"/>
      <c r="G243" s="20"/>
      <c r="H243" s="20"/>
      <c r="I243" s="20"/>
      <c r="J243" s="21"/>
      <c r="K243" s="21"/>
      <c r="L243" s="21"/>
      <c r="M243" s="21"/>
      <c r="N243" s="22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</row>
    <row r="244" spans="1:45" ht="12.75" customHeight="1" x14ac:dyDescent="0.25">
      <c r="A244" s="20"/>
      <c r="B244" s="20"/>
      <c r="C244" s="20"/>
      <c r="D244" s="20"/>
      <c r="E244" s="161">
        <v>2000</v>
      </c>
      <c r="F244" s="20"/>
      <c r="G244" s="20"/>
      <c r="H244" s="20"/>
      <c r="I244" s="20"/>
      <c r="J244" s="21"/>
      <c r="K244" s="21"/>
      <c r="L244" s="21"/>
      <c r="M244" s="21"/>
      <c r="N244" s="22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</row>
    <row r="245" spans="1:45" ht="12.75" customHeight="1" x14ac:dyDescent="0.25">
      <c r="A245" s="20"/>
      <c r="B245" s="20"/>
      <c r="C245" s="20"/>
      <c r="D245" s="20"/>
      <c r="E245" s="156">
        <v>2001</v>
      </c>
      <c r="F245" s="20"/>
      <c r="G245" s="20"/>
      <c r="H245" s="20"/>
      <c r="I245" s="20"/>
      <c r="J245" s="21"/>
      <c r="K245" s="21"/>
      <c r="L245" s="21"/>
      <c r="M245" s="21"/>
      <c r="N245" s="22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</row>
    <row r="246" spans="1:45" ht="12.75" customHeight="1" x14ac:dyDescent="0.25">
      <c r="A246" s="20"/>
      <c r="B246" s="20"/>
      <c r="C246" s="20"/>
      <c r="D246" s="20"/>
      <c r="E246" s="161">
        <v>2002</v>
      </c>
      <c r="F246" s="20"/>
      <c r="G246" s="20"/>
      <c r="H246" s="20"/>
      <c r="I246" s="20"/>
      <c r="J246" s="21"/>
      <c r="K246" s="21"/>
      <c r="L246" s="21"/>
      <c r="M246" s="21"/>
      <c r="N246" s="22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</row>
    <row r="247" spans="1:45" ht="12.75" customHeight="1" x14ac:dyDescent="0.25">
      <c r="A247" s="20"/>
      <c r="B247" s="20"/>
      <c r="C247" s="20"/>
      <c r="D247" s="20"/>
      <c r="E247" s="156">
        <v>2003</v>
      </c>
      <c r="F247" s="20"/>
      <c r="G247" s="20"/>
      <c r="H247" s="20"/>
      <c r="I247" s="20"/>
      <c r="J247" s="21"/>
      <c r="K247" s="21"/>
      <c r="L247" s="21"/>
      <c r="M247" s="21"/>
      <c r="N247" s="22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</row>
    <row r="248" spans="1:45" ht="12.75" customHeight="1" x14ac:dyDescent="0.25">
      <c r="A248" s="20"/>
      <c r="B248" s="20"/>
      <c r="C248" s="20"/>
      <c r="D248" s="20"/>
      <c r="E248" s="161">
        <v>2004</v>
      </c>
      <c r="F248" s="20"/>
      <c r="G248" s="20"/>
      <c r="H248" s="20"/>
      <c r="I248" s="20"/>
      <c r="J248" s="21"/>
      <c r="K248" s="21"/>
      <c r="L248" s="21"/>
      <c r="M248" s="21"/>
      <c r="N248" s="22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</row>
    <row r="249" spans="1:45" ht="12.75" customHeight="1" x14ac:dyDescent="0.25">
      <c r="A249" s="20"/>
      <c r="B249" s="20"/>
      <c r="C249" s="20"/>
      <c r="D249" s="20"/>
      <c r="E249" s="156">
        <v>2005</v>
      </c>
      <c r="F249" s="20"/>
      <c r="G249" s="20"/>
      <c r="H249" s="20"/>
      <c r="I249" s="20"/>
      <c r="J249" s="21"/>
      <c r="K249" s="21"/>
      <c r="L249" s="21"/>
      <c r="M249" s="21"/>
      <c r="N249" s="22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</row>
    <row r="250" spans="1:45" ht="12.75" customHeight="1" x14ac:dyDescent="0.25">
      <c r="A250" s="20"/>
      <c r="B250" s="20"/>
      <c r="C250" s="20"/>
      <c r="D250" s="20"/>
      <c r="E250" s="161">
        <v>2006</v>
      </c>
      <c r="F250" s="20"/>
      <c r="G250" s="20"/>
      <c r="H250" s="20"/>
      <c r="I250" s="20"/>
      <c r="J250" s="21"/>
      <c r="K250" s="21"/>
      <c r="L250" s="21"/>
      <c r="M250" s="21"/>
      <c r="N250" s="22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</row>
    <row r="251" spans="1:45" ht="12.75" customHeight="1" x14ac:dyDescent="0.25">
      <c r="A251" s="20"/>
      <c r="B251" s="20"/>
      <c r="C251" s="20"/>
      <c r="D251" s="20"/>
      <c r="E251" s="156">
        <v>2007</v>
      </c>
      <c r="F251" s="20"/>
      <c r="G251" s="20"/>
      <c r="H251" s="20"/>
      <c r="I251" s="20"/>
      <c r="J251" s="21"/>
      <c r="K251" s="21"/>
      <c r="L251" s="21"/>
      <c r="M251" s="21"/>
      <c r="N251" s="22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</row>
    <row r="252" spans="1:45" ht="12.75" customHeight="1" x14ac:dyDescent="0.25">
      <c r="A252" s="20"/>
      <c r="B252" s="20"/>
      <c r="C252" s="20"/>
      <c r="D252" s="20"/>
      <c r="E252" s="161">
        <v>2008</v>
      </c>
      <c r="F252" s="20"/>
      <c r="G252" s="20"/>
      <c r="H252" s="20"/>
      <c r="I252" s="20"/>
      <c r="J252" s="21"/>
      <c r="K252" s="21"/>
      <c r="L252" s="21"/>
      <c r="M252" s="21"/>
      <c r="N252" s="22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</row>
    <row r="253" spans="1:45" ht="12.75" customHeight="1" x14ac:dyDescent="0.25">
      <c r="A253" s="20"/>
      <c r="B253" s="20"/>
      <c r="C253" s="20"/>
      <c r="D253" s="20"/>
      <c r="E253" s="156">
        <v>2009</v>
      </c>
      <c r="F253" s="20"/>
      <c r="G253" s="20"/>
      <c r="H253" s="20"/>
      <c r="I253" s="20"/>
      <c r="J253" s="21"/>
      <c r="K253" s="21"/>
      <c r="L253" s="21"/>
      <c r="M253" s="21"/>
      <c r="N253" s="22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</row>
    <row r="254" spans="1:45" ht="12.75" customHeight="1" x14ac:dyDescent="0.25">
      <c r="A254" s="20"/>
      <c r="B254" s="20"/>
      <c r="C254" s="20"/>
      <c r="D254" s="20"/>
      <c r="E254" s="161">
        <v>2010</v>
      </c>
      <c r="F254" s="20"/>
      <c r="G254" s="20"/>
      <c r="H254" s="20"/>
      <c r="I254" s="20"/>
      <c r="J254" s="21"/>
      <c r="K254" s="21"/>
      <c r="L254" s="21"/>
      <c r="M254" s="21"/>
      <c r="N254" s="22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</row>
    <row r="255" spans="1:45" ht="12.75" customHeight="1" x14ac:dyDescent="0.25">
      <c r="A255" s="20"/>
      <c r="B255" s="20"/>
      <c r="C255" s="20"/>
      <c r="D255" s="20"/>
      <c r="E255" s="156">
        <v>2011</v>
      </c>
      <c r="F255" s="20"/>
      <c r="G255" s="20"/>
      <c r="H255" s="20"/>
      <c r="I255" s="20"/>
      <c r="J255" s="21"/>
      <c r="K255" s="21"/>
      <c r="L255" s="21"/>
      <c r="M255" s="21"/>
      <c r="N255" s="22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</row>
    <row r="256" spans="1:45" ht="12.75" customHeight="1" x14ac:dyDescent="0.25">
      <c r="A256" s="20"/>
      <c r="B256" s="20"/>
      <c r="C256" s="20"/>
      <c r="D256" s="20"/>
      <c r="E256" s="161">
        <v>2012</v>
      </c>
      <c r="F256" s="20"/>
      <c r="G256" s="20"/>
      <c r="H256" s="20"/>
      <c r="I256" s="20"/>
      <c r="J256" s="21"/>
      <c r="K256" s="21"/>
      <c r="L256" s="21"/>
      <c r="M256" s="21"/>
      <c r="N256" s="22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</row>
    <row r="257" spans="1:45" ht="12.75" customHeight="1" x14ac:dyDescent="0.25">
      <c r="A257" s="20"/>
      <c r="B257" s="20"/>
      <c r="C257" s="20"/>
      <c r="D257" s="20"/>
      <c r="E257" s="156">
        <v>2013</v>
      </c>
      <c r="F257" s="20"/>
      <c r="G257" s="20"/>
      <c r="H257" s="20"/>
      <c r="I257" s="20"/>
      <c r="J257" s="21"/>
      <c r="K257" s="21"/>
      <c r="L257" s="21"/>
      <c r="M257" s="21"/>
      <c r="N257" s="22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</row>
    <row r="258" spans="1:45" ht="12.75" customHeight="1" x14ac:dyDescent="0.25">
      <c r="A258" s="20"/>
      <c r="B258" s="20"/>
      <c r="C258" s="20"/>
      <c r="D258" s="20"/>
      <c r="E258" s="161">
        <v>2014</v>
      </c>
      <c r="F258" s="20"/>
      <c r="G258" s="20"/>
      <c r="H258" s="20"/>
      <c r="I258" s="20"/>
      <c r="J258" s="21"/>
      <c r="K258" s="21"/>
      <c r="L258" s="21"/>
      <c r="M258" s="21"/>
      <c r="N258" s="22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</row>
    <row r="259" spans="1:45" ht="12.75" customHeight="1" x14ac:dyDescent="0.25">
      <c r="A259" s="20"/>
      <c r="B259" s="20"/>
      <c r="C259" s="20"/>
      <c r="D259" s="20"/>
      <c r="E259" s="156">
        <v>2015</v>
      </c>
      <c r="F259" s="20"/>
      <c r="G259" s="20"/>
      <c r="H259" s="20"/>
      <c r="I259" s="20"/>
      <c r="J259" s="21"/>
      <c r="K259" s="21"/>
      <c r="L259" s="21"/>
      <c r="M259" s="21"/>
      <c r="N259" s="22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</row>
    <row r="260" spans="1:45" ht="12.75" customHeight="1" x14ac:dyDescent="0.25">
      <c r="A260" s="20"/>
      <c r="B260" s="20"/>
      <c r="C260" s="20"/>
      <c r="D260" s="20"/>
      <c r="E260" s="161">
        <v>2016</v>
      </c>
      <c r="F260" s="20"/>
      <c r="G260" s="20"/>
      <c r="H260" s="20"/>
      <c r="I260" s="20"/>
      <c r="J260" s="21"/>
      <c r="K260" s="21"/>
      <c r="L260" s="21"/>
      <c r="M260" s="21"/>
      <c r="N260" s="22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</row>
    <row r="261" spans="1:45" ht="12.75" customHeight="1" x14ac:dyDescent="0.25">
      <c r="A261" s="20"/>
      <c r="B261" s="20"/>
      <c r="C261" s="20"/>
      <c r="D261" s="20"/>
      <c r="E261" s="156">
        <v>2017</v>
      </c>
      <c r="F261" s="20"/>
      <c r="G261" s="20"/>
      <c r="H261" s="20"/>
      <c r="I261" s="20"/>
      <c r="J261" s="21"/>
      <c r="K261" s="21"/>
      <c r="L261" s="21"/>
      <c r="M261" s="21"/>
      <c r="N261" s="22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</row>
    <row r="262" spans="1:45" ht="12.75" customHeight="1" x14ac:dyDescent="0.25">
      <c r="A262" s="20"/>
      <c r="B262" s="20"/>
      <c r="C262" s="20"/>
      <c r="D262" s="20"/>
      <c r="E262" s="161">
        <v>2018</v>
      </c>
      <c r="F262" s="20"/>
      <c r="G262" s="20"/>
      <c r="H262" s="20"/>
      <c r="I262" s="20"/>
      <c r="J262" s="21"/>
      <c r="K262" s="21"/>
      <c r="L262" s="21"/>
      <c r="M262" s="21"/>
      <c r="N262" s="22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</row>
    <row r="263" spans="1:45" ht="12.75" customHeight="1" x14ac:dyDescent="0.25">
      <c r="A263" s="20"/>
      <c r="B263" s="20"/>
      <c r="C263" s="20"/>
      <c r="D263" s="20"/>
      <c r="E263" s="156">
        <v>2019</v>
      </c>
      <c r="F263" s="20"/>
      <c r="G263" s="20"/>
      <c r="H263" s="20"/>
      <c r="I263" s="20"/>
      <c r="J263" s="21"/>
      <c r="K263" s="21"/>
      <c r="L263" s="21"/>
      <c r="M263" s="21"/>
      <c r="N263" s="22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</row>
    <row r="264" spans="1:45" ht="12.75" customHeight="1" x14ac:dyDescent="0.25">
      <c r="A264" s="20"/>
      <c r="B264" s="20"/>
      <c r="C264" s="20"/>
      <c r="D264" s="20"/>
      <c r="E264" s="161">
        <v>2020</v>
      </c>
      <c r="F264" s="20"/>
      <c r="G264" s="20"/>
      <c r="H264" s="20"/>
      <c r="I264" s="20"/>
      <c r="J264" s="21"/>
      <c r="K264" s="21"/>
      <c r="L264" s="21"/>
      <c r="M264" s="21"/>
      <c r="N264" s="22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</row>
    <row r="265" spans="1:45" ht="12.75" customHeight="1" x14ac:dyDescent="0.25">
      <c r="A265" s="20"/>
      <c r="B265" s="20"/>
      <c r="C265" s="20"/>
      <c r="D265" s="20"/>
      <c r="E265" s="156">
        <v>2021</v>
      </c>
      <c r="F265" s="20"/>
      <c r="G265" s="20"/>
      <c r="H265" s="20"/>
      <c r="I265" s="20"/>
      <c r="J265" s="21"/>
      <c r="K265" s="21"/>
      <c r="L265" s="21"/>
      <c r="M265" s="21"/>
      <c r="N265" s="22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</row>
    <row r="266" spans="1:45" ht="12.75" customHeight="1" x14ac:dyDescent="0.25">
      <c r="A266" s="20"/>
      <c r="B266" s="20"/>
      <c r="C266" s="20"/>
      <c r="D266" s="20"/>
      <c r="E266" s="20"/>
      <c r="F266" s="20"/>
      <c r="G266" s="20"/>
      <c r="H266" s="20"/>
      <c r="I266" s="20"/>
      <c r="J266" s="21"/>
      <c r="K266" s="21"/>
      <c r="L266" s="21"/>
      <c r="M266" s="21"/>
      <c r="N266" s="22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</row>
    <row r="267" spans="1:45" ht="12.75" customHeight="1" x14ac:dyDescent="0.25">
      <c r="A267" s="20"/>
      <c r="B267" s="20"/>
      <c r="C267" s="20"/>
      <c r="D267" s="20"/>
      <c r="E267" s="20"/>
      <c r="F267" s="20"/>
      <c r="G267" s="20"/>
      <c r="H267" s="20"/>
      <c r="I267" s="20"/>
      <c r="J267" s="21"/>
      <c r="K267" s="21"/>
      <c r="L267" s="21"/>
      <c r="M267" s="21"/>
      <c r="N267" s="22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</row>
    <row r="268" spans="1:45" ht="12.75" customHeight="1" x14ac:dyDescent="0.25">
      <c r="A268" s="20"/>
      <c r="B268" s="20"/>
      <c r="C268" s="20"/>
      <c r="D268" s="20"/>
      <c r="E268" s="20"/>
      <c r="F268" s="20"/>
      <c r="G268" s="20"/>
      <c r="H268" s="20"/>
      <c r="I268" s="20"/>
      <c r="J268" s="21"/>
      <c r="K268" s="21"/>
      <c r="L268" s="21"/>
      <c r="M268" s="21"/>
      <c r="N268" s="22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</row>
    <row r="269" spans="1:45" ht="12.75" customHeight="1" x14ac:dyDescent="0.25">
      <c r="A269" s="20"/>
      <c r="B269" s="20"/>
      <c r="C269" s="20"/>
      <c r="D269" s="20"/>
      <c r="E269" s="20"/>
      <c r="F269" s="20"/>
      <c r="G269" s="20"/>
      <c r="H269" s="20"/>
      <c r="I269" s="20"/>
      <c r="J269" s="21"/>
      <c r="K269" s="21"/>
      <c r="L269" s="21"/>
      <c r="M269" s="21"/>
      <c r="N269" s="22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</row>
    <row r="270" spans="1:45" ht="12.75" customHeight="1" x14ac:dyDescent="0.25">
      <c r="A270" s="20"/>
      <c r="B270" s="20"/>
      <c r="C270" s="20"/>
      <c r="D270" s="20"/>
      <c r="E270" s="20"/>
      <c r="F270" s="20"/>
      <c r="G270" s="20"/>
      <c r="H270" s="20"/>
      <c r="I270" s="20"/>
      <c r="J270" s="21"/>
      <c r="K270" s="21"/>
      <c r="L270" s="21"/>
      <c r="M270" s="21"/>
      <c r="N270" s="22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</row>
    <row r="271" spans="1:45" ht="12.75" customHeight="1" x14ac:dyDescent="0.25">
      <c r="A271" s="20"/>
      <c r="B271" s="20"/>
      <c r="C271" s="20"/>
      <c r="D271" s="20"/>
      <c r="E271" s="20"/>
      <c r="F271" s="20"/>
      <c r="G271" s="20"/>
      <c r="H271" s="20"/>
      <c r="I271" s="20"/>
      <c r="J271" s="21"/>
      <c r="K271" s="21"/>
      <c r="L271" s="21"/>
      <c r="M271" s="21"/>
      <c r="N271" s="22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</row>
    <row r="272" spans="1:45" ht="12.75" customHeight="1" x14ac:dyDescent="0.25">
      <c r="A272" s="20"/>
      <c r="B272" s="20"/>
      <c r="C272" s="20"/>
      <c r="D272" s="20"/>
      <c r="E272" s="20"/>
      <c r="F272" s="20"/>
      <c r="G272" s="20"/>
      <c r="H272" s="20"/>
      <c r="I272" s="20"/>
      <c r="J272" s="21"/>
      <c r="K272" s="21"/>
      <c r="L272" s="21"/>
      <c r="M272" s="21"/>
      <c r="N272" s="22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</row>
    <row r="273" spans="1:45" ht="12.75" customHeight="1" x14ac:dyDescent="0.25">
      <c r="A273" s="20"/>
      <c r="B273" s="20"/>
      <c r="C273" s="20"/>
      <c r="D273" s="20"/>
      <c r="E273" s="20"/>
      <c r="F273" s="20"/>
      <c r="G273" s="20"/>
      <c r="H273" s="20"/>
      <c r="I273" s="20"/>
      <c r="J273" s="21"/>
      <c r="K273" s="21"/>
      <c r="L273" s="21"/>
      <c r="M273" s="21"/>
      <c r="N273" s="22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</row>
    <row r="274" spans="1:45" ht="12.75" customHeight="1" x14ac:dyDescent="0.25">
      <c r="A274" s="20"/>
      <c r="B274" s="20"/>
      <c r="C274" s="20"/>
      <c r="D274" s="20"/>
      <c r="E274" s="20"/>
      <c r="F274" s="20"/>
      <c r="G274" s="20"/>
      <c r="H274" s="20"/>
      <c r="I274" s="20"/>
      <c r="J274" s="21"/>
      <c r="K274" s="21"/>
      <c r="L274" s="21"/>
      <c r="M274" s="21"/>
      <c r="N274" s="22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</row>
    <row r="275" spans="1:45" ht="12.75" customHeight="1" x14ac:dyDescent="0.25">
      <c r="A275" s="20"/>
      <c r="B275" s="20"/>
      <c r="C275" s="20"/>
      <c r="D275" s="20"/>
      <c r="E275" s="20"/>
      <c r="F275" s="20"/>
      <c r="G275" s="20"/>
      <c r="H275" s="20"/>
      <c r="I275" s="20"/>
      <c r="J275" s="21"/>
      <c r="K275" s="21"/>
      <c r="L275" s="21"/>
      <c r="M275" s="21"/>
      <c r="N275" s="22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</row>
    <row r="276" spans="1:45" ht="12.75" customHeight="1" x14ac:dyDescent="0.25">
      <c r="A276" s="20"/>
      <c r="B276" s="20"/>
      <c r="C276" s="20"/>
      <c r="D276" s="20"/>
      <c r="E276" s="20"/>
      <c r="F276" s="20"/>
      <c r="G276" s="20"/>
      <c r="H276" s="20"/>
      <c r="I276" s="20"/>
      <c r="J276" s="21"/>
      <c r="K276" s="21"/>
      <c r="L276" s="21"/>
      <c r="M276" s="21"/>
      <c r="N276" s="22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</row>
    <row r="277" spans="1:45" ht="12.75" customHeight="1" x14ac:dyDescent="0.25">
      <c r="A277" s="20"/>
      <c r="B277" s="20"/>
      <c r="C277" s="20"/>
      <c r="D277" s="20"/>
      <c r="E277" s="20"/>
      <c r="F277" s="20"/>
      <c r="G277" s="20"/>
      <c r="H277" s="20"/>
      <c r="I277" s="20"/>
      <c r="J277" s="21"/>
      <c r="K277" s="21"/>
      <c r="L277" s="21"/>
      <c r="M277" s="21"/>
      <c r="N277" s="22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</row>
    <row r="278" spans="1:45" ht="12.75" customHeight="1" x14ac:dyDescent="0.25">
      <c r="A278" s="20"/>
      <c r="B278" s="20"/>
      <c r="C278" s="20"/>
      <c r="D278" s="20"/>
      <c r="E278" s="20"/>
      <c r="F278" s="20"/>
      <c r="G278" s="20"/>
      <c r="H278" s="20"/>
      <c r="I278" s="20"/>
      <c r="J278" s="21"/>
      <c r="K278" s="21"/>
      <c r="L278" s="21"/>
      <c r="M278" s="21"/>
      <c r="N278" s="22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</row>
    <row r="279" spans="1:45" ht="12.75" customHeight="1" x14ac:dyDescent="0.25">
      <c r="A279" s="20"/>
      <c r="B279" s="20"/>
      <c r="C279" s="20"/>
      <c r="D279" s="20"/>
      <c r="E279" s="20"/>
      <c r="F279" s="20"/>
      <c r="G279" s="20"/>
      <c r="H279" s="20"/>
      <c r="I279" s="20"/>
      <c r="J279" s="21"/>
      <c r="K279" s="21"/>
      <c r="L279" s="21"/>
      <c r="M279" s="21"/>
      <c r="N279" s="22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</row>
    <row r="280" spans="1:45" ht="12.75" customHeight="1" x14ac:dyDescent="0.25">
      <c r="A280" s="20"/>
      <c r="B280" s="20"/>
      <c r="C280" s="20"/>
      <c r="D280" s="20"/>
      <c r="E280" s="20"/>
      <c r="F280" s="20"/>
      <c r="G280" s="20"/>
      <c r="H280" s="20"/>
      <c r="I280" s="20"/>
      <c r="J280" s="21"/>
      <c r="K280" s="21"/>
      <c r="L280" s="21"/>
      <c r="M280" s="21"/>
      <c r="N280" s="22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</row>
    <row r="281" spans="1:45" ht="12.75" customHeight="1" x14ac:dyDescent="0.25">
      <c r="A281" s="20"/>
      <c r="B281" s="20"/>
      <c r="C281" s="20"/>
      <c r="D281" s="20"/>
      <c r="E281" s="20"/>
      <c r="F281" s="20"/>
      <c r="G281" s="20"/>
      <c r="H281" s="20"/>
      <c r="I281" s="20"/>
      <c r="J281" s="21"/>
      <c r="K281" s="21"/>
      <c r="L281" s="21"/>
      <c r="M281" s="21"/>
      <c r="N281" s="22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</row>
    <row r="282" spans="1:45" ht="12.75" customHeight="1" x14ac:dyDescent="0.25">
      <c r="A282" s="20"/>
      <c r="B282" s="20"/>
      <c r="C282" s="20"/>
      <c r="D282" s="20"/>
      <c r="E282" s="20"/>
      <c r="F282" s="20"/>
      <c r="G282" s="20"/>
      <c r="H282" s="20"/>
      <c r="I282" s="20"/>
      <c r="J282" s="21"/>
      <c r="K282" s="21"/>
      <c r="L282" s="21"/>
      <c r="M282" s="21"/>
      <c r="N282" s="22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</row>
    <row r="283" spans="1:45" ht="12.75" customHeight="1" x14ac:dyDescent="0.25">
      <c r="A283" s="20"/>
      <c r="B283" s="20"/>
      <c r="C283" s="20"/>
      <c r="D283" s="20"/>
      <c r="E283" s="20"/>
      <c r="F283" s="20"/>
      <c r="G283" s="20"/>
      <c r="H283" s="20"/>
      <c r="I283" s="20"/>
      <c r="J283" s="21"/>
      <c r="K283" s="21"/>
      <c r="L283" s="21"/>
      <c r="M283" s="21"/>
      <c r="N283" s="22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</row>
    <row r="284" spans="1:45" ht="12.75" customHeight="1" x14ac:dyDescent="0.25">
      <c r="A284" s="20"/>
      <c r="B284" s="20"/>
      <c r="C284" s="20"/>
      <c r="D284" s="20"/>
      <c r="E284" s="20"/>
      <c r="F284" s="20"/>
      <c r="G284" s="20"/>
      <c r="H284" s="20"/>
      <c r="I284" s="20"/>
      <c r="J284" s="21"/>
      <c r="K284" s="21"/>
      <c r="L284" s="21"/>
      <c r="M284" s="21"/>
      <c r="N284" s="22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</row>
    <row r="285" spans="1:45" ht="12.75" customHeight="1" x14ac:dyDescent="0.25">
      <c r="A285" s="20"/>
      <c r="B285" s="20"/>
      <c r="C285" s="20"/>
      <c r="D285" s="20"/>
      <c r="E285" s="20"/>
      <c r="F285" s="20"/>
      <c r="G285" s="20"/>
      <c r="H285" s="20"/>
      <c r="I285" s="20"/>
      <c r="J285" s="21"/>
      <c r="K285" s="21"/>
      <c r="L285" s="21"/>
      <c r="M285" s="21"/>
      <c r="N285" s="22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</row>
    <row r="286" spans="1:45" ht="12.75" customHeight="1" x14ac:dyDescent="0.25">
      <c r="A286" s="20"/>
      <c r="B286" s="20"/>
      <c r="C286" s="20"/>
      <c r="D286" s="20"/>
      <c r="E286" s="20"/>
      <c r="F286" s="20"/>
      <c r="G286" s="20"/>
      <c r="H286" s="20"/>
      <c r="I286" s="20"/>
      <c r="J286" s="21"/>
      <c r="K286" s="21"/>
      <c r="L286" s="21"/>
      <c r="M286" s="21"/>
      <c r="N286" s="22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</row>
    <row r="287" spans="1:45" ht="12.75" customHeight="1" x14ac:dyDescent="0.25">
      <c r="A287" s="20"/>
      <c r="B287" s="20"/>
      <c r="C287" s="20"/>
      <c r="D287" s="20"/>
      <c r="E287" s="20"/>
      <c r="F287" s="20"/>
      <c r="G287" s="20"/>
      <c r="H287" s="20"/>
      <c r="I287" s="20"/>
      <c r="J287" s="21"/>
      <c r="K287" s="21"/>
      <c r="L287" s="21"/>
      <c r="M287" s="21"/>
      <c r="N287" s="22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</row>
    <row r="288" spans="1:45" ht="12.75" customHeight="1" x14ac:dyDescent="0.25">
      <c r="A288" s="20"/>
      <c r="B288" s="20"/>
      <c r="C288" s="20"/>
      <c r="D288" s="20"/>
      <c r="E288" s="20"/>
      <c r="F288" s="20"/>
      <c r="G288" s="20"/>
      <c r="H288" s="20"/>
      <c r="I288" s="20"/>
      <c r="J288" s="21"/>
      <c r="K288" s="21"/>
      <c r="L288" s="21"/>
      <c r="M288" s="21"/>
      <c r="N288" s="22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</row>
    <row r="289" spans="1:45" ht="12.75" customHeight="1" x14ac:dyDescent="0.25">
      <c r="A289" s="20"/>
      <c r="B289" s="20"/>
      <c r="C289" s="20"/>
      <c r="D289" s="20"/>
      <c r="E289" s="20"/>
      <c r="F289" s="20"/>
      <c r="G289" s="20"/>
      <c r="H289" s="20"/>
      <c r="I289" s="20"/>
      <c r="J289" s="21"/>
      <c r="K289" s="21"/>
      <c r="L289" s="21"/>
      <c r="M289" s="21"/>
      <c r="N289" s="22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</row>
    <row r="290" spans="1:45" ht="12.75" customHeight="1" x14ac:dyDescent="0.25">
      <c r="A290" s="20"/>
      <c r="B290" s="20"/>
      <c r="C290" s="20"/>
      <c r="D290" s="20"/>
      <c r="E290" s="20"/>
      <c r="F290" s="20"/>
      <c r="G290" s="20"/>
      <c r="H290" s="20"/>
      <c r="I290" s="20"/>
      <c r="J290" s="21"/>
      <c r="K290" s="21"/>
      <c r="L290" s="21"/>
      <c r="M290" s="21"/>
      <c r="N290" s="22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</row>
    <row r="291" spans="1:45" ht="12.75" customHeight="1" x14ac:dyDescent="0.25">
      <c r="A291" s="20"/>
      <c r="B291" s="20"/>
      <c r="C291" s="20"/>
      <c r="D291" s="20"/>
      <c r="E291" s="20"/>
      <c r="F291" s="20"/>
      <c r="G291" s="20"/>
      <c r="H291" s="20"/>
      <c r="I291" s="20"/>
      <c r="J291" s="21"/>
      <c r="K291" s="21"/>
      <c r="L291" s="21"/>
      <c r="M291" s="21"/>
      <c r="N291" s="22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</row>
    <row r="292" spans="1:45" ht="12.75" customHeight="1" x14ac:dyDescent="0.25">
      <c r="A292" s="20"/>
      <c r="B292" s="20"/>
      <c r="C292" s="20"/>
      <c r="D292" s="20"/>
      <c r="E292" s="20"/>
      <c r="F292" s="20"/>
      <c r="G292" s="20"/>
      <c r="H292" s="20"/>
      <c r="I292" s="20"/>
      <c r="J292" s="21"/>
      <c r="K292" s="21"/>
      <c r="L292" s="21"/>
      <c r="M292" s="21"/>
      <c r="N292" s="22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</row>
    <row r="293" spans="1:45" ht="12.75" customHeight="1" x14ac:dyDescent="0.25">
      <c r="A293" s="20"/>
      <c r="B293" s="20"/>
      <c r="C293" s="20"/>
      <c r="D293" s="20"/>
      <c r="E293" s="20"/>
      <c r="F293" s="20"/>
      <c r="G293" s="20"/>
      <c r="H293" s="20"/>
      <c r="I293" s="20"/>
      <c r="J293" s="21"/>
      <c r="K293" s="21"/>
      <c r="L293" s="21"/>
      <c r="M293" s="21"/>
      <c r="N293" s="22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</row>
    <row r="294" spans="1:45" ht="12.75" customHeight="1" x14ac:dyDescent="0.25">
      <c r="A294" s="20"/>
      <c r="B294" s="20"/>
      <c r="C294" s="20"/>
      <c r="D294" s="20"/>
      <c r="E294" s="20"/>
      <c r="F294" s="20"/>
      <c r="G294" s="20"/>
      <c r="H294" s="20"/>
      <c r="I294" s="20"/>
      <c r="J294" s="21"/>
      <c r="K294" s="21"/>
      <c r="L294" s="21"/>
      <c r="M294" s="21"/>
      <c r="N294" s="22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</row>
    <row r="295" spans="1:45" ht="12.75" customHeight="1" x14ac:dyDescent="0.25">
      <c r="A295" s="20"/>
      <c r="B295" s="20"/>
      <c r="C295" s="20"/>
      <c r="D295" s="20"/>
      <c r="E295" s="20"/>
      <c r="F295" s="20"/>
      <c r="G295" s="20"/>
      <c r="H295" s="20"/>
      <c r="I295" s="20"/>
      <c r="J295" s="21"/>
      <c r="K295" s="21"/>
      <c r="L295" s="21"/>
      <c r="M295" s="21"/>
      <c r="N295" s="22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</row>
    <row r="296" spans="1:45" ht="12.75" customHeight="1" x14ac:dyDescent="0.25">
      <c r="A296" s="20"/>
      <c r="B296" s="20"/>
      <c r="C296" s="20"/>
      <c r="D296" s="20"/>
      <c r="E296" s="20"/>
      <c r="F296" s="20"/>
      <c r="G296" s="20"/>
      <c r="H296" s="20"/>
      <c r="I296" s="20"/>
      <c r="J296" s="21"/>
      <c r="K296" s="21"/>
      <c r="L296" s="21"/>
      <c r="M296" s="21"/>
      <c r="N296" s="22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</row>
    <row r="297" spans="1:45" ht="12.75" customHeight="1" x14ac:dyDescent="0.25">
      <c r="A297" s="20"/>
      <c r="B297" s="20"/>
      <c r="C297" s="20"/>
      <c r="D297" s="20"/>
      <c r="E297" s="20"/>
      <c r="F297" s="20"/>
      <c r="G297" s="20"/>
      <c r="H297" s="20"/>
      <c r="I297" s="20"/>
      <c r="J297" s="21"/>
      <c r="K297" s="21"/>
      <c r="L297" s="21"/>
      <c r="M297" s="21"/>
      <c r="N297" s="22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</row>
    <row r="298" spans="1:45" ht="12.75" customHeight="1" x14ac:dyDescent="0.25">
      <c r="A298" s="20"/>
      <c r="B298" s="20"/>
      <c r="C298" s="20"/>
      <c r="D298" s="20"/>
      <c r="E298" s="20"/>
      <c r="F298" s="20"/>
      <c r="G298" s="20"/>
      <c r="H298" s="20"/>
      <c r="I298" s="20"/>
      <c r="J298" s="21"/>
      <c r="K298" s="21"/>
      <c r="L298" s="21"/>
      <c r="M298" s="21"/>
      <c r="N298" s="22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</row>
    <row r="299" spans="1:45" ht="12.75" customHeight="1" x14ac:dyDescent="0.25">
      <c r="A299" s="20"/>
      <c r="B299" s="20"/>
      <c r="C299" s="20"/>
      <c r="D299" s="20"/>
      <c r="E299" s="20"/>
      <c r="F299" s="20"/>
      <c r="G299" s="20"/>
      <c r="H299" s="20"/>
      <c r="I299" s="20"/>
      <c r="J299" s="21"/>
      <c r="K299" s="21"/>
      <c r="L299" s="21"/>
      <c r="M299" s="21"/>
      <c r="N299" s="22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</row>
    <row r="300" spans="1:45" ht="12.75" customHeight="1" x14ac:dyDescent="0.25">
      <c r="A300" s="20"/>
      <c r="B300" s="20"/>
      <c r="C300" s="20"/>
      <c r="D300" s="20"/>
      <c r="E300" s="20"/>
      <c r="F300" s="20"/>
      <c r="G300" s="20"/>
      <c r="H300" s="20"/>
      <c r="I300" s="20"/>
      <c r="J300" s="21"/>
      <c r="K300" s="21"/>
      <c r="L300" s="21"/>
      <c r="M300" s="21"/>
      <c r="N300" s="22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</row>
    <row r="301" spans="1:45" ht="12.75" customHeight="1" x14ac:dyDescent="0.25">
      <c r="A301" s="20"/>
      <c r="B301" s="20"/>
      <c r="C301" s="20"/>
      <c r="D301" s="20"/>
      <c r="E301" s="20"/>
      <c r="F301" s="20"/>
      <c r="G301" s="20"/>
      <c r="H301" s="20"/>
      <c r="I301" s="20"/>
      <c r="J301" s="21"/>
      <c r="K301" s="21"/>
      <c r="L301" s="21"/>
      <c r="M301" s="21"/>
      <c r="N301" s="22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</row>
    <row r="302" spans="1:45" ht="12.75" customHeight="1" x14ac:dyDescent="0.25">
      <c r="A302" s="20"/>
      <c r="B302" s="20"/>
      <c r="C302" s="20"/>
      <c r="D302" s="20"/>
      <c r="E302" s="20"/>
      <c r="F302" s="20"/>
      <c r="G302" s="20"/>
      <c r="H302" s="20"/>
      <c r="I302" s="20"/>
      <c r="J302" s="21"/>
      <c r="K302" s="21"/>
      <c r="L302" s="21"/>
      <c r="M302" s="21"/>
      <c r="N302" s="22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</row>
    <row r="303" spans="1:45" ht="12.75" customHeight="1" x14ac:dyDescent="0.25">
      <c r="A303" s="20"/>
      <c r="B303" s="20"/>
      <c r="C303" s="20"/>
      <c r="D303" s="20"/>
      <c r="E303" s="20"/>
      <c r="F303" s="20"/>
      <c r="G303" s="20"/>
      <c r="H303" s="20"/>
      <c r="I303" s="20"/>
      <c r="J303" s="21"/>
      <c r="K303" s="21"/>
      <c r="L303" s="21"/>
      <c r="M303" s="21"/>
      <c r="N303" s="22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</row>
    <row r="304" spans="1:45" ht="12.75" customHeight="1" x14ac:dyDescent="0.25">
      <c r="A304" s="20"/>
      <c r="B304" s="20"/>
      <c r="C304" s="20"/>
      <c r="D304" s="20"/>
      <c r="E304" s="20"/>
      <c r="F304" s="20"/>
      <c r="G304" s="20"/>
      <c r="H304" s="20"/>
      <c r="I304" s="20"/>
      <c r="J304" s="21"/>
      <c r="K304" s="21"/>
      <c r="L304" s="21"/>
      <c r="M304" s="21"/>
      <c r="N304" s="22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</row>
    <row r="305" spans="1:45" ht="12.75" customHeight="1" x14ac:dyDescent="0.25">
      <c r="A305" s="20"/>
      <c r="B305" s="20"/>
      <c r="C305" s="20"/>
      <c r="D305" s="20"/>
      <c r="E305" s="20"/>
      <c r="F305" s="20"/>
      <c r="G305" s="20"/>
      <c r="H305" s="20"/>
      <c r="I305" s="20"/>
      <c r="J305" s="21"/>
      <c r="K305" s="21"/>
      <c r="L305" s="21"/>
      <c r="M305" s="21"/>
      <c r="N305" s="22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</row>
    <row r="306" spans="1:45" ht="12.75" customHeight="1" x14ac:dyDescent="0.25">
      <c r="A306" s="20"/>
      <c r="B306" s="20"/>
      <c r="C306" s="20"/>
      <c r="D306" s="20"/>
      <c r="E306" s="20"/>
      <c r="F306" s="20"/>
      <c r="G306" s="20"/>
      <c r="H306" s="20"/>
      <c r="I306" s="20"/>
      <c r="J306" s="21"/>
      <c r="K306" s="21"/>
      <c r="L306" s="21"/>
      <c r="M306" s="21"/>
      <c r="N306" s="22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</row>
    <row r="307" spans="1:45" ht="12.75" customHeight="1" x14ac:dyDescent="0.25">
      <c r="A307" s="20"/>
      <c r="B307" s="20"/>
      <c r="C307" s="20"/>
      <c r="D307" s="20"/>
      <c r="E307" s="20"/>
      <c r="F307" s="20"/>
      <c r="G307" s="20"/>
      <c r="H307" s="20"/>
      <c r="I307" s="20"/>
      <c r="J307" s="21"/>
      <c r="K307" s="21"/>
      <c r="L307" s="21"/>
      <c r="M307" s="21"/>
      <c r="N307" s="22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</row>
    <row r="308" spans="1:45" ht="12.75" customHeight="1" x14ac:dyDescent="0.25">
      <c r="A308" s="20"/>
      <c r="B308" s="20"/>
      <c r="C308" s="20"/>
      <c r="D308" s="20"/>
      <c r="E308" s="20"/>
      <c r="F308" s="20"/>
      <c r="G308" s="20"/>
      <c r="H308" s="20"/>
      <c r="I308" s="20"/>
      <c r="J308" s="21"/>
      <c r="K308" s="21"/>
      <c r="L308" s="21"/>
      <c r="M308" s="21"/>
      <c r="N308" s="22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</row>
    <row r="309" spans="1:45" ht="12.75" customHeight="1" x14ac:dyDescent="0.25">
      <c r="A309" s="20"/>
      <c r="B309" s="20"/>
      <c r="C309" s="20"/>
      <c r="D309" s="20"/>
      <c r="E309" s="20"/>
      <c r="F309" s="20"/>
      <c r="G309" s="20"/>
      <c r="H309" s="20"/>
      <c r="I309" s="20"/>
      <c r="J309" s="21"/>
      <c r="K309" s="21"/>
      <c r="L309" s="21"/>
      <c r="M309" s="21"/>
      <c r="N309" s="22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</row>
    <row r="310" spans="1:45" ht="12.75" customHeight="1" x14ac:dyDescent="0.25">
      <c r="A310" s="20"/>
      <c r="B310" s="20"/>
      <c r="C310" s="20"/>
      <c r="D310" s="20"/>
      <c r="E310" s="20"/>
      <c r="F310" s="20"/>
      <c r="G310" s="20"/>
      <c r="H310" s="20"/>
      <c r="I310" s="20"/>
      <c r="J310" s="21"/>
      <c r="K310" s="21"/>
      <c r="L310" s="21"/>
      <c r="M310" s="21"/>
      <c r="N310" s="22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</row>
    <row r="311" spans="1:45" ht="12.75" customHeight="1" x14ac:dyDescent="0.25">
      <c r="A311" s="20"/>
      <c r="B311" s="20"/>
      <c r="C311" s="20"/>
      <c r="D311" s="20"/>
      <c r="E311" s="20"/>
      <c r="F311" s="20"/>
      <c r="G311" s="20"/>
      <c r="H311" s="20"/>
      <c r="I311" s="20"/>
      <c r="J311" s="21"/>
      <c r="K311" s="21"/>
      <c r="L311" s="21"/>
      <c r="M311" s="21"/>
      <c r="N311" s="22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</row>
    <row r="312" spans="1:45" ht="12.75" customHeight="1" x14ac:dyDescent="0.25">
      <c r="A312" s="20"/>
      <c r="B312" s="20"/>
      <c r="C312" s="20"/>
      <c r="D312" s="20"/>
      <c r="E312" s="20"/>
      <c r="F312" s="20"/>
      <c r="G312" s="20"/>
      <c r="H312" s="20"/>
      <c r="I312" s="20"/>
      <c r="J312" s="21"/>
      <c r="K312" s="21"/>
      <c r="L312" s="21"/>
      <c r="M312" s="21"/>
      <c r="N312" s="22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</row>
    <row r="313" spans="1:45" ht="12.75" customHeight="1" x14ac:dyDescent="0.25">
      <c r="A313" s="20"/>
      <c r="B313" s="20"/>
      <c r="C313" s="20"/>
      <c r="D313" s="20"/>
      <c r="E313" s="20"/>
      <c r="F313" s="20"/>
      <c r="G313" s="20"/>
      <c r="H313" s="20"/>
      <c r="I313" s="20"/>
      <c r="J313" s="21"/>
      <c r="K313" s="21"/>
      <c r="L313" s="21"/>
      <c r="M313" s="21"/>
      <c r="N313" s="22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</row>
    <row r="314" spans="1:45" ht="12.75" customHeight="1" x14ac:dyDescent="0.25">
      <c r="A314" s="20"/>
      <c r="B314" s="20"/>
      <c r="C314" s="20"/>
      <c r="D314" s="20"/>
      <c r="E314" s="20"/>
      <c r="F314" s="20"/>
      <c r="G314" s="20"/>
      <c r="H314" s="20"/>
      <c r="I314" s="20"/>
      <c r="J314" s="21"/>
      <c r="K314" s="21"/>
      <c r="L314" s="21"/>
      <c r="M314" s="21"/>
      <c r="N314" s="22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</row>
    <row r="315" spans="1:45" ht="12.75" customHeight="1" x14ac:dyDescent="0.25">
      <c r="A315" s="20"/>
      <c r="B315" s="20"/>
      <c r="C315" s="20"/>
      <c r="D315" s="20"/>
      <c r="E315" s="20"/>
      <c r="F315" s="20"/>
      <c r="G315" s="20"/>
      <c r="H315" s="20"/>
      <c r="I315" s="20"/>
      <c r="J315" s="21"/>
      <c r="K315" s="21"/>
      <c r="L315" s="21"/>
      <c r="M315" s="21"/>
      <c r="N315" s="22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</row>
    <row r="316" spans="1:45" ht="12.75" customHeight="1" x14ac:dyDescent="0.25">
      <c r="A316" s="20"/>
      <c r="B316" s="20"/>
      <c r="C316" s="20"/>
      <c r="D316" s="20"/>
      <c r="E316" s="20"/>
      <c r="F316" s="20"/>
      <c r="G316" s="20"/>
      <c r="H316" s="20"/>
      <c r="I316" s="20"/>
      <c r="J316" s="21"/>
      <c r="K316" s="21"/>
      <c r="L316" s="21"/>
      <c r="M316" s="21"/>
      <c r="N316" s="22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</row>
    <row r="317" spans="1:45" ht="12.75" customHeight="1" x14ac:dyDescent="0.25">
      <c r="A317" s="20"/>
      <c r="B317" s="20"/>
      <c r="C317" s="20"/>
      <c r="D317" s="20"/>
      <c r="E317" s="20"/>
      <c r="F317" s="20"/>
      <c r="G317" s="20"/>
      <c r="H317" s="20"/>
      <c r="I317" s="20"/>
      <c r="J317" s="21"/>
      <c r="K317" s="21"/>
      <c r="L317" s="21"/>
      <c r="M317" s="21"/>
      <c r="N317" s="22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</row>
    <row r="318" spans="1:45" ht="12.75" customHeight="1" x14ac:dyDescent="0.25">
      <c r="A318" s="20"/>
      <c r="B318" s="20"/>
      <c r="C318" s="20"/>
      <c r="D318" s="20"/>
      <c r="E318" s="20"/>
      <c r="F318" s="20"/>
      <c r="G318" s="20"/>
      <c r="H318" s="20"/>
      <c r="I318" s="20"/>
      <c r="J318" s="21"/>
      <c r="K318" s="21"/>
      <c r="L318" s="21"/>
      <c r="M318" s="21"/>
      <c r="N318" s="22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</row>
    <row r="319" spans="1:45" ht="12.75" customHeight="1" x14ac:dyDescent="0.25">
      <c r="A319" s="20"/>
      <c r="B319" s="20"/>
      <c r="C319" s="20"/>
      <c r="D319" s="20"/>
      <c r="E319" s="20"/>
      <c r="F319" s="20"/>
      <c r="G319" s="20"/>
      <c r="H319" s="20"/>
      <c r="I319" s="20"/>
      <c r="J319" s="21"/>
      <c r="K319" s="21"/>
      <c r="L319" s="21"/>
      <c r="M319" s="21"/>
      <c r="N319" s="22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</row>
    <row r="320" spans="1:45" ht="12.75" customHeight="1" x14ac:dyDescent="0.25">
      <c r="A320" s="20"/>
      <c r="B320" s="20"/>
      <c r="C320" s="20"/>
      <c r="D320" s="20"/>
      <c r="E320" s="20"/>
      <c r="F320" s="20"/>
      <c r="G320" s="20"/>
      <c r="H320" s="20"/>
      <c r="I320" s="20"/>
      <c r="J320" s="21"/>
      <c r="K320" s="21"/>
      <c r="L320" s="21"/>
      <c r="M320" s="21"/>
      <c r="N320" s="22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</row>
    <row r="321" spans="1:45" ht="12.75" customHeight="1" x14ac:dyDescent="0.25">
      <c r="A321" s="20"/>
      <c r="B321" s="20"/>
      <c r="C321" s="20"/>
      <c r="D321" s="20"/>
      <c r="E321" s="20"/>
      <c r="F321" s="20"/>
      <c r="G321" s="20"/>
      <c r="H321" s="20"/>
      <c r="I321" s="20"/>
      <c r="J321" s="21"/>
      <c r="K321" s="21"/>
      <c r="L321" s="21"/>
      <c r="M321" s="21"/>
      <c r="N321" s="22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</row>
    <row r="322" spans="1:45" ht="12.75" customHeight="1" x14ac:dyDescent="0.25">
      <c r="A322" s="20"/>
      <c r="B322" s="20"/>
      <c r="C322" s="20"/>
      <c r="D322" s="20"/>
      <c r="E322" s="20"/>
      <c r="F322" s="20"/>
      <c r="G322" s="20"/>
      <c r="H322" s="20"/>
      <c r="I322" s="20"/>
      <c r="J322" s="21"/>
      <c r="K322" s="21"/>
      <c r="L322" s="21"/>
      <c r="M322" s="21"/>
      <c r="N322" s="22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</row>
    <row r="323" spans="1:45" ht="12.75" customHeight="1" x14ac:dyDescent="0.25">
      <c r="A323" s="20"/>
      <c r="B323" s="20"/>
      <c r="C323" s="20"/>
      <c r="D323" s="20"/>
      <c r="E323" s="20"/>
      <c r="F323" s="20"/>
      <c r="G323" s="20"/>
      <c r="H323" s="20"/>
      <c r="I323" s="20"/>
      <c r="J323" s="21"/>
      <c r="K323" s="21"/>
      <c r="L323" s="21"/>
      <c r="M323" s="21"/>
      <c r="N323" s="22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</row>
    <row r="324" spans="1:45" ht="12.75" customHeight="1" x14ac:dyDescent="0.25">
      <c r="A324" s="20"/>
      <c r="B324" s="20"/>
      <c r="C324" s="20"/>
      <c r="D324" s="20"/>
      <c r="E324" s="20"/>
      <c r="F324" s="20"/>
      <c r="G324" s="20"/>
      <c r="H324" s="20"/>
      <c r="I324" s="20"/>
      <c r="J324" s="21"/>
      <c r="K324" s="21"/>
      <c r="L324" s="21"/>
      <c r="M324" s="21"/>
      <c r="N324" s="22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</row>
    <row r="325" spans="1:45" ht="12.75" customHeight="1" x14ac:dyDescent="0.25">
      <c r="A325" s="20"/>
      <c r="B325" s="20"/>
      <c r="C325" s="20"/>
      <c r="D325" s="20"/>
      <c r="E325" s="20"/>
      <c r="F325" s="20"/>
      <c r="G325" s="20"/>
      <c r="H325" s="20"/>
      <c r="I325" s="20"/>
      <c r="J325" s="21"/>
      <c r="K325" s="21"/>
      <c r="L325" s="21"/>
      <c r="M325" s="21"/>
      <c r="N325" s="22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</row>
    <row r="326" spans="1:45" ht="12.75" customHeight="1" x14ac:dyDescent="0.25">
      <c r="A326" s="20"/>
      <c r="B326" s="20"/>
      <c r="C326" s="20"/>
      <c r="D326" s="20"/>
      <c r="E326" s="20"/>
      <c r="F326" s="20"/>
      <c r="G326" s="20"/>
      <c r="H326" s="20"/>
      <c r="I326" s="20"/>
      <c r="J326" s="21"/>
      <c r="K326" s="21"/>
      <c r="L326" s="21"/>
      <c r="M326" s="21"/>
      <c r="N326" s="22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</row>
    <row r="327" spans="1:45" ht="12.75" customHeight="1" x14ac:dyDescent="0.25">
      <c r="A327" s="20"/>
      <c r="B327" s="20"/>
      <c r="C327" s="20"/>
      <c r="D327" s="20"/>
      <c r="E327" s="20"/>
      <c r="F327" s="20"/>
      <c r="G327" s="20"/>
      <c r="H327" s="20"/>
      <c r="I327" s="20"/>
      <c r="J327" s="21"/>
      <c r="K327" s="21"/>
      <c r="L327" s="21"/>
      <c r="M327" s="21"/>
      <c r="N327" s="22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</row>
    <row r="328" spans="1:45" ht="12.75" customHeight="1" x14ac:dyDescent="0.25">
      <c r="A328" s="20"/>
      <c r="B328" s="20"/>
      <c r="C328" s="20"/>
      <c r="D328" s="20"/>
      <c r="E328" s="20"/>
      <c r="F328" s="20"/>
      <c r="G328" s="20"/>
      <c r="H328" s="20"/>
      <c r="I328" s="20"/>
      <c r="J328" s="21"/>
      <c r="K328" s="21"/>
      <c r="L328" s="21"/>
      <c r="M328" s="21"/>
      <c r="N328" s="22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</row>
    <row r="329" spans="1:45" ht="12.75" customHeight="1" x14ac:dyDescent="0.25">
      <c r="A329" s="20"/>
      <c r="B329" s="20"/>
      <c r="C329" s="20"/>
      <c r="D329" s="20"/>
      <c r="E329" s="20"/>
      <c r="F329" s="20"/>
      <c r="G329" s="20"/>
      <c r="H329" s="20"/>
      <c r="I329" s="20"/>
      <c r="J329" s="21"/>
      <c r="K329" s="21"/>
      <c r="L329" s="21"/>
      <c r="M329" s="21"/>
      <c r="N329" s="22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</row>
    <row r="330" spans="1:45" ht="12.75" customHeight="1" x14ac:dyDescent="0.25">
      <c r="A330" s="20"/>
      <c r="B330" s="20"/>
      <c r="C330" s="20"/>
      <c r="D330" s="20"/>
      <c r="E330" s="20"/>
      <c r="F330" s="20"/>
      <c r="G330" s="20"/>
      <c r="H330" s="20"/>
      <c r="I330" s="20"/>
      <c r="J330" s="21"/>
      <c r="K330" s="21"/>
      <c r="L330" s="21"/>
      <c r="M330" s="21"/>
      <c r="N330" s="22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</row>
    <row r="331" spans="1:45" ht="12.75" customHeight="1" x14ac:dyDescent="0.25">
      <c r="A331" s="20"/>
      <c r="B331" s="20"/>
      <c r="C331" s="20"/>
      <c r="D331" s="20"/>
      <c r="E331" s="20"/>
      <c r="F331" s="20"/>
      <c r="G331" s="20"/>
      <c r="H331" s="20"/>
      <c r="I331" s="20"/>
      <c r="J331" s="21"/>
      <c r="K331" s="21"/>
      <c r="L331" s="21"/>
      <c r="M331" s="21"/>
      <c r="N331" s="22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</row>
    <row r="332" spans="1:45" ht="12.75" customHeight="1" x14ac:dyDescent="0.25">
      <c r="A332" s="20"/>
      <c r="B332" s="20"/>
      <c r="C332" s="20"/>
      <c r="D332" s="20"/>
      <c r="E332" s="20"/>
      <c r="F332" s="20"/>
      <c r="G332" s="20"/>
      <c r="H332" s="20"/>
      <c r="I332" s="20"/>
      <c r="J332" s="21"/>
      <c r="K332" s="21"/>
      <c r="L332" s="21"/>
      <c r="M332" s="21"/>
      <c r="N332" s="22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</row>
    <row r="333" spans="1:45" ht="12.75" customHeight="1" x14ac:dyDescent="0.25">
      <c r="A333" s="20"/>
      <c r="B333" s="20"/>
      <c r="C333" s="20"/>
      <c r="D333" s="20"/>
      <c r="E333" s="20"/>
      <c r="F333" s="20"/>
      <c r="G333" s="20"/>
      <c r="H333" s="20"/>
      <c r="I333" s="20"/>
      <c r="J333" s="21"/>
      <c r="K333" s="21"/>
      <c r="L333" s="21"/>
      <c r="M333" s="21"/>
      <c r="N333" s="22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</row>
    <row r="334" spans="1:45" ht="12.75" customHeight="1" x14ac:dyDescent="0.25">
      <c r="A334" s="20"/>
      <c r="B334" s="20"/>
      <c r="C334" s="20"/>
      <c r="D334" s="20"/>
      <c r="E334" s="20"/>
      <c r="F334" s="20"/>
      <c r="G334" s="20"/>
      <c r="H334" s="20"/>
      <c r="I334" s="20"/>
      <c r="J334" s="21"/>
      <c r="K334" s="21"/>
      <c r="L334" s="21"/>
      <c r="M334" s="21"/>
      <c r="N334" s="22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</row>
    <row r="335" spans="1:45" ht="12.75" customHeight="1" x14ac:dyDescent="0.25">
      <c r="A335" s="20"/>
      <c r="B335" s="20"/>
      <c r="C335" s="20"/>
      <c r="D335" s="20"/>
      <c r="E335" s="20"/>
      <c r="F335" s="20"/>
      <c r="G335" s="20"/>
      <c r="H335" s="20"/>
      <c r="I335" s="20"/>
      <c r="J335" s="21"/>
      <c r="K335" s="21"/>
      <c r="L335" s="21"/>
      <c r="M335" s="21"/>
      <c r="N335" s="22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</row>
    <row r="336" spans="1:45" ht="12.75" customHeight="1" x14ac:dyDescent="0.25">
      <c r="A336" s="20"/>
      <c r="B336" s="20"/>
      <c r="C336" s="20"/>
      <c r="D336" s="20"/>
      <c r="E336" s="20"/>
      <c r="F336" s="20"/>
      <c r="G336" s="20"/>
      <c r="H336" s="20"/>
      <c r="I336" s="20"/>
      <c r="J336" s="21"/>
      <c r="K336" s="21"/>
      <c r="L336" s="21"/>
      <c r="M336" s="21"/>
      <c r="N336" s="22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</row>
    <row r="337" spans="1:45" ht="12.75" customHeight="1" x14ac:dyDescent="0.25">
      <c r="A337" s="20"/>
      <c r="B337" s="20"/>
      <c r="C337" s="20"/>
      <c r="D337" s="20"/>
      <c r="E337" s="20"/>
      <c r="F337" s="20"/>
      <c r="G337" s="20"/>
      <c r="H337" s="20"/>
      <c r="I337" s="20"/>
      <c r="J337" s="21"/>
      <c r="K337" s="21"/>
      <c r="L337" s="21"/>
      <c r="M337" s="21"/>
      <c r="N337" s="22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</row>
    <row r="338" spans="1:45" ht="12.75" customHeight="1" x14ac:dyDescent="0.25">
      <c r="A338" s="20"/>
      <c r="B338" s="20"/>
      <c r="C338" s="20"/>
      <c r="D338" s="20"/>
      <c r="E338" s="20"/>
      <c r="F338" s="20"/>
      <c r="G338" s="20"/>
      <c r="H338" s="20"/>
      <c r="I338" s="20"/>
      <c r="J338" s="21"/>
      <c r="K338" s="21"/>
      <c r="L338" s="21"/>
      <c r="M338" s="21"/>
      <c r="N338" s="22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</row>
    <row r="339" spans="1:45" ht="12.75" customHeight="1" x14ac:dyDescent="0.25">
      <c r="A339" s="20"/>
      <c r="B339" s="20"/>
      <c r="C339" s="20"/>
      <c r="D339" s="20"/>
      <c r="E339" s="20"/>
      <c r="F339" s="20"/>
      <c r="G339" s="20"/>
      <c r="H339" s="20"/>
      <c r="I339" s="20"/>
      <c r="J339" s="21"/>
      <c r="K339" s="21"/>
      <c r="L339" s="21"/>
      <c r="M339" s="21"/>
      <c r="N339" s="22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</row>
    <row r="340" spans="1:45" ht="12.75" customHeight="1" x14ac:dyDescent="0.25">
      <c r="A340" s="20"/>
      <c r="B340" s="20"/>
      <c r="C340" s="20"/>
      <c r="D340" s="20"/>
      <c r="E340" s="20"/>
      <c r="F340" s="20"/>
      <c r="G340" s="20"/>
      <c r="H340" s="20"/>
      <c r="I340" s="20"/>
      <c r="J340" s="21"/>
      <c r="K340" s="21"/>
      <c r="L340" s="21"/>
      <c r="M340" s="21"/>
      <c r="N340" s="22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</row>
    <row r="341" spans="1:45" ht="12.75" customHeight="1" x14ac:dyDescent="0.25">
      <c r="A341" s="20"/>
      <c r="B341" s="20"/>
      <c r="C341" s="20"/>
      <c r="D341" s="20"/>
      <c r="E341" s="20"/>
      <c r="F341" s="20"/>
      <c r="G341" s="20"/>
      <c r="H341" s="20"/>
      <c r="I341" s="20"/>
      <c r="J341" s="21"/>
      <c r="K341" s="21"/>
      <c r="L341" s="21"/>
      <c r="M341" s="21"/>
      <c r="N341" s="22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</row>
    <row r="342" spans="1:45" ht="12.75" customHeight="1" x14ac:dyDescent="0.25">
      <c r="A342" s="20"/>
      <c r="B342" s="20"/>
      <c r="C342" s="20"/>
      <c r="D342" s="20"/>
      <c r="E342" s="20"/>
      <c r="F342" s="20"/>
      <c r="G342" s="20"/>
      <c r="H342" s="20"/>
      <c r="I342" s="20"/>
      <c r="J342" s="21"/>
      <c r="K342" s="21"/>
      <c r="L342" s="21"/>
      <c r="M342" s="21"/>
      <c r="N342" s="22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</row>
    <row r="343" spans="1:45" ht="12.75" customHeight="1" x14ac:dyDescent="0.25">
      <c r="A343" s="20"/>
      <c r="B343" s="20"/>
      <c r="C343" s="20"/>
      <c r="D343" s="20"/>
      <c r="E343" s="20"/>
      <c r="F343" s="20"/>
      <c r="G343" s="20"/>
      <c r="H343" s="20"/>
      <c r="I343" s="20"/>
      <c r="J343" s="21"/>
      <c r="K343" s="21"/>
      <c r="L343" s="21"/>
      <c r="M343" s="21"/>
      <c r="N343" s="22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</row>
    <row r="344" spans="1:45" ht="12.75" customHeight="1" x14ac:dyDescent="0.25">
      <c r="A344" s="20"/>
      <c r="B344" s="20"/>
      <c r="C344" s="20"/>
      <c r="D344" s="20"/>
      <c r="E344" s="20"/>
      <c r="F344" s="20"/>
      <c r="G344" s="20"/>
      <c r="H344" s="20"/>
      <c r="I344" s="20"/>
      <c r="J344" s="21"/>
      <c r="K344" s="21"/>
      <c r="L344" s="21"/>
      <c r="M344" s="21"/>
      <c r="N344" s="22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</row>
    <row r="345" spans="1:45" ht="12.75" customHeight="1" x14ac:dyDescent="0.25">
      <c r="A345" s="20"/>
      <c r="B345" s="20"/>
      <c r="C345" s="20"/>
      <c r="D345" s="20"/>
      <c r="E345" s="20"/>
      <c r="F345" s="20"/>
      <c r="G345" s="20"/>
      <c r="H345" s="20"/>
      <c r="I345" s="20"/>
      <c r="J345" s="21"/>
      <c r="K345" s="21"/>
      <c r="L345" s="21"/>
      <c r="M345" s="21"/>
      <c r="N345" s="22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</row>
    <row r="346" spans="1:45" ht="12.75" customHeight="1" x14ac:dyDescent="0.25">
      <c r="A346" s="20"/>
      <c r="B346" s="20"/>
      <c r="C346" s="20"/>
      <c r="D346" s="20"/>
      <c r="E346" s="20"/>
      <c r="F346" s="20"/>
      <c r="G346" s="20"/>
      <c r="H346" s="20"/>
      <c r="I346" s="20"/>
      <c r="J346" s="21"/>
      <c r="K346" s="21"/>
      <c r="L346" s="21"/>
      <c r="M346" s="21"/>
      <c r="N346" s="22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</row>
    <row r="347" spans="1:45" ht="12.75" customHeight="1" x14ac:dyDescent="0.25">
      <c r="A347" s="20"/>
      <c r="B347" s="20"/>
      <c r="C347" s="20"/>
      <c r="D347" s="20"/>
      <c r="E347" s="20"/>
      <c r="F347" s="20"/>
      <c r="G347" s="20"/>
      <c r="H347" s="20"/>
      <c r="I347" s="20"/>
      <c r="J347" s="21"/>
      <c r="K347" s="21"/>
      <c r="L347" s="21"/>
      <c r="M347" s="21"/>
      <c r="N347" s="22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</row>
    <row r="348" spans="1:45" ht="12.75" customHeight="1" x14ac:dyDescent="0.25">
      <c r="A348" s="20"/>
      <c r="B348" s="20"/>
      <c r="C348" s="20"/>
      <c r="D348" s="20"/>
      <c r="E348" s="20"/>
      <c r="F348" s="20"/>
      <c r="G348" s="20"/>
      <c r="H348" s="20"/>
      <c r="I348" s="20"/>
      <c r="J348" s="21"/>
      <c r="K348" s="21"/>
      <c r="L348" s="21"/>
      <c r="M348" s="21"/>
      <c r="N348" s="22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</row>
    <row r="349" spans="1:45" ht="12.75" customHeight="1" x14ac:dyDescent="0.25">
      <c r="A349" s="20"/>
      <c r="B349" s="20"/>
      <c r="C349" s="20"/>
      <c r="D349" s="20"/>
      <c r="E349" s="20"/>
      <c r="F349" s="20"/>
      <c r="G349" s="20"/>
      <c r="H349" s="20"/>
      <c r="I349" s="20"/>
      <c r="J349" s="21"/>
      <c r="K349" s="21"/>
      <c r="L349" s="21"/>
      <c r="M349" s="21"/>
      <c r="N349" s="22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</row>
    <row r="350" spans="1:45" ht="12.75" customHeight="1" x14ac:dyDescent="0.25">
      <c r="A350" s="20"/>
      <c r="B350" s="20"/>
      <c r="C350" s="20"/>
      <c r="D350" s="20"/>
      <c r="E350" s="20"/>
      <c r="F350" s="20"/>
      <c r="G350" s="20"/>
      <c r="H350" s="20"/>
      <c r="I350" s="20"/>
      <c r="J350" s="21"/>
      <c r="K350" s="21"/>
      <c r="L350" s="21"/>
      <c r="M350" s="21"/>
      <c r="N350" s="22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</row>
    <row r="351" spans="1:45" ht="12.75" customHeight="1" x14ac:dyDescent="0.25">
      <c r="A351" s="20"/>
      <c r="B351" s="20"/>
      <c r="C351" s="20"/>
      <c r="D351" s="20"/>
      <c r="E351" s="20"/>
      <c r="F351" s="20"/>
      <c r="G351" s="20"/>
      <c r="H351" s="20"/>
      <c r="I351" s="20"/>
      <c r="J351" s="21"/>
      <c r="K351" s="21"/>
      <c r="L351" s="21"/>
      <c r="M351" s="21"/>
      <c r="N351" s="22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</row>
    <row r="352" spans="1:45" ht="12.75" customHeight="1" x14ac:dyDescent="0.25">
      <c r="A352" s="20"/>
      <c r="B352" s="20"/>
      <c r="C352" s="20"/>
      <c r="D352" s="20"/>
      <c r="E352" s="20"/>
      <c r="F352" s="20"/>
      <c r="G352" s="20"/>
      <c r="H352" s="20"/>
      <c r="I352" s="20"/>
      <c r="J352" s="21"/>
      <c r="K352" s="21"/>
      <c r="L352" s="21"/>
      <c r="M352" s="21"/>
      <c r="N352" s="22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</row>
    <row r="353" spans="1:45" ht="12.75" customHeight="1" x14ac:dyDescent="0.25">
      <c r="A353" s="20"/>
      <c r="B353" s="20"/>
      <c r="C353" s="20"/>
      <c r="D353" s="20"/>
      <c r="E353" s="20"/>
      <c r="F353" s="20"/>
      <c r="G353" s="20"/>
      <c r="H353" s="20"/>
      <c r="I353" s="20"/>
      <c r="J353" s="21"/>
      <c r="K353" s="21"/>
      <c r="L353" s="21"/>
      <c r="M353" s="21"/>
      <c r="N353" s="22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</row>
    <row r="354" spans="1:45" ht="12.75" customHeight="1" x14ac:dyDescent="0.25">
      <c r="A354" s="20"/>
      <c r="B354" s="20"/>
      <c r="C354" s="20"/>
      <c r="D354" s="20"/>
      <c r="E354" s="20"/>
      <c r="F354" s="20"/>
      <c r="G354" s="20"/>
      <c r="H354" s="20"/>
      <c r="I354" s="20"/>
      <c r="J354" s="21"/>
      <c r="K354" s="21"/>
      <c r="L354" s="21"/>
      <c r="M354" s="21"/>
      <c r="N354" s="22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</row>
    <row r="355" spans="1:45" ht="12.75" customHeight="1" x14ac:dyDescent="0.25">
      <c r="A355" s="20"/>
      <c r="B355" s="20"/>
      <c r="C355" s="20"/>
      <c r="D355" s="20"/>
      <c r="E355" s="20"/>
      <c r="F355" s="20"/>
      <c r="G355" s="20"/>
      <c r="H355" s="20"/>
      <c r="I355" s="20"/>
      <c r="J355" s="21"/>
      <c r="K355" s="21"/>
      <c r="L355" s="21"/>
      <c r="M355" s="21"/>
      <c r="N355" s="22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</row>
    <row r="356" spans="1:45" ht="12.75" customHeight="1" x14ac:dyDescent="0.25">
      <c r="A356" s="20"/>
      <c r="B356" s="20"/>
      <c r="C356" s="20"/>
      <c r="D356" s="20"/>
      <c r="E356" s="20"/>
      <c r="F356" s="20"/>
      <c r="G356" s="20"/>
      <c r="H356" s="20"/>
      <c r="I356" s="20"/>
      <c r="J356" s="21"/>
      <c r="K356" s="21"/>
      <c r="L356" s="21"/>
      <c r="M356" s="21"/>
      <c r="N356" s="22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</row>
    <row r="357" spans="1:45" ht="12.75" customHeight="1" x14ac:dyDescent="0.25">
      <c r="A357" s="20"/>
      <c r="B357" s="20"/>
      <c r="C357" s="20"/>
      <c r="D357" s="20"/>
      <c r="E357" s="20"/>
      <c r="F357" s="20"/>
      <c r="G357" s="20"/>
      <c r="H357" s="20"/>
      <c r="I357" s="20"/>
      <c r="J357" s="21"/>
      <c r="K357" s="21"/>
      <c r="L357" s="21"/>
      <c r="M357" s="21"/>
      <c r="N357" s="22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</row>
    <row r="358" spans="1:45" ht="12.75" customHeight="1" x14ac:dyDescent="0.25">
      <c r="A358" s="20"/>
      <c r="B358" s="20"/>
      <c r="C358" s="20"/>
      <c r="D358" s="20"/>
      <c r="E358" s="20"/>
      <c r="F358" s="20"/>
      <c r="G358" s="20"/>
      <c r="H358" s="20"/>
      <c r="I358" s="20"/>
      <c r="J358" s="21"/>
      <c r="K358" s="21"/>
      <c r="L358" s="21"/>
      <c r="M358" s="21"/>
      <c r="N358" s="22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</row>
    <row r="359" spans="1:45" ht="12.75" customHeight="1" x14ac:dyDescent="0.25">
      <c r="A359" s="20"/>
      <c r="B359" s="20"/>
      <c r="C359" s="20"/>
      <c r="D359" s="20"/>
      <c r="E359" s="20"/>
      <c r="F359" s="20"/>
      <c r="G359" s="20"/>
      <c r="H359" s="20"/>
      <c r="I359" s="20"/>
      <c r="J359" s="21"/>
      <c r="K359" s="21"/>
      <c r="L359" s="21"/>
      <c r="M359" s="21"/>
      <c r="N359" s="22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</row>
    <row r="360" spans="1:45" ht="12.75" customHeight="1" x14ac:dyDescent="0.25">
      <c r="A360" s="20"/>
      <c r="B360" s="20"/>
      <c r="C360" s="20"/>
      <c r="D360" s="20"/>
      <c r="E360" s="20"/>
      <c r="F360" s="20"/>
      <c r="G360" s="20"/>
      <c r="H360" s="20"/>
      <c r="I360" s="20"/>
      <c r="J360" s="21"/>
      <c r="K360" s="21"/>
      <c r="L360" s="21"/>
      <c r="M360" s="21"/>
      <c r="N360" s="22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</row>
    <row r="361" spans="1:45" ht="12.75" customHeight="1" x14ac:dyDescent="0.25">
      <c r="A361" s="20"/>
      <c r="B361" s="20"/>
      <c r="C361" s="20"/>
      <c r="D361" s="20"/>
      <c r="E361" s="20"/>
      <c r="F361" s="20"/>
      <c r="G361" s="20"/>
      <c r="H361" s="20"/>
      <c r="I361" s="20"/>
      <c r="J361" s="21"/>
      <c r="K361" s="21"/>
      <c r="L361" s="21"/>
      <c r="M361" s="21"/>
      <c r="N361" s="22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</row>
    <row r="362" spans="1:45" ht="12.75" customHeight="1" x14ac:dyDescent="0.25">
      <c r="A362" s="20"/>
      <c r="B362" s="20"/>
      <c r="C362" s="20"/>
      <c r="D362" s="20"/>
      <c r="E362" s="20"/>
      <c r="F362" s="20"/>
      <c r="G362" s="20"/>
      <c r="H362" s="20"/>
      <c r="I362" s="20"/>
      <c r="J362" s="21"/>
      <c r="K362" s="21"/>
      <c r="L362" s="21"/>
      <c r="M362" s="21"/>
      <c r="N362" s="22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</row>
    <row r="363" spans="1:45" ht="12.75" customHeight="1" x14ac:dyDescent="0.25">
      <c r="A363" s="20"/>
      <c r="B363" s="20"/>
      <c r="C363" s="20"/>
      <c r="D363" s="20"/>
      <c r="E363" s="20"/>
      <c r="F363" s="20"/>
      <c r="G363" s="20"/>
      <c r="H363" s="20"/>
      <c r="I363" s="20"/>
      <c r="J363" s="21"/>
      <c r="K363" s="21"/>
      <c r="L363" s="21"/>
      <c r="M363" s="21"/>
      <c r="N363" s="22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</row>
    <row r="364" spans="1:45" ht="12.75" customHeight="1" x14ac:dyDescent="0.25">
      <c r="A364" s="20"/>
      <c r="B364" s="20"/>
      <c r="C364" s="20"/>
      <c r="D364" s="20"/>
      <c r="E364" s="20"/>
      <c r="F364" s="20"/>
      <c r="G364" s="20"/>
      <c r="H364" s="20"/>
      <c r="I364" s="20"/>
      <c r="J364" s="21"/>
      <c r="K364" s="21"/>
      <c r="L364" s="21"/>
      <c r="M364" s="21"/>
      <c r="N364" s="22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</row>
    <row r="365" spans="1:45" ht="12.75" customHeight="1" x14ac:dyDescent="0.25">
      <c r="A365" s="20"/>
      <c r="B365" s="20"/>
      <c r="C365" s="20"/>
      <c r="D365" s="20"/>
      <c r="E365" s="20"/>
      <c r="F365" s="20"/>
      <c r="G365" s="20"/>
      <c r="H365" s="20"/>
      <c r="I365" s="20"/>
      <c r="J365" s="21"/>
      <c r="K365" s="21"/>
      <c r="L365" s="21"/>
      <c r="M365" s="21"/>
      <c r="N365" s="22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</row>
    <row r="366" spans="1:45" ht="12.75" customHeight="1" x14ac:dyDescent="0.25">
      <c r="A366" s="20"/>
      <c r="B366" s="20"/>
      <c r="C366" s="20"/>
      <c r="D366" s="20"/>
      <c r="E366" s="20"/>
      <c r="F366" s="20"/>
      <c r="G366" s="20"/>
      <c r="H366" s="20"/>
      <c r="I366" s="20"/>
      <c r="J366" s="21"/>
      <c r="K366" s="21"/>
      <c r="L366" s="21"/>
      <c r="M366" s="21"/>
      <c r="N366" s="22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</row>
    <row r="367" spans="1:45" ht="12.75" customHeight="1" x14ac:dyDescent="0.25">
      <c r="A367" s="20"/>
      <c r="B367" s="20"/>
      <c r="C367" s="20"/>
      <c r="D367" s="20"/>
      <c r="E367" s="20"/>
      <c r="F367" s="20"/>
      <c r="G367" s="20"/>
      <c r="H367" s="20"/>
      <c r="I367" s="20"/>
      <c r="J367" s="21"/>
      <c r="K367" s="21"/>
      <c r="L367" s="21"/>
      <c r="M367" s="21"/>
      <c r="N367" s="22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</row>
    <row r="368" spans="1:45" ht="12.75" customHeight="1" x14ac:dyDescent="0.25">
      <c r="A368" s="20"/>
      <c r="B368" s="20"/>
      <c r="C368" s="20"/>
      <c r="D368" s="20"/>
      <c r="E368" s="20"/>
      <c r="F368" s="20"/>
      <c r="G368" s="20"/>
      <c r="H368" s="20"/>
      <c r="I368" s="20"/>
      <c r="J368" s="21"/>
      <c r="K368" s="21"/>
      <c r="L368" s="21"/>
      <c r="M368" s="21"/>
      <c r="N368" s="22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</row>
    <row r="369" spans="1:45" ht="12.75" customHeight="1" x14ac:dyDescent="0.25">
      <c r="A369" s="20"/>
      <c r="B369" s="20"/>
      <c r="C369" s="20"/>
      <c r="D369" s="20"/>
      <c r="E369" s="20"/>
      <c r="F369" s="20"/>
      <c r="G369" s="20"/>
      <c r="H369" s="20"/>
      <c r="I369" s="20"/>
      <c r="J369" s="21"/>
      <c r="K369" s="21"/>
      <c r="L369" s="21"/>
      <c r="M369" s="21"/>
      <c r="N369" s="22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</row>
    <row r="370" spans="1:45" ht="12.75" customHeight="1" x14ac:dyDescent="0.25">
      <c r="A370" s="20"/>
      <c r="B370" s="20"/>
      <c r="C370" s="20"/>
      <c r="D370" s="20"/>
      <c r="E370" s="20"/>
      <c r="F370" s="20"/>
      <c r="G370" s="20"/>
      <c r="H370" s="20"/>
      <c r="I370" s="20"/>
      <c r="J370" s="21"/>
      <c r="K370" s="21"/>
      <c r="L370" s="21"/>
      <c r="M370" s="21"/>
      <c r="N370" s="22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</row>
    <row r="371" spans="1:45" ht="12.75" customHeight="1" x14ac:dyDescent="0.25">
      <c r="A371" s="20"/>
      <c r="B371" s="20"/>
      <c r="C371" s="20"/>
      <c r="D371" s="20"/>
      <c r="E371" s="20"/>
      <c r="F371" s="20"/>
      <c r="G371" s="20"/>
      <c r="H371" s="20"/>
      <c r="I371" s="20"/>
      <c r="J371" s="21"/>
      <c r="K371" s="21"/>
      <c r="L371" s="21"/>
      <c r="M371" s="21"/>
      <c r="N371" s="22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</row>
    <row r="372" spans="1:45" ht="12.75" customHeight="1" x14ac:dyDescent="0.25">
      <c r="A372" s="20"/>
      <c r="B372" s="20"/>
      <c r="C372" s="20"/>
      <c r="D372" s="20"/>
      <c r="E372" s="20"/>
      <c r="F372" s="20"/>
      <c r="G372" s="20"/>
      <c r="H372" s="20"/>
      <c r="I372" s="20"/>
      <c r="J372" s="21"/>
      <c r="K372" s="21"/>
      <c r="L372" s="21"/>
      <c r="M372" s="21"/>
      <c r="N372" s="22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</row>
    <row r="373" spans="1:45" ht="12.75" customHeight="1" x14ac:dyDescent="0.25">
      <c r="A373" s="20"/>
      <c r="B373" s="20"/>
      <c r="C373" s="20"/>
      <c r="D373" s="20"/>
      <c r="E373" s="20"/>
      <c r="F373" s="20"/>
      <c r="G373" s="20"/>
      <c r="H373" s="20"/>
      <c r="I373" s="20"/>
      <c r="J373" s="21"/>
      <c r="K373" s="21"/>
      <c r="L373" s="21"/>
      <c r="M373" s="21"/>
      <c r="N373" s="22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</row>
    <row r="374" spans="1:45" ht="12.75" customHeight="1" x14ac:dyDescent="0.25">
      <c r="A374" s="20"/>
      <c r="B374" s="20"/>
      <c r="C374" s="20"/>
      <c r="D374" s="20"/>
      <c r="E374" s="20"/>
      <c r="F374" s="20"/>
      <c r="G374" s="20"/>
      <c r="H374" s="20"/>
      <c r="I374" s="20"/>
      <c r="J374" s="21"/>
      <c r="K374" s="21"/>
      <c r="L374" s="21"/>
      <c r="M374" s="21"/>
      <c r="N374" s="22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</row>
    <row r="375" spans="1:45" ht="12.75" customHeight="1" x14ac:dyDescent="0.25">
      <c r="A375" s="20"/>
      <c r="B375" s="20"/>
      <c r="C375" s="20"/>
      <c r="D375" s="20"/>
      <c r="E375" s="20"/>
      <c r="F375" s="20"/>
      <c r="G375" s="20"/>
      <c r="H375" s="20"/>
      <c r="I375" s="20"/>
      <c r="J375" s="21"/>
      <c r="K375" s="21"/>
      <c r="L375" s="21"/>
      <c r="M375" s="21"/>
      <c r="N375" s="22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</row>
    <row r="376" spans="1:45" ht="12.75" customHeight="1" x14ac:dyDescent="0.25">
      <c r="A376" s="20"/>
      <c r="B376" s="20"/>
      <c r="C376" s="20"/>
      <c r="D376" s="20"/>
      <c r="E376" s="20"/>
      <c r="F376" s="20"/>
      <c r="G376" s="20"/>
      <c r="H376" s="20"/>
      <c r="I376" s="20"/>
      <c r="J376" s="21"/>
      <c r="K376" s="21"/>
      <c r="L376" s="21"/>
      <c r="M376" s="21"/>
      <c r="N376" s="22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</row>
    <row r="377" spans="1:45" ht="12.75" customHeight="1" x14ac:dyDescent="0.25">
      <c r="A377" s="20"/>
      <c r="B377" s="20"/>
      <c r="C377" s="20"/>
      <c r="D377" s="20"/>
      <c r="E377" s="20"/>
      <c r="F377" s="20"/>
      <c r="G377" s="20"/>
      <c r="H377" s="20"/>
      <c r="I377" s="20"/>
      <c r="J377" s="21"/>
      <c r="K377" s="21"/>
      <c r="L377" s="21"/>
      <c r="M377" s="21"/>
      <c r="N377" s="22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</row>
    <row r="378" spans="1:45" ht="12.75" customHeight="1" x14ac:dyDescent="0.25">
      <c r="A378" s="20"/>
      <c r="B378" s="20"/>
      <c r="C378" s="20"/>
      <c r="D378" s="20"/>
      <c r="E378" s="20"/>
      <c r="F378" s="20"/>
      <c r="G378" s="20"/>
      <c r="H378" s="20"/>
      <c r="I378" s="20"/>
      <c r="J378" s="21"/>
      <c r="K378" s="21"/>
      <c r="L378" s="21"/>
      <c r="M378" s="21"/>
      <c r="N378" s="22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</row>
    <row r="379" spans="1:45" ht="12.75" customHeight="1" x14ac:dyDescent="0.25">
      <c r="A379" s="20"/>
      <c r="B379" s="20"/>
      <c r="C379" s="20"/>
      <c r="D379" s="20"/>
      <c r="E379" s="20"/>
      <c r="F379" s="20"/>
      <c r="G379" s="20"/>
      <c r="H379" s="20"/>
      <c r="I379" s="20"/>
      <c r="J379" s="21"/>
      <c r="K379" s="21"/>
      <c r="L379" s="21"/>
      <c r="M379" s="21"/>
      <c r="N379" s="22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</row>
    <row r="380" spans="1:45" ht="12.75" customHeight="1" x14ac:dyDescent="0.25">
      <c r="A380" s="20"/>
      <c r="B380" s="20"/>
      <c r="C380" s="20"/>
      <c r="D380" s="20"/>
      <c r="E380" s="20"/>
      <c r="F380" s="20"/>
      <c r="G380" s="20"/>
      <c r="H380" s="20"/>
      <c r="I380" s="20"/>
      <c r="J380" s="21"/>
      <c r="K380" s="21"/>
      <c r="L380" s="21"/>
      <c r="M380" s="21"/>
      <c r="N380" s="22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</row>
    <row r="381" spans="1:45" ht="12.75" customHeight="1" x14ac:dyDescent="0.25">
      <c r="A381" s="20"/>
      <c r="B381" s="20"/>
      <c r="C381" s="20"/>
      <c r="D381" s="20"/>
      <c r="E381" s="20"/>
      <c r="F381" s="20"/>
      <c r="G381" s="20"/>
      <c r="H381" s="20"/>
      <c r="I381" s="20"/>
      <c r="J381" s="21"/>
      <c r="K381" s="21"/>
      <c r="L381" s="21"/>
      <c r="M381" s="21"/>
      <c r="N381" s="22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</row>
    <row r="382" spans="1:45" ht="12.75" customHeight="1" x14ac:dyDescent="0.25">
      <c r="A382" s="20"/>
      <c r="B382" s="20"/>
      <c r="C382" s="20"/>
      <c r="D382" s="20"/>
      <c r="E382" s="20"/>
      <c r="F382" s="20"/>
      <c r="G382" s="20"/>
      <c r="H382" s="20"/>
      <c r="I382" s="20"/>
      <c r="J382" s="21"/>
      <c r="K382" s="21"/>
      <c r="L382" s="21"/>
      <c r="M382" s="21"/>
      <c r="N382" s="22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</row>
    <row r="383" spans="1:45" ht="12.75" customHeight="1" x14ac:dyDescent="0.25">
      <c r="A383" s="20"/>
      <c r="B383" s="20"/>
      <c r="C383" s="20"/>
      <c r="D383" s="20"/>
      <c r="E383" s="20"/>
      <c r="F383" s="20"/>
      <c r="G383" s="20"/>
      <c r="H383" s="20"/>
      <c r="I383" s="20"/>
      <c r="J383" s="21"/>
      <c r="K383" s="21"/>
      <c r="L383" s="21"/>
      <c r="M383" s="21"/>
      <c r="N383" s="22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</row>
    <row r="384" spans="1:45" ht="12.75" customHeight="1" x14ac:dyDescent="0.25">
      <c r="A384" s="20"/>
      <c r="B384" s="20"/>
      <c r="C384" s="20"/>
      <c r="D384" s="20"/>
      <c r="E384" s="20"/>
      <c r="F384" s="20"/>
      <c r="G384" s="20"/>
      <c r="H384" s="20"/>
      <c r="I384" s="20"/>
      <c r="J384" s="21"/>
      <c r="K384" s="21"/>
      <c r="L384" s="21"/>
      <c r="M384" s="21"/>
      <c r="N384" s="22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</row>
    <row r="385" spans="1:45" ht="12.75" customHeight="1" x14ac:dyDescent="0.25">
      <c r="A385" s="20"/>
      <c r="B385" s="20"/>
      <c r="C385" s="20"/>
      <c r="D385" s="20"/>
      <c r="E385" s="20"/>
      <c r="F385" s="20"/>
      <c r="G385" s="20"/>
      <c r="H385" s="20"/>
      <c r="I385" s="20"/>
      <c r="J385" s="21"/>
      <c r="K385" s="21"/>
      <c r="L385" s="21"/>
      <c r="M385" s="21"/>
      <c r="N385" s="22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</row>
    <row r="386" spans="1:45" ht="12.75" customHeight="1" x14ac:dyDescent="0.25">
      <c r="A386" s="20"/>
      <c r="B386" s="20"/>
      <c r="C386" s="20"/>
      <c r="D386" s="20"/>
      <c r="E386" s="20"/>
      <c r="F386" s="20"/>
      <c r="G386" s="20"/>
      <c r="H386" s="20"/>
      <c r="I386" s="20"/>
      <c r="J386" s="21"/>
      <c r="K386" s="21"/>
      <c r="L386" s="21"/>
      <c r="M386" s="21"/>
      <c r="N386" s="22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</row>
    <row r="387" spans="1:45" ht="12.75" customHeight="1" x14ac:dyDescent="0.25">
      <c r="A387" s="20"/>
      <c r="B387" s="20"/>
      <c r="C387" s="20"/>
      <c r="D387" s="20"/>
      <c r="E387" s="20"/>
      <c r="F387" s="20"/>
      <c r="G387" s="20"/>
      <c r="H387" s="20"/>
      <c r="I387" s="20"/>
      <c r="J387" s="21"/>
      <c r="K387" s="21"/>
      <c r="L387" s="21"/>
      <c r="M387" s="21"/>
      <c r="N387" s="22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</row>
    <row r="388" spans="1:45" ht="12.75" customHeight="1" x14ac:dyDescent="0.25">
      <c r="A388" s="20"/>
      <c r="B388" s="20"/>
      <c r="C388" s="20"/>
      <c r="D388" s="20"/>
      <c r="E388" s="20"/>
      <c r="F388" s="20"/>
      <c r="G388" s="20"/>
      <c r="H388" s="20"/>
      <c r="I388" s="20"/>
      <c r="J388" s="21"/>
      <c r="K388" s="21"/>
      <c r="L388" s="21"/>
      <c r="M388" s="21"/>
      <c r="N388" s="22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</row>
    <row r="389" spans="1:45" ht="12.75" customHeight="1" x14ac:dyDescent="0.25">
      <c r="A389" s="20"/>
      <c r="B389" s="20"/>
      <c r="C389" s="20"/>
      <c r="D389" s="20"/>
      <c r="E389" s="20"/>
      <c r="F389" s="20"/>
      <c r="G389" s="20"/>
      <c r="H389" s="20"/>
      <c r="I389" s="20"/>
      <c r="J389" s="21"/>
      <c r="K389" s="21"/>
      <c r="L389" s="21"/>
      <c r="M389" s="21"/>
      <c r="N389" s="22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</row>
    <row r="390" spans="1:45" ht="12.75" customHeight="1" x14ac:dyDescent="0.25">
      <c r="A390" s="20"/>
      <c r="B390" s="20"/>
      <c r="C390" s="20"/>
      <c r="D390" s="20"/>
      <c r="E390" s="20"/>
      <c r="F390" s="20"/>
      <c r="G390" s="20"/>
      <c r="H390" s="20"/>
      <c r="I390" s="20"/>
      <c r="J390" s="21"/>
      <c r="K390" s="21"/>
      <c r="L390" s="21"/>
      <c r="M390" s="21"/>
      <c r="N390" s="22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</row>
    <row r="391" spans="1:45" ht="12.75" customHeight="1" x14ac:dyDescent="0.25">
      <c r="A391" s="20"/>
      <c r="B391" s="20"/>
      <c r="C391" s="20"/>
      <c r="D391" s="20"/>
      <c r="E391" s="20"/>
      <c r="F391" s="20"/>
      <c r="G391" s="20"/>
      <c r="H391" s="20"/>
      <c r="I391" s="20"/>
      <c r="J391" s="21"/>
      <c r="K391" s="21"/>
      <c r="L391" s="21"/>
      <c r="M391" s="21"/>
      <c r="N391" s="22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</row>
    <row r="392" spans="1:45" ht="12.75" customHeight="1" x14ac:dyDescent="0.25">
      <c r="A392" s="20"/>
      <c r="B392" s="20"/>
      <c r="C392" s="20"/>
      <c r="D392" s="20"/>
      <c r="E392" s="20"/>
      <c r="F392" s="20"/>
      <c r="G392" s="20"/>
      <c r="H392" s="20"/>
      <c r="I392" s="20"/>
      <c r="J392" s="21"/>
      <c r="K392" s="21"/>
      <c r="L392" s="21"/>
      <c r="M392" s="21"/>
      <c r="N392" s="22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</row>
    <row r="393" spans="1:45" ht="12.75" customHeight="1" x14ac:dyDescent="0.25">
      <c r="A393" s="20"/>
      <c r="B393" s="20"/>
      <c r="C393" s="20"/>
      <c r="D393" s="20"/>
      <c r="E393" s="20"/>
      <c r="F393" s="20"/>
      <c r="G393" s="20"/>
      <c r="H393" s="20"/>
      <c r="I393" s="20"/>
      <c r="J393" s="21"/>
      <c r="K393" s="21"/>
      <c r="L393" s="21"/>
      <c r="M393" s="21"/>
      <c r="N393" s="22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</row>
    <row r="394" spans="1:45" ht="12.75" customHeight="1" x14ac:dyDescent="0.25">
      <c r="A394" s="20"/>
      <c r="B394" s="20"/>
      <c r="C394" s="20"/>
      <c r="D394" s="20"/>
      <c r="E394" s="20"/>
      <c r="F394" s="20"/>
      <c r="G394" s="20"/>
      <c r="H394" s="20"/>
      <c r="I394" s="20"/>
      <c r="J394" s="21"/>
      <c r="K394" s="21"/>
      <c r="L394" s="21"/>
      <c r="M394" s="21"/>
      <c r="N394" s="22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</row>
    <row r="395" spans="1:45" ht="12.75" customHeight="1" x14ac:dyDescent="0.25">
      <c r="A395" s="20"/>
      <c r="B395" s="20"/>
      <c r="C395" s="20"/>
      <c r="D395" s="20"/>
      <c r="E395" s="20"/>
      <c r="F395" s="20"/>
      <c r="G395" s="20"/>
      <c r="H395" s="20"/>
      <c r="I395" s="20"/>
      <c r="J395" s="21"/>
      <c r="K395" s="21"/>
      <c r="L395" s="21"/>
      <c r="M395" s="21"/>
      <c r="N395" s="22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</row>
    <row r="396" spans="1:45" ht="12.75" customHeight="1" x14ac:dyDescent="0.25">
      <c r="A396" s="20"/>
      <c r="B396" s="20"/>
      <c r="C396" s="20"/>
      <c r="D396" s="20"/>
      <c r="E396" s="20"/>
      <c r="F396" s="20"/>
      <c r="G396" s="20"/>
      <c r="H396" s="20"/>
      <c r="I396" s="20"/>
      <c r="J396" s="21"/>
      <c r="K396" s="21"/>
      <c r="L396" s="21"/>
      <c r="M396" s="21"/>
      <c r="N396" s="22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</row>
    <row r="397" spans="1:45" ht="12.75" customHeight="1" x14ac:dyDescent="0.25">
      <c r="A397" s="20"/>
      <c r="B397" s="20"/>
      <c r="C397" s="20"/>
      <c r="D397" s="20"/>
      <c r="E397" s="20"/>
      <c r="F397" s="20"/>
      <c r="G397" s="20"/>
      <c r="H397" s="20"/>
      <c r="I397" s="20"/>
      <c r="J397" s="21"/>
      <c r="K397" s="21"/>
      <c r="L397" s="21"/>
      <c r="M397" s="21"/>
      <c r="N397" s="22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</row>
    <row r="398" spans="1:45" ht="12.75" customHeight="1" x14ac:dyDescent="0.25">
      <c r="A398" s="20"/>
      <c r="B398" s="20"/>
      <c r="C398" s="20"/>
      <c r="D398" s="20"/>
      <c r="E398" s="20"/>
      <c r="F398" s="20"/>
      <c r="G398" s="20"/>
      <c r="H398" s="20"/>
      <c r="I398" s="20"/>
      <c r="J398" s="21"/>
      <c r="K398" s="21"/>
      <c r="L398" s="21"/>
      <c r="M398" s="21"/>
      <c r="N398" s="22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</row>
    <row r="399" spans="1:45" ht="12.75" customHeight="1" x14ac:dyDescent="0.25">
      <c r="A399" s="20"/>
      <c r="B399" s="20"/>
      <c r="C399" s="20"/>
      <c r="D399" s="20"/>
      <c r="E399" s="20"/>
      <c r="F399" s="20"/>
      <c r="G399" s="20"/>
      <c r="H399" s="20"/>
      <c r="I399" s="20"/>
      <c r="J399" s="21"/>
      <c r="K399" s="21"/>
      <c r="L399" s="21"/>
      <c r="M399" s="21"/>
      <c r="N399" s="22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</row>
    <row r="400" spans="1:45" ht="12.75" customHeight="1" x14ac:dyDescent="0.25">
      <c r="A400" s="20"/>
      <c r="B400" s="20"/>
      <c r="C400" s="20"/>
      <c r="D400" s="20"/>
      <c r="E400" s="20"/>
      <c r="F400" s="20"/>
      <c r="G400" s="20"/>
      <c r="H400" s="20"/>
      <c r="I400" s="20"/>
      <c r="J400" s="21"/>
      <c r="K400" s="21"/>
      <c r="L400" s="21"/>
      <c r="M400" s="21"/>
      <c r="N400" s="22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</row>
    <row r="401" spans="1:45" ht="12.75" customHeight="1" x14ac:dyDescent="0.25">
      <c r="A401" s="20"/>
      <c r="B401" s="20"/>
      <c r="C401" s="20"/>
      <c r="D401" s="20"/>
      <c r="E401" s="20"/>
      <c r="F401" s="20"/>
      <c r="G401" s="20"/>
      <c r="H401" s="20"/>
      <c r="I401" s="20"/>
      <c r="J401" s="21"/>
      <c r="K401" s="21"/>
      <c r="L401" s="21"/>
      <c r="M401" s="21"/>
      <c r="N401" s="22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</row>
    <row r="402" spans="1:45" ht="12.75" customHeight="1" x14ac:dyDescent="0.25">
      <c r="A402" s="20"/>
      <c r="B402" s="20"/>
      <c r="C402" s="20"/>
      <c r="D402" s="20"/>
      <c r="E402" s="20"/>
      <c r="F402" s="20"/>
      <c r="G402" s="20"/>
      <c r="H402" s="20"/>
      <c r="I402" s="20"/>
      <c r="J402" s="21"/>
      <c r="K402" s="21"/>
      <c r="L402" s="21"/>
      <c r="M402" s="21"/>
      <c r="N402" s="22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</row>
    <row r="403" spans="1:45" ht="12.75" customHeight="1" x14ac:dyDescent="0.25">
      <c r="A403" s="20"/>
      <c r="B403" s="20"/>
      <c r="C403" s="20"/>
      <c r="D403" s="20"/>
      <c r="E403" s="20"/>
      <c r="F403" s="20"/>
      <c r="G403" s="20"/>
      <c r="H403" s="20"/>
      <c r="I403" s="20"/>
      <c r="J403" s="21"/>
      <c r="K403" s="21"/>
      <c r="L403" s="21"/>
      <c r="M403" s="21"/>
      <c r="N403" s="22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</row>
    <row r="404" spans="1:45" ht="12.75" customHeight="1" x14ac:dyDescent="0.25">
      <c r="A404" s="20"/>
      <c r="B404" s="20"/>
      <c r="C404" s="20"/>
      <c r="D404" s="20"/>
      <c r="E404" s="20"/>
      <c r="F404" s="20"/>
      <c r="G404" s="20"/>
      <c r="H404" s="20"/>
      <c r="I404" s="20"/>
      <c r="J404" s="21"/>
      <c r="K404" s="21"/>
      <c r="L404" s="21"/>
      <c r="M404" s="21"/>
      <c r="N404" s="22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</row>
    <row r="405" spans="1:45" ht="12.75" customHeight="1" x14ac:dyDescent="0.25">
      <c r="A405" s="20"/>
      <c r="B405" s="20"/>
      <c r="C405" s="20"/>
      <c r="D405" s="20"/>
      <c r="E405" s="20"/>
      <c r="F405" s="20"/>
      <c r="G405" s="20"/>
      <c r="H405" s="20"/>
      <c r="I405" s="20"/>
      <c r="J405" s="21"/>
      <c r="K405" s="21"/>
      <c r="L405" s="21"/>
      <c r="M405" s="21"/>
      <c r="N405" s="22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</row>
    <row r="406" spans="1:45" ht="12.75" customHeight="1" x14ac:dyDescent="0.25">
      <c r="A406" s="20"/>
      <c r="B406" s="20"/>
      <c r="C406" s="20"/>
      <c r="D406" s="20"/>
      <c r="E406" s="20"/>
      <c r="F406" s="20"/>
      <c r="G406" s="20"/>
      <c r="H406" s="20"/>
      <c r="I406" s="20"/>
      <c r="J406" s="21"/>
      <c r="K406" s="21"/>
      <c r="L406" s="21"/>
      <c r="M406" s="21"/>
      <c r="N406" s="22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</row>
    <row r="407" spans="1:45" ht="12.75" customHeight="1" x14ac:dyDescent="0.25">
      <c r="A407" s="20"/>
      <c r="B407" s="20"/>
      <c r="C407" s="20"/>
      <c r="D407" s="20"/>
      <c r="E407" s="20"/>
      <c r="F407" s="20"/>
      <c r="G407" s="20"/>
      <c r="H407" s="20"/>
      <c r="I407" s="20"/>
      <c r="J407" s="21"/>
      <c r="K407" s="21"/>
      <c r="L407" s="21"/>
      <c r="M407" s="21"/>
      <c r="N407" s="22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</row>
    <row r="408" spans="1:45" ht="12.75" customHeight="1" x14ac:dyDescent="0.25">
      <c r="A408" s="20"/>
      <c r="B408" s="20"/>
      <c r="C408" s="20"/>
      <c r="D408" s="20"/>
      <c r="E408" s="20"/>
      <c r="F408" s="20"/>
      <c r="G408" s="20"/>
      <c r="H408" s="20"/>
      <c r="I408" s="20"/>
      <c r="J408" s="21"/>
      <c r="K408" s="21"/>
      <c r="L408" s="21"/>
      <c r="M408" s="21"/>
      <c r="N408" s="22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</row>
    <row r="409" spans="1:45" ht="12.75" customHeight="1" x14ac:dyDescent="0.25">
      <c r="A409" s="20"/>
      <c r="B409" s="20"/>
      <c r="C409" s="20"/>
      <c r="D409" s="20"/>
      <c r="E409" s="20"/>
      <c r="F409" s="20"/>
      <c r="G409" s="20"/>
      <c r="H409" s="20"/>
      <c r="I409" s="20"/>
      <c r="J409" s="21"/>
      <c r="K409" s="21"/>
      <c r="L409" s="21"/>
      <c r="M409" s="21"/>
      <c r="N409" s="22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</row>
    <row r="410" spans="1:45" ht="12.75" customHeight="1" x14ac:dyDescent="0.25">
      <c r="A410" s="20"/>
      <c r="B410" s="20"/>
      <c r="C410" s="20"/>
      <c r="D410" s="20"/>
      <c r="E410" s="20"/>
      <c r="F410" s="20"/>
      <c r="G410" s="20"/>
      <c r="H410" s="20"/>
      <c r="I410" s="20"/>
      <c r="J410" s="21"/>
      <c r="K410" s="21"/>
      <c r="L410" s="21"/>
      <c r="M410" s="21"/>
      <c r="N410" s="22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</row>
    <row r="411" spans="1:45" ht="12.75" customHeight="1" x14ac:dyDescent="0.25">
      <c r="A411" s="20"/>
      <c r="B411" s="20"/>
      <c r="C411" s="20"/>
      <c r="D411" s="20"/>
      <c r="E411" s="20"/>
      <c r="F411" s="20"/>
      <c r="G411" s="20"/>
      <c r="H411" s="20"/>
      <c r="I411" s="20"/>
      <c r="J411" s="21"/>
      <c r="K411" s="21"/>
      <c r="L411" s="21"/>
      <c r="M411" s="21"/>
      <c r="N411" s="22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</row>
    <row r="412" spans="1:45" ht="12.75" customHeight="1" x14ac:dyDescent="0.25">
      <c r="A412" s="20"/>
      <c r="B412" s="20"/>
      <c r="C412" s="20"/>
      <c r="D412" s="20"/>
      <c r="E412" s="20"/>
      <c r="F412" s="20"/>
      <c r="G412" s="20"/>
      <c r="H412" s="20"/>
      <c r="I412" s="20"/>
      <c r="J412" s="21"/>
      <c r="K412" s="21"/>
      <c r="L412" s="21"/>
      <c r="M412" s="21"/>
      <c r="N412" s="22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</row>
    <row r="413" spans="1:45" ht="12.75" customHeight="1" x14ac:dyDescent="0.25">
      <c r="A413" s="20"/>
      <c r="B413" s="20"/>
      <c r="C413" s="20"/>
      <c r="D413" s="20"/>
      <c r="E413" s="20"/>
      <c r="F413" s="20"/>
      <c r="G413" s="20"/>
      <c r="H413" s="20"/>
      <c r="I413" s="20"/>
      <c r="J413" s="21"/>
      <c r="K413" s="21"/>
      <c r="L413" s="21"/>
      <c r="M413" s="21"/>
      <c r="N413" s="22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</row>
    <row r="414" spans="1:45" ht="12.75" customHeight="1" x14ac:dyDescent="0.25">
      <c r="A414" s="20"/>
      <c r="B414" s="20"/>
      <c r="C414" s="20"/>
      <c r="D414" s="20"/>
      <c r="E414" s="20"/>
      <c r="F414" s="20"/>
      <c r="G414" s="20"/>
      <c r="H414" s="20"/>
      <c r="I414" s="20"/>
      <c r="J414" s="21"/>
      <c r="K414" s="21"/>
      <c r="L414" s="21"/>
      <c r="M414" s="21"/>
      <c r="N414" s="22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</row>
    <row r="415" spans="1:45" ht="12.75" customHeight="1" x14ac:dyDescent="0.25">
      <c r="A415" s="20"/>
      <c r="B415" s="20"/>
      <c r="C415" s="20"/>
      <c r="D415" s="20"/>
      <c r="E415" s="20"/>
      <c r="F415" s="20"/>
      <c r="G415" s="20"/>
      <c r="H415" s="20"/>
      <c r="I415" s="20"/>
      <c r="J415" s="21"/>
      <c r="K415" s="21"/>
      <c r="L415" s="21"/>
      <c r="M415" s="21"/>
      <c r="N415" s="22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</row>
    <row r="416" spans="1:45" ht="12.75" customHeight="1" x14ac:dyDescent="0.25">
      <c r="A416" s="20"/>
      <c r="B416" s="20"/>
      <c r="C416" s="20"/>
      <c r="D416" s="20"/>
      <c r="E416" s="20"/>
      <c r="F416" s="20"/>
      <c r="G416" s="20"/>
      <c r="H416" s="20"/>
      <c r="I416" s="20"/>
      <c r="J416" s="21"/>
      <c r="K416" s="21"/>
      <c r="L416" s="21"/>
      <c r="M416" s="21"/>
      <c r="N416" s="22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</row>
    <row r="417" spans="1:45" ht="12.75" customHeight="1" x14ac:dyDescent="0.25">
      <c r="A417" s="20"/>
      <c r="B417" s="20"/>
      <c r="C417" s="20"/>
      <c r="D417" s="20"/>
      <c r="E417" s="20"/>
      <c r="F417" s="20"/>
      <c r="G417" s="20"/>
      <c r="H417" s="20"/>
      <c r="I417" s="20"/>
      <c r="J417" s="21"/>
      <c r="K417" s="21"/>
      <c r="L417" s="21"/>
      <c r="M417" s="21"/>
      <c r="N417" s="22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</row>
    <row r="418" spans="1:45" ht="12.75" customHeight="1" x14ac:dyDescent="0.25">
      <c r="A418" s="20"/>
      <c r="B418" s="20"/>
      <c r="C418" s="20"/>
      <c r="D418" s="20"/>
      <c r="E418" s="20"/>
      <c r="F418" s="20"/>
      <c r="G418" s="20"/>
      <c r="H418" s="20"/>
      <c r="I418" s="20"/>
      <c r="J418" s="21"/>
      <c r="K418" s="21"/>
      <c r="L418" s="21"/>
      <c r="M418" s="21"/>
      <c r="N418" s="22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</row>
    <row r="419" spans="1:45" ht="12.75" customHeight="1" x14ac:dyDescent="0.25">
      <c r="A419" s="20"/>
      <c r="B419" s="20"/>
      <c r="C419" s="20"/>
      <c r="D419" s="20"/>
      <c r="E419" s="20"/>
      <c r="F419" s="20"/>
      <c r="G419" s="20"/>
      <c r="H419" s="20"/>
      <c r="I419" s="20"/>
      <c r="J419" s="21"/>
      <c r="K419" s="21"/>
      <c r="L419" s="21"/>
      <c r="M419" s="21"/>
      <c r="N419" s="22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</row>
    <row r="420" spans="1:45" ht="12.75" customHeight="1" x14ac:dyDescent="0.25">
      <c r="A420" s="20"/>
      <c r="B420" s="20"/>
      <c r="C420" s="20"/>
      <c r="D420" s="20"/>
      <c r="E420" s="20"/>
      <c r="F420" s="20"/>
      <c r="G420" s="20"/>
      <c r="H420" s="20"/>
      <c r="I420" s="20"/>
      <c r="J420" s="21"/>
      <c r="K420" s="21"/>
      <c r="L420" s="21"/>
      <c r="M420" s="21"/>
      <c r="N420" s="22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</row>
    <row r="421" spans="1:45" ht="12.75" customHeight="1" x14ac:dyDescent="0.25">
      <c r="A421" s="20"/>
      <c r="B421" s="20"/>
      <c r="C421" s="20"/>
      <c r="D421" s="20"/>
      <c r="E421" s="20"/>
      <c r="F421" s="20"/>
      <c r="G421" s="20"/>
      <c r="H421" s="20"/>
      <c r="I421" s="20"/>
      <c r="J421" s="21"/>
      <c r="K421" s="21"/>
      <c r="L421" s="21"/>
      <c r="M421" s="21"/>
      <c r="N421" s="22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</row>
    <row r="422" spans="1:45" ht="12.75" customHeight="1" x14ac:dyDescent="0.25">
      <c r="A422" s="20"/>
      <c r="B422" s="20"/>
      <c r="C422" s="20"/>
      <c r="D422" s="20"/>
      <c r="E422" s="20"/>
      <c r="F422" s="20"/>
      <c r="G422" s="20"/>
      <c r="H422" s="20"/>
      <c r="I422" s="20"/>
      <c r="J422" s="21"/>
      <c r="K422" s="21"/>
      <c r="L422" s="21"/>
      <c r="M422" s="21"/>
      <c r="N422" s="22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</row>
    <row r="423" spans="1:45" ht="12.75" customHeight="1" x14ac:dyDescent="0.25">
      <c r="A423" s="20"/>
      <c r="B423" s="20"/>
      <c r="C423" s="20"/>
      <c r="D423" s="20"/>
      <c r="E423" s="20"/>
      <c r="F423" s="20"/>
      <c r="G423" s="20"/>
      <c r="H423" s="20"/>
      <c r="I423" s="20"/>
      <c r="J423" s="21"/>
      <c r="K423" s="21"/>
      <c r="L423" s="21"/>
      <c r="M423" s="21"/>
      <c r="N423" s="22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</row>
    <row r="424" spans="1:45" ht="12.75" customHeight="1" x14ac:dyDescent="0.25">
      <c r="A424" s="20"/>
      <c r="B424" s="20"/>
      <c r="C424" s="20"/>
      <c r="D424" s="20"/>
      <c r="E424" s="20"/>
      <c r="F424" s="20"/>
      <c r="G424" s="20"/>
      <c r="H424" s="20"/>
      <c r="I424" s="20"/>
      <c r="J424" s="21"/>
      <c r="K424" s="21"/>
      <c r="L424" s="21"/>
      <c r="M424" s="21"/>
      <c r="N424" s="22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</row>
    <row r="425" spans="1:45" ht="12.75" customHeight="1" x14ac:dyDescent="0.25">
      <c r="A425" s="20"/>
      <c r="B425" s="20"/>
      <c r="C425" s="20"/>
      <c r="D425" s="20"/>
      <c r="E425" s="20"/>
      <c r="F425" s="20"/>
      <c r="G425" s="20"/>
      <c r="H425" s="20"/>
      <c r="I425" s="20"/>
      <c r="J425" s="21"/>
      <c r="K425" s="21"/>
      <c r="L425" s="21"/>
      <c r="M425" s="21"/>
      <c r="N425" s="22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</row>
    <row r="426" spans="1:45" ht="12.75" customHeight="1" x14ac:dyDescent="0.25">
      <c r="A426" s="20"/>
      <c r="B426" s="20"/>
      <c r="C426" s="20"/>
      <c r="D426" s="20"/>
      <c r="E426" s="20"/>
      <c r="F426" s="20"/>
      <c r="G426" s="20"/>
      <c r="H426" s="20"/>
      <c r="I426" s="20"/>
      <c r="J426" s="21"/>
      <c r="K426" s="21"/>
      <c r="L426" s="21"/>
      <c r="M426" s="21"/>
      <c r="N426" s="22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</row>
    <row r="427" spans="1:45" ht="12.75" customHeight="1" x14ac:dyDescent="0.25">
      <c r="A427" s="20"/>
      <c r="B427" s="20"/>
      <c r="C427" s="20"/>
      <c r="D427" s="20"/>
      <c r="E427" s="20"/>
      <c r="F427" s="20"/>
      <c r="G427" s="20"/>
      <c r="H427" s="20"/>
      <c r="I427" s="20"/>
      <c r="J427" s="21"/>
      <c r="K427" s="21"/>
      <c r="L427" s="21"/>
      <c r="M427" s="21"/>
      <c r="N427" s="22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</row>
    <row r="428" spans="1:45" ht="12.75" customHeight="1" x14ac:dyDescent="0.25">
      <c r="A428" s="20"/>
      <c r="B428" s="20"/>
      <c r="C428" s="20"/>
      <c r="D428" s="20"/>
      <c r="E428" s="20"/>
      <c r="F428" s="20"/>
      <c r="G428" s="20"/>
      <c r="H428" s="20"/>
      <c r="I428" s="20"/>
      <c r="J428" s="21"/>
      <c r="K428" s="21"/>
      <c r="L428" s="21"/>
      <c r="M428" s="21"/>
      <c r="N428" s="22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</row>
    <row r="429" spans="1:45" ht="12.75" customHeight="1" x14ac:dyDescent="0.25">
      <c r="A429" s="20"/>
      <c r="B429" s="20"/>
      <c r="C429" s="20"/>
      <c r="D429" s="20"/>
      <c r="E429" s="20"/>
      <c r="F429" s="20"/>
      <c r="G429" s="20"/>
      <c r="H429" s="20"/>
      <c r="I429" s="20"/>
      <c r="J429" s="21"/>
      <c r="K429" s="21"/>
      <c r="L429" s="21"/>
      <c r="M429" s="21"/>
      <c r="N429" s="22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</row>
    <row r="430" spans="1:45" ht="12.75" customHeight="1" x14ac:dyDescent="0.25">
      <c r="A430" s="20"/>
      <c r="B430" s="20"/>
      <c r="C430" s="20"/>
      <c r="D430" s="20"/>
      <c r="E430" s="20"/>
      <c r="F430" s="20"/>
      <c r="G430" s="20"/>
      <c r="H430" s="20"/>
      <c r="I430" s="20"/>
      <c r="J430" s="21"/>
      <c r="K430" s="21"/>
      <c r="L430" s="21"/>
      <c r="M430" s="21"/>
      <c r="N430" s="22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</row>
    <row r="431" spans="1:45" ht="12.75" customHeight="1" x14ac:dyDescent="0.25">
      <c r="A431" s="20"/>
      <c r="B431" s="20"/>
      <c r="C431" s="20"/>
      <c r="D431" s="20"/>
      <c r="E431" s="20"/>
      <c r="F431" s="20"/>
      <c r="G431" s="20"/>
      <c r="H431" s="20"/>
      <c r="I431" s="20"/>
      <c r="J431" s="21"/>
      <c r="K431" s="21"/>
      <c r="L431" s="21"/>
      <c r="M431" s="21"/>
      <c r="N431" s="22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</row>
    <row r="432" spans="1:45" ht="12.75" customHeight="1" x14ac:dyDescent="0.25">
      <c r="A432" s="20"/>
      <c r="B432" s="20"/>
      <c r="C432" s="20"/>
      <c r="D432" s="20"/>
      <c r="E432" s="20"/>
      <c r="F432" s="20"/>
      <c r="G432" s="20"/>
      <c r="H432" s="20"/>
      <c r="I432" s="20"/>
      <c r="J432" s="21"/>
      <c r="K432" s="21"/>
      <c r="L432" s="21"/>
      <c r="M432" s="21"/>
      <c r="N432" s="22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</row>
    <row r="433" spans="1:45" ht="12.75" customHeight="1" x14ac:dyDescent="0.25">
      <c r="A433" s="20"/>
      <c r="B433" s="20"/>
      <c r="C433" s="20"/>
      <c r="D433" s="20"/>
      <c r="E433" s="20"/>
      <c r="F433" s="20"/>
      <c r="G433" s="20"/>
      <c r="H433" s="20"/>
      <c r="I433" s="20"/>
      <c r="J433" s="21"/>
      <c r="K433" s="21"/>
      <c r="L433" s="21"/>
      <c r="M433" s="21"/>
      <c r="N433" s="22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</row>
    <row r="434" spans="1:45" ht="12.75" customHeight="1" x14ac:dyDescent="0.25">
      <c r="A434" s="20"/>
      <c r="B434" s="20"/>
      <c r="C434" s="20"/>
      <c r="D434" s="20"/>
      <c r="E434" s="20"/>
      <c r="F434" s="20"/>
      <c r="G434" s="20"/>
      <c r="H434" s="20"/>
      <c r="I434" s="20"/>
      <c r="J434" s="21"/>
      <c r="K434" s="21"/>
      <c r="L434" s="21"/>
      <c r="M434" s="21"/>
      <c r="N434" s="22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</row>
    <row r="435" spans="1:45" ht="12.75" customHeight="1" x14ac:dyDescent="0.25">
      <c r="A435" s="20"/>
      <c r="B435" s="20"/>
      <c r="C435" s="20"/>
      <c r="D435" s="20"/>
      <c r="E435" s="20"/>
      <c r="F435" s="20"/>
      <c r="G435" s="20"/>
      <c r="H435" s="20"/>
      <c r="I435" s="20"/>
      <c r="J435" s="21"/>
      <c r="K435" s="21"/>
      <c r="L435" s="21"/>
      <c r="M435" s="21"/>
      <c r="N435" s="22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</row>
    <row r="436" spans="1:45" ht="12.75" customHeight="1" x14ac:dyDescent="0.25">
      <c r="A436" s="20"/>
      <c r="B436" s="20"/>
      <c r="C436" s="20"/>
      <c r="D436" s="20"/>
      <c r="E436" s="20"/>
      <c r="F436" s="20"/>
      <c r="G436" s="20"/>
      <c r="H436" s="20"/>
      <c r="I436" s="20"/>
      <c r="J436" s="21"/>
      <c r="K436" s="21"/>
      <c r="L436" s="21"/>
      <c r="M436" s="21"/>
      <c r="N436" s="22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</row>
    <row r="437" spans="1:45" ht="12.75" customHeight="1" x14ac:dyDescent="0.25">
      <c r="A437" s="20"/>
      <c r="B437" s="20"/>
      <c r="C437" s="20"/>
      <c r="D437" s="20"/>
      <c r="E437" s="20"/>
      <c r="F437" s="20"/>
      <c r="G437" s="20"/>
      <c r="H437" s="20"/>
      <c r="I437" s="20"/>
      <c r="J437" s="21"/>
      <c r="K437" s="21"/>
      <c r="L437" s="21"/>
      <c r="M437" s="21"/>
      <c r="N437" s="22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</row>
    <row r="438" spans="1:45" ht="12.75" customHeight="1" x14ac:dyDescent="0.25">
      <c r="A438" s="20"/>
      <c r="B438" s="20"/>
      <c r="C438" s="20"/>
      <c r="D438" s="20"/>
      <c r="E438" s="20"/>
      <c r="F438" s="20"/>
      <c r="G438" s="20"/>
      <c r="H438" s="20"/>
      <c r="I438" s="20"/>
      <c r="J438" s="21"/>
      <c r="K438" s="21"/>
      <c r="L438" s="21"/>
      <c r="M438" s="21"/>
      <c r="N438" s="22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</row>
    <row r="439" spans="1:45" ht="12.75" customHeight="1" x14ac:dyDescent="0.25">
      <c r="A439" s="20"/>
      <c r="B439" s="20"/>
      <c r="C439" s="20"/>
      <c r="D439" s="20"/>
      <c r="E439" s="20"/>
      <c r="F439" s="20"/>
      <c r="G439" s="20"/>
      <c r="H439" s="20"/>
      <c r="I439" s="20"/>
      <c r="J439" s="21"/>
      <c r="K439" s="21"/>
      <c r="L439" s="21"/>
      <c r="M439" s="21"/>
      <c r="N439" s="22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</row>
    <row r="440" spans="1:45" ht="12.75" customHeight="1" x14ac:dyDescent="0.25">
      <c r="A440" s="20"/>
      <c r="B440" s="20"/>
      <c r="C440" s="20"/>
      <c r="D440" s="20"/>
      <c r="E440" s="20"/>
      <c r="F440" s="20"/>
      <c r="G440" s="20"/>
      <c r="H440" s="20"/>
      <c r="I440" s="20"/>
      <c r="J440" s="21"/>
      <c r="K440" s="21"/>
      <c r="L440" s="21"/>
      <c r="M440" s="21"/>
      <c r="N440" s="22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</row>
    <row r="441" spans="1:45" ht="12.75" customHeight="1" x14ac:dyDescent="0.25">
      <c r="A441" s="20"/>
      <c r="B441" s="20"/>
      <c r="C441" s="20"/>
      <c r="D441" s="20"/>
      <c r="E441" s="20"/>
      <c r="F441" s="20"/>
      <c r="G441" s="20"/>
      <c r="H441" s="20"/>
      <c r="I441" s="20"/>
      <c r="J441" s="21"/>
      <c r="K441" s="21"/>
      <c r="L441" s="21"/>
      <c r="M441" s="21"/>
      <c r="N441" s="22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</row>
    <row r="442" spans="1:45" ht="12.75" customHeight="1" x14ac:dyDescent="0.25">
      <c r="A442" s="20"/>
      <c r="B442" s="20"/>
      <c r="C442" s="20"/>
      <c r="D442" s="20"/>
      <c r="E442" s="20"/>
      <c r="F442" s="20"/>
      <c r="G442" s="20"/>
      <c r="H442" s="20"/>
      <c r="I442" s="20"/>
      <c r="J442" s="21"/>
      <c r="K442" s="21"/>
      <c r="L442" s="21"/>
      <c r="M442" s="21"/>
      <c r="N442" s="22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</row>
    <row r="443" spans="1:45" ht="12.75" customHeight="1" x14ac:dyDescent="0.25">
      <c r="A443" s="20"/>
      <c r="B443" s="20"/>
      <c r="C443" s="20"/>
      <c r="D443" s="20"/>
      <c r="E443" s="20"/>
      <c r="F443" s="20"/>
      <c r="G443" s="20"/>
      <c r="H443" s="20"/>
      <c r="I443" s="20"/>
      <c r="J443" s="21"/>
      <c r="K443" s="21"/>
      <c r="L443" s="21"/>
      <c r="M443" s="21"/>
      <c r="N443" s="22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</row>
    <row r="444" spans="1:45" ht="12.75" customHeight="1" x14ac:dyDescent="0.25">
      <c r="A444" s="20"/>
      <c r="B444" s="20"/>
      <c r="C444" s="20"/>
      <c r="D444" s="20"/>
      <c r="E444" s="20"/>
      <c r="F444" s="20"/>
      <c r="G444" s="20"/>
      <c r="H444" s="20"/>
      <c r="I444" s="20"/>
      <c r="J444" s="21"/>
      <c r="K444" s="21"/>
      <c r="L444" s="21"/>
      <c r="M444" s="21"/>
      <c r="N444" s="22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</row>
    <row r="445" spans="1:45" ht="12.75" customHeight="1" x14ac:dyDescent="0.25">
      <c r="A445" s="20"/>
      <c r="B445" s="20"/>
      <c r="C445" s="20"/>
      <c r="D445" s="20"/>
      <c r="E445" s="20"/>
      <c r="F445" s="20"/>
      <c r="G445" s="20"/>
      <c r="H445" s="20"/>
      <c r="I445" s="20"/>
      <c r="J445" s="21"/>
      <c r="K445" s="21"/>
      <c r="L445" s="21"/>
      <c r="M445" s="21"/>
      <c r="N445" s="22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</row>
    <row r="446" spans="1:45" ht="12.75" customHeight="1" x14ac:dyDescent="0.25">
      <c r="A446" s="20"/>
      <c r="B446" s="20"/>
      <c r="C446" s="20"/>
      <c r="D446" s="20"/>
      <c r="E446" s="20"/>
      <c r="F446" s="20"/>
      <c r="G446" s="20"/>
      <c r="H446" s="20"/>
      <c r="I446" s="20"/>
      <c r="J446" s="21"/>
      <c r="K446" s="21"/>
      <c r="L446" s="21"/>
      <c r="M446" s="21"/>
      <c r="N446" s="22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</row>
    <row r="447" spans="1:45" ht="12.75" customHeight="1" x14ac:dyDescent="0.25">
      <c r="A447" s="20"/>
      <c r="B447" s="20"/>
      <c r="C447" s="20"/>
      <c r="D447" s="20"/>
      <c r="E447" s="20"/>
      <c r="F447" s="20"/>
      <c r="G447" s="20"/>
      <c r="H447" s="20"/>
      <c r="I447" s="20"/>
      <c r="J447" s="21"/>
      <c r="K447" s="21"/>
      <c r="L447" s="21"/>
      <c r="M447" s="21"/>
      <c r="N447" s="22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</row>
    <row r="448" spans="1:45" ht="12.75" customHeight="1" x14ac:dyDescent="0.25">
      <c r="A448" s="20"/>
      <c r="B448" s="20"/>
      <c r="C448" s="20"/>
      <c r="D448" s="20"/>
      <c r="E448" s="20"/>
      <c r="F448" s="20"/>
      <c r="G448" s="20"/>
      <c r="H448" s="20"/>
      <c r="I448" s="20"/>
      <c r="J448" s="21"/>
      <c r="K448" s="21"/>
      <c r="L448" s="21"/>
      <c r="M448" s="21"/>
      <c r="N448" s="22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</row>
    <row r="449" spans="1:45" ht="12.75" customHeight="1" x14ac:dyDescent="0.25">
      <c r="A449" s="20"/>
      <c r="B449" s="20"/>
      <c r="C449" s="20"/>
      <c r="D449" s="20"/>
      <c r="E449" s="20"/>
      <c r="F449" s="20"/>
      <c r="G449" s="20"/>
      <c r="H449" s="20"/>
      <c r="I449" s="20"/>
      <c r="J449" s="21"/>
      <c r="K449" s="21"/>
      <c r="L449" s="21"/>
      <c r="M449" s="21"/>
      <c r="N449" s="22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</row>
    <row r="450" spans="1:45" ht="12.75" customHeight="1" x14ac:dyDescent="0.25">
      <c r="A450" s="20"/>
      <c r="B450" s="20"/>
      <c r="C450" s="20"/>
      <c r="D450" s="20"/>
      <c r="E450" s="20"/>
      <c r="F450" s="20"/>
      <c r="G450" s="20"/>
      <c r="H450" s="20"/>
      <c r="I450" s="20"/>
      <c r="J450" s="21"/>
      <c r="K450" s="21"/>
      <c r="L450" s="21"/>
      <c r="M450" s="21"/>
      <c r="N450" s="22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</row>
    <row r="451" spans="1:45" ht="12.75" customHeight="1" x14ac:dyDescent="0.25">
      <c r="A451" s="20"/>
      <c r="B451" s="20"/>
      <c r="C451" s="20"/>
      <c r="D451" s="20"/>
      <c r="E451" s="20"/>
      <c r="F451" s="20"/>
      <c r="G451" s="20"/>
      <c r="H451" s="20"/>
      <c r="I451" s="20"/>
      <c r="J451" s="21"/>
      <c r="K451" s="21"/>
      <c r="L451" s="21"/>
      <c r="M451" s="21"/>
      <c r="N451" s="22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</row>
    <row r="452" spans="1:45" ht="12.75" customHeight="1" x14ac:dyDescent="0.25">
      <c r="A452" s="20"/>
      <c r="B452" s="20"/>
      <c r="C452" s="20"/>
      <c r="D452" s="20"/>
      <c r="E452" s="20"/>
      <c r="F452" s="20"/>
      <c r="G452" s="20"/>
      <c r="H452" s="20"/>
      <c r="I452" s="20"/>
      <c r="J452" s="21"/>
      <c r="K452" s="21"/>
      <c r="L452" s="21"/>
      <c r="M452" s="21"/>
      <c r="N452" s="22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</row>
    <row r="453" spans="1:45" ht="12.75" customHeight="1" x14ac:dyDescent="0.25">
      <c r="A453" s="20"/>
      <c r="B453" s="20"/>
      <c r="C453" s="20"/>
      <c r="D453" s="20"/>
      <c r="E453" s="20"/>
      <c r="F453" s="20"/>
      <c r="G453" s="20"/>
      <c r="H453" s="20"/>
      <c r="I453" s="20"/>
      <c r="J453" s="21"/>
      <c r="K453" s="21"/>
      <c r="L453" s="21"/>
      <c r="M453" s="21"/>
      <c r="N453" s="22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</row>
    <row r="454" spans="1:45" ht="12.75" customHeight="1" x14ac:dyDescent="0.25">
      <c r="A454" s="20"/>
      <c r="B454" s="20"/>
      <c r="C454" s="20"/>
      <c r="D454" s="20"/>
      <c r="E454" s="20"/>
      <c r="F454" s="20"/>
      <c r="G454" s="20"/>
      <c r="H454" s="20"/>
      <c r="I454" s="20"/>
      <c r="J454" s="21"/>
      <c r="K454" s="21"/>
      <c r="L454" s="21"/>
      <c r="M454" s="21"/>
      <c r="N454" s="22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</row>
    <row r="455" spans="1:45" ht="12.75" customHeight="1" x14ac:dyDescent="0.25">
      <c r="A455" s="20"/>
      <c r="B455" s="20"/>
      <c r="C455" s="20"/>
      <c r="D455" s="20"/>
      <c r="E455" s="20"/>
      <c r="F455" s="20"/>
      <c r="G455" s="20"/>
      <c r="H455" s="20"/>
      <c r="I455" s="20"/>
      <c r="J455" s="21"/>
      <c r="K455" s="21"/>
      <c r="L455" s="21"/>
      <c r="M455" s="21"/>
      <c r="N455" s="22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</row>
    <row r="456" spans="1:45" ht="12.75" customHeight="1" x14ac:dyDescent="0.25">
      <c r="A456" s="20"/>
      <c r="B456" s="20"/>
      <c r="C456" s="20"/>
      <c r="D456" s="20"/>
      <c r="E456" s="20"/>
      <c r="F456" s="20"/>
      <c r="G456" s="20"/>
      <c r="H456" s="20"/>
      <c r="I456" s="20"/>
      <c r="J456" s="21"/>
      <c r="K456" s="21"/>
      <c r="L456" s="21"/>
      <c r="M456" s="21"/>
      <c r="N456" s="22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</row>
    <row r="457" spans="1:45" ht="12.75" customHeight="1" x14ac:dyDescent="0.25">
      <c r="A457" s="20"/>
      <c r="B457" s="20"/>
      <c r="C457" s="20"/>
      <c r="D457" s="20"/>
      <c r="E457" s="20"/>
      <c r="F457" s="20"/>
      <c r="G457" s="20"/>
      <c r="H457" s="20"/>
      <c r="I457" s="20"/>
      <c r="J457" s="21"/>
      <c r="K457" s="21"/>
      <c r="L457" s="21"/>
      <c r="M457" s="21"/>
      <c r="N457" s="22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</row>
    <row r="458" spans="1:45" ht="12.75" customHeight="1" x14ac:dyDescent="0.25">
      <c r="A458" s="20"/>
      <c r="B458" s="20"/>
      <c r="C458" s="20"/>
      <c r="D458" s="20"/>
      <c r="E458" s="20"/>
      <c r="F458" s="20"/>
      <c r="G458" s="20"/>
      <c r="H458" s="20"/>
      <c r="I458" s="20"/>
      <c r="J458" s="21"/>
      <c r="K458" s="21"/>
      <c r="L458" s="21"/>
      <c r="M458" s="21"/>
      <c r="N458" s="22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</row>
    <row r="459" spans="1:45" ht="12.75" customHeight="1" x14ac:dyDescent="0.25">
      <c r="A459" s="20"/>
      <c r="B459" s="20"/>
      <c r="C459" s="20"/>
      <c r="D459" s="20"/>
      <c r="E459" s="20"/>
      <c r="F459" s="20"/>
      <c r="G459" s="20"/>
      <c r="H459" s="20"/>
      <c r="I459" s="20"/>
      <c r="J459" s="21"/>
      <c r="K459" s="21"/>
      <c r="L459" s="21"/>
      <c r="M459" s="21"/>
      <c r="N459" s="22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</row>
    <row r="460" spans="1:45" ht="12.75" customHeight="1" x14ac:dyDescent="0.25">
      <c r="A460" s="20"/>
      <c r="B460" s="20"/>
      <c r="C460" s="20"/>
      <c r="D460" s="20"/>
      <c r="E460" s="20"/>
      <c r="F460" s="20"/>
      <c r="G460" s="20"/>
      <c r="H460" s="20"/>
      <c r="I460" s="20"/>
      <c r="J460" s="21"/>
      <c r="K460" s="21"/>
      <c r="L460" s="21"/>
      <c r="M460" s="21"/>
      <c r="N460" s="22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</row>
    <row r="461" spans="1:45" ht="12.75" customHeight="1" x14ac:dyDescent="0.25">
      <c r="A461" s="20"/>
      <c r="B461" s="20"/>
      <c r="C461" s="20"/>
      <c r="D461" s="20"/>
      <c r="E461" s="20"/>
      <c r="F461" s="20"/>
      <c r="G461" s="20"/>
      <c r="H461" s="20"/>
      <c r="I461" s="20"/>
      <c r="J461" s="21"/>
      <c r="K461" s="21"/>
      <c r="L461" s="21"/>
      <c r="M461" s="21"/>
      <c r="N461" s="22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</row>
    <row r="462" spans="1:45" ht="12.75" customHeight="1" x14ac:dyDescent="0.25">
      <c r="A462" s="20"/>
      <c r="B462" s="20"/>
      <c r="C462" s="20"/>
      <c r="D462" s="20"/>
      <c r="E462" s="20"/>
      <c r="F462" s="20"/>
      <c r="G462" s="20"/>
      <c r="H462" s="20"/>
      <c r="I462" s="20"/>
      <c r="J462" s="21"/>
      <c r="K462" s="21"/>
      <c r="L462" s="21"/>
      <c r="M462" s="21"/>
      <c r="N462" s="22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</row>
    <row r="463" spans="1:45" ht="12.75" customHeight="1" x14ac:dyDescent="0.25">
      <c r="A463" s="20"/>
      <c r="B463" s="20"/>
      <c r="C463" s="20"/>
      <c r="D463" s="20"/>
      <c r="E463" s="20"/>
      <c r="F463" s="20"/>
      <c r="G463" s="20"/>
      <c r="H463" s="20"/>
      <c r="I463" s="20"/>
      <c r="J463" s="21"/>
      <c r="K463" s="21"/>
      <c r="L463" s="21"/>
      <c r="M463" s="21"/>
      <c r="N463" s="22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</row>
    <row r="464" spans="1:45" ht="12.75" customHeight="1" x14ac:dyDescent="0.25">
      <c r="A464" s="20"/>
      <c r="B464" s="20"/>
      <c r="C464" s="20"/>
      <c r="D464" s="20"/>
      <c r="E464" s="20"/>
      <c r="F464" s="20"/>
      <c r="G464" s="20"/>
      <c r="H464" s="20"/>
      <c r="I464" s="20"/>
      <c r="J464" s="21"/>
      <c r="K464" s="21"/>
      <c r="L464" s="21"/>
      <c r="M464" s="21"/>
      <c r="N464" s="22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</row>
    <row r="465" spans="1:45" ht="12.75" customHeight="1" x14ac:dyDescent="0.25">
      <c r="A465" s="20"/>
      <c r="B465" s="20"/>
      <c r="C465" s="20"/>
      <c r="D465" s="20"/>
      <c r="E465" s="20"/>
      <c r="F465" s="20"/>
      <c r="G465" s="20"/>
      <c r="H465" s="20"/>
      <c r="I465" s="20"/>
      <c r="J465" s="21"/>
      <c r="K465" s="21"/>
      <c r="L465" s="21"/>
      <c r="M465" s="21"/>
      <c r="N465" s="22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</row>
    <row r="466" spans="1:45" ht="12.75" customHeight="1" x14ac:dyDescent="0.25">
      <c r="A466" s="20"/>
      <c r="B466" s="20"/>
      <c r="C466" s="20"/>
      <c r="D466" s="20"/>
      <c r="E466" s="20"/>
      <c r="F466" s="20"/>
      <c r="G466" s="20"/>
      <c r="H466" s="20"/>
      <c r="I466" s="20"/>
      <c r="J466" s="21"/>
      <c r="K466" s="21"/>
      <c r="L466" s="21"/>
      <c r="M466" s="21"/>
      <c r="N466" s="22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</row>
    <row r="467" spans="1:45" ht="12.75" customHeight="1" x14ac:dyDescent="0.25">
      <c r="A467" s="20"/>
      <c r="B467" s="20"/>
      <c r="C467" s="20"/>
      <c r="D467" s="20"/>
      <c r="E467" s="20"/>
      <c r="F467" s="20"/>
      <c r="G467" s="20"/>
      <c r="H467" s="20"/>
      <c r="I467" s="20"/>
      <c r="J467" s="21"/>
      <c r="K467" s="21"/>
      <c r="L467" s="21"/>
      <c r="M467" s="21"/>
      <c r="N467" s="22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</row>
    <row r="468" spans="1:45" ht="12.75" customHeight="1" x14ac:dyDescent="0.25">
      <c r="A468" s="20"/>
      <c r="B468" s="20"/>
      <c r="C468" s="20"/>
      <c r="D468" s="20"/>
      <c r="E468" s="20"/>
      <c r="F468" s="20"/>
      <c r="G468" s="20"/>
      <c r="H468" s="20"/>
      <c r="I468" s="20"/>
      <c r="J468" s="21"/>
      <c r="K468" s="21"/>
      <c r="L468" s="21"/>
      <c r="M468" s="21"/>
      <c r="N468" s="22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</row>
    <row r="469" spans="1:45" ht="12.75" customHeight="1" x14ac:dyDescent="0.25">
      <c r="A469" s="20"/>
      <c r="B469" s="20"/>
      <c r="C469" s="20"/>
      <c r="D469" s="20"/>
      <c r="E469" s="20"/>
      <c r="F469" s="20"/>
      <c r="G469" s="20"/>
      <c r="H469" s="20"/>
      <c r="I469" s="20"/>
      <c r="J469" s="21"/>
      <c r="K469" s="21"/>
      <c r="L469" s="21"/>
      <c r="M469" s="21"/>
      <c r="N469" s="22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</row>
    <row r="470" spans="1:45" ht="12.75" customHeight="1" x14ac:dyDescent="0.25">
      <c r="A470" s="20"/>
      <c r="B470" s="20"/>
      <c r="C470" s="20"/>
      <c r="D470" s="20"/>
      <c r="E470" s="20"/>
      <c r="F470" s="20"/>
      <c r="G470" s="20"/>
      <c r="H470" s="20"/>
      <c r="I470" s="20"/>
      <c r="J470" s="21"/>
      <c r="K470" s="21"/>
      <c r="L470" s="21"/>
      <c r="M470" s="21"/>
      <c r="N470" s="22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</row>
    <row r="471" spans="1:45" ht="12.75" customHeight="1" x14ac:dyDescent="0.25">
      <c r="A471" s="20"/>
      <c r="B471" s="20"/>
      <c r="C471" s="20"/>
      <c r="D471" s="20"/>
      <c r="E471" s="20"/>
      <c r="F471" s="20"/>
      <c r="G471" s="20"/>
      <c r="H471" s="20"/>
      <c r="I471" s="20"/>
      <c r="J471" s="21"/>
      <c r="K471" s="21"/>
      <c r="L471" s="21"/>
      <c r="M471" s="21"/>
      <c r="N471" s="22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</row>
    <row r="472" spans="1:45" ht="12.75" customHeight="1" x14ac:dyDescent="0.25">
      <c r="A472" s="20"/>
      <c r="B472" s="20"/>
      <c r="C472" s="20"/>
      <c r="D472" s="20"/>
      <c r="E472" s="20"/>
      <c r="F472" s="20"/>
      <c r="G472" s="20"/>
      <c r="H472" s="20"/>
      <c r="I472" s="20"/>
      <c r="J472" s="21"/>
      <c r="K472" s="21"/>
      <c r="L472" s="21"/>
      <c r="M472" s="21"/>
      <c r="N472" s="22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</row>
    <row r="473" spans="1:45" ht="12.75" customHeight="1" x14ac:dyDescent="0.25">
      <c r="A473" s="20"/>
      <c r="B473" s="20"/>
      <c r="C473" s="20"/>
      <c r="D473" s="20"/>
      <c r="E473" s="20"/>
      <c r="F473" s="20"/>
      <c r="G473" s="20"/>
      <c r="H473" s="20"/>
      <c r="I473" s="20"/>
      <c r="J473" s="21"/>
      <c r="K473" s="21"/>
      <c r="L473" s="21"/>
      <c r="M473" s="21"/>
      <c r="N473" s="22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</row>
    <row r="474" spans="1:45" ht="12.75" customHeight="1" x14ac:dyDescent="0.25">
      <c r="A474" s="20"/>
      <c r="B474" s="20"/>
      <c r="C474" s="20"/>
      <c r="D474" s="20"/>
      <c r="E474" s="20"/>
      <c r="F474" s="20"/>
      <c r="G474" s="20"/>
      <c r="H474" s="20"/>
      <c r="I474" s="20"/>
      <c r="J474" s="21"/>
      <c r="K474" s="21"/>
      <c r="L474" s="21"/>
      <c r="M474" s="21"/>
      <c r="N474" s="22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</row>
    <row r="475" spans="1:45" ht="12.75" customHeight="1" x14ac:dyDescent="0.25">
      <c r="A475" s="20"/>
      <c r="B475" s="20"/>
      <c r="C475" s="20"/>
      <c r="D475" s="20"/>
      <c r="E475" s="20"/>
      <c r="F475" s="20"/>
      <c r="G475" s="20"/>
      <c r="H475" s="20"/>
      <c r="I475" s="20"/>
      <c r="J475" s="21"/>
      <c r="K475" s="21"/>
      <c r="L475" s="21"/>
      <c r="M475" s="21"/>
      <c r="N475" s="22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</row>
    <row r="476" spans="1:45" ht="12.75" customHeight="1" x14ac:dyDescent="0.25">
      <c r="A476" s="20"/>
      <c r="B476" s="20"/>
      <c r="C476" s="20"/>
      <c r="D476" s="20"/>
      <c r="E476" s="20"/>
      <c r="F476" s="20"/>
      <c r="G476" s="20"/>
      <c r="H476" s="20"/>
      <c r="I476" s="20"/>
      <c r="J476" s="21"/>
      <c r="K476" s="21"/>
      <c r="L476" s="21"/>
      <c r="M476" s="21"/>
      <c r="N476" s="22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</row>
    <row r="477" spans="1:45" ht="12.75" customHeight="1" x14ac:dyDescent="0.25">
      <c r="A477" s="20"/>
      <c r="B477" s="20"/>
      <c r="C477" s="20"/>
      <c r="D477" s="20"/>
      <c r="E477" s="20"/>
      <c r="F477" s="20"/>
      <c r="G477" s="20"/>
      <c r="H477" s="20"/>
      <c r="I477" s="20"/>
      <c r="J477" s="21"/>
      <c r="K477" s="21"/>
      <c r="L477" s="21"/>
      <c r="M477" s="21"/>
      <c r="N477" s="22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</row>
    <row r="478" spans="1:45" ht="12.75" customHeight="1" x14ac:dyDescent="0.25">
      <c r="A478" s="20"/>
      <c r="B478" s="20"/>
      <c r="C478" s="20"/>
      <c r="D478" s="20"/>
      <c r="E478" s="20"/>
      <c r="F478" s="20"/>
      <c r="G478" s="20"/>
      <c r="H478" s="20"/>
      <c r="I478" s="20"/>
      <c r="J478" s="21"/>
      <c r="K478" s="21"/>
      <c r="L478" s="21"/>
      <c r="M478" s="21"/>
      <c r="N478" s="22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</row>
    <row r="479" spans="1:45" ht="12.75" customHeight="1" x14ac:dyDescent="0.25">
      <c r="A479" s="20"/>
      <c r="B479" s="20"/>
      <c r="C479" s="20"/>
      <c r="D479" s="20"/>
      <c r="E479" s="20"/>
      <c r="F479" s="20"/>
      <c r="G479" s="20"/>
      <c r="H479" s="20"/>
      <c r="I479" s="20"/>
      <c r="J479" s="21"/>
      <c r="K479" s="21"/>
      <c r="L479" s="21"/>
      <c r="M479" s="21"/>
      <c r="N479" s="22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</row>
    <row r="480" spans="1:45" ht="12.75" customHeight="1" x14ac:dyDescent="0.25">
      <c r="A480" s="20"/>
      <c r="B480" s="20"/>
      <c r="C480" s="20"/>
      <c r="D480" s="20"/>
      <c r="E480" s="20"/>
      <c r="F480" s="20"/>
      <c r="G480" s="20"/>
      <c r="H480" s="20"/>
      <c r="I480" s="20"/>
      <c r="J480" s="21"/>
      <c r="K480" s="21"/>
      <c r="L480" s="21"/>
      <c r="M480" s="21"/>
      <c r="N480" s="22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</row>
    <row r="481" spans="1:45" ht="12.75" customHeight="1" x14ac:dyDescent="0.25">
      <c r="A481" s="20"/>
      <c r="B481" s="20"/>
      <c r="C481" s="20"/>
      <c r="D481" s="20"/>
      <c r="E481" s="20"/>
      <c r="F481" s="20"/>
      <c r="G481" s="20"/>
      <c r="H481" s="20"/>
      <c r="I481" s="20"/>
      <c r="J481" s="21"/>
      <c r="K481" s="21"/>
      <c r="L481" s="21"/>
      <c r="M481" s="21"/>
      <c r="N481" s="22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</row>
    <row r="482" spans="1:45" ht="12.75" customHeight="1" x14ac:dyDescent="0.25">
      <c r="A482" s="20"/>
      <c r="B482" s="20"/>
      <c r="C482" s="20"/>
      <c r="D482" s="20"/>
      <c r="E482" s="20"/>
      <c r="F482" s="20"/>
      <c r="G482" s="20"/>
      <c r="H482" s="20"/>
      <c r="I482" s="20"/>
      <c r="J482" s="21"/>
      <c r="K482" s="21"/>
      <c r="L482" s="21"/>
      <c r="M482" s="21"/>
      <c r="N482" s="22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</row>
    <row r="483" spans="1:45" ht="12.75" customHeight="1" x14ac:dyDescent="0.25">
      <c r="A483" s="20"/>
      <c r="B483" s="20"/>
      <c r="C483" s="20"/>
      <c r="D483" s="20"/>
      <c r="E483" s="20"/>
      <c r="F483" s="20"/>
      <c r="G483" s="20"/>
      <c r="H483" s="20"/>
      <c r="I483" s="20"/>
      <c r="J483" s="21"/>
      <c r="K483" s="21"/>
      <c r="L483" s="21"/>
      <c r="M483" s="21"/>
      <c r="N483" s="22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</row>
    <row r="484" spans="1:45" ht="12.75" customHeight="1" x14ac:dyDescent="0.25">
      <c r="A484" s="20"/>
      <c r="B484" s="20"/>
      <c r="C484" s="20"/>
      <c r="D484" s="20"/>
      <c r="E484" s="20"/>
      <c r="F484" s="20"/>
      <c r="G484" s="20"/>
      <c r="H484" s="20"/>
      <c r="I484" s="20"/>
      <c r="J484" s="21"/>
      <c r="K484" s="21"/>
      <c r="L484" s="21"/>
      <c r="M484" s="21"/>
      <c r="N484" s="22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</row>
    <row r="485" spans="1:45" ht="12.75" customHeight="1" x14ac:dyDescent="0.25">
      <c r="A485" s="20"/>
      <c r="B485" s="20"/>
      <c r="C485" s="20"/>
      <c r="D485" s="20"/>
      <c r="E485" s="20"/>
      <c r="F485" s="20"/>
      <c r="G485" s="20"/>
      <c r="H485" s="20"/>
      <c r="I485" s="20"/>
      <c r="J485" s="21"/>
      <c r="K485" s="21"/>
      <c r="L485" s="21"/>
      <c r="M485" s="21"/>
      <c r="N485" s="22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</row>
    <row r="486" spans="1:45" ht="12.75" customHeight="1" x14ac:dyDescent="0.25">
      <c r="A486" s="20"/>
      <c r="B486" s="20"/>
      <c r="C486" s="20"/>
      <c r="D486" s="20"/>
      <c r="E486" s="20"/>
      <c r="F486" s="20"/>
      <c r="G486" s="20"/>
      <c r="H486" s="20"/>
      <c r="I486" s="20"/>
      <c r="J486" s="21"/>
      <c r="K486" s="21"/>
      <c r="L486" s="21"/>
      <c r="M486" s="21"/>
      <c r="N486" s="22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</row>
    <row r="487" spans="1:45" ht="12.75" customHeight="1" x14ac:dyDescent="0.25">
      <c r="A487" s="20"/>
      <c r="B487" s="20"/>
      <c r="C487" s="20"/>
      <c r="D487" s="20"/>
      <c r="E487" s="20"/>
      <c r="F487" s="20"/>
      <c r="G487" s="20"/>
      <c r="H487" s="20"/>
      <c r="I487" s="20"/>
      <c r="J487" s="21"/>
      <c r="K487" s="21"/>
      <c r="L487" s="21"/>
      <c r="M487" s="21"/>
      <c r="N487" s="22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</row>
    <row r="488" spans="1:45" ht="12.75" customHeight="1" x14ac:dyDescent="0.25">
      <c r="A488" s="20"/>
      <c r="B488" s="20"/>
      <c r="C488" s="20"/>
      <c r="D488" s="20"/>
      <c r="E488" s="20"/>
      <c r="F488" s="20"/>
      <c r="G488" s="20"/>
      <c r="H488" s="20"/>
      <c r="I488" s="20"/>
      <c r="J488" s="21"/>
      <c r="K488" s="21"/>
      <c r="L488" s="21"/>
      <c r="M488" s="21"/>
      <c r="N488" s="22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</row>
    <row r="489" spans="1:45" ht="12.75" customHeight="1" x14ac:dyDescent="0.25">
      <c r="A489" s="20"/>
      <c r="B489" s="20"/>
      <c r="C489" s="20"/>
      <c r="D489" s="20"/>
      <c r="E489" s="20"/>
      <c r="F489" s="20"/>
      <c r="G489" s="20"/>
      <c r="H489" s="20"/>
      <c r="I489" s="20"/>
      <c r="J489" s="21"/>
      <c r="K489" s="21"/>
      <c r="L489" s="21"/>
      <c r="M489" s="21"/>
      <c r="N489" s="22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</row>
    <row r="490" spans="1:45" ht="12.75" customHeight="1" x14ac:dyDescent="0.25">
      <c r="A490" s="20"/>
      <c r="B490" s="20"/>
      <c r="C490" s="20"/>
      <c r="D490" s="20"/>
      <c r="E490" s="20"/>
      <c r="F490" s="20"/>
      <c r="G490" s="20"/>
      <c r="H490" s="20"/>
      <c r="I490" s="20"/>
      <c r="J490" s="21"/>
      <c r="K490" s="21"/>
      <c r="L490" s="21"/>
      <c r="M490" s="21"/>
      <c r="N490" s="22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</row>
    <row r="491" spans="1:45" ht="12.75" customHeight="1" x14ac:dyDescent="0.25">
      <c r="A491" s="20"/>
      <c r="B491" s="20"/>
      <c r="C491" s="20"/>
      <c r="D491" s="20"/>
      <c r="E491" s="20"/>
      <c r="F491" s="20"/>
      <c r="G491" s="20"/>
      <c r="H491" s="20"/>
      <c r="I491" s="20"/>
      <c r="J491" s="21"/>
      <c r="K491" s="21"/>
      <c r="L491" s="21"/>
      <c r="M491" s="21"/>
      <c r="N491" s="22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</row>
    <row r="492" spans="1:45" ht="12.75" customHeight="1" x14ac:dyDescent="0.25">
      <c r="A492" s="20"/>
      <c r="B492" s="20"/>
      <c r="C492" s="20"/>
      <c r="D492" s="20"/>
      <c r="E492" s="20"/>
      <c r="F492" s="20"/>
      <c r="G492" s="20"/>
      <c r="H492" s="20"/>
      <c r="I492" s="20"/>
      <c r="J492" s="21"/>
      <c r="K492" s="21"/>
      <c r="L492" s="21"/>
      <c r="M492" s="21"/>
      <c r="N492" s="22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</row>
    <row r="493" spans="1:45" ht="12.75" customHeight="1" x14ac:dyDescent="0.25">
      <c r="A493" s="20"/>
      <c r="B493" s="20"/>
      <c r="C493" s="20"/>
      <c r="D493" s="20"/>
      <c r="E493" s="20"/>
      <c r="F493" s="20"/>
      <c r="G493" s="20"/>
      <c r="H493" s="20"/>
      <c r="I493" s="20"/>
      <c r="J493" s="21"/>
      <c r="K493" s="21"/>
      <c r="L493" s="21"/>
      <c r="M493" s="21"/>
      <c r="N493" s="22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</row>
    <row r="494" spans="1:45" ht="12.75" customHeight="1" x14ac:dyDescent="0.25">
      <c r="A494" s="20"/>
      <c r="B494" s="20"/>
      <c r="C494" s="20"/>
      <c r="D494" s="20"/>
      <c r="E494" s="20"/>
      <c r="F494" s="20"/>
      <c r="G494" s="20"/>
      <c r="H494" s="20"/>
      <c r="I494" s="20"/>
      <c r="J494" s="21"/>
      <c r="K494" s="21"/>
      <c r="L494" s="21"/>
      <c r="M494" s="21"/>
      <c r="N494" s="22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</row>
    <row r="495" spans="1:45" ht="12.75" customHeight="1" x14ac:dyDescent="0.25">
      <c r="A495" s="20"/>
      <c r="B495" s="20"/>
      <c r="C495" s="20"/>
      <c r="D495" s="20"/>
      <c r="E495" s="20"/>
      <c r="F495" s="20"/>
      <c r="G495" s="20"/>
      <c r="H495" s="20"/>
      <c r="I495" s="20"/>
      <c r="J495" s="21"/>
      <c r="K495" s="21"/>
      <c r="L495" s="21"/>
      <c r="M495" s="21"/>
      <c r="N495" s="22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</row>
    <row r="496" spans="1:45" ht="12.75" customHeight="1" x14ac:dyDescent="0.25">
      <c r="A496" s="20"/>
      <c r="B496" s="20"/>
      <c r="C496" s="20"/>
      <c r="D496" s="20"/>
      <c r="E496" s="20"/>
      <c r="F496" s="20"/>
      <c r="G496" s="20"/>
      <c r="H496" s="20"/>
      <c r="I496" s="20"/>
      <c r="J496" s="21"/>
      <c r="K496" s="21"/>
      <c r="L496" s="21"/>
      <c r="M496" s="21"/>
      <c r="N496" s="22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</row>
    <row r="497" spans="1:45" ht="12.75" customHeight="1" x14ac:dyDescent="0.25">
      <c r="A497" s="20"/>
      <c r="B497" s="20"/>
      <c r="C497" s="20"/>
      <c r="D497" s="20"/>
      <c r="E497" s="20"/>
      <c r="F497" s="20"/>
      <c r="G497" s="20"/>
      <c r="H497" s="20"/>
      <c r="I497" s="20"/>
      <c r="J497" s="21"/>
      <c r="K497" s="21"/>
      <c r="L497" s="21"/>
      <c r="M497" s="21"/>
      <c r="N497" s="22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</row>
    <row r="498" spans="1:45" ht="12.75" customHeight="1" x14ac:dyDescent="0.25">
      <c r="A498" s="20"/>
      <c r="B498" s="20"/>
      <c r="C498" s="20"/>
      <c r="D498" s="20"/>
      <c r="E498" s="20"/>
      <c r="F498" s="20"/>
      <c r="G498" s="20"/>
      <c r="H498" s="20"/>
      <c r="I498" s="20"/>
      <c r="J498" s="21"/>
      <c r="K498" s="21"/>
      <c r="L498" s="21"/>
      <c r="M498" s="21"/>
      <c r="N498" s="22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</row>
    <row r="499" spans="1:45" ht="12.75" customHeight="1" x14ac:dyDescent="0.25">
      <c r="A499" s="20"/>
      <c r="B499" s="20"/>
      <c r="C499" s="20"/>
      <c r="D499" s="20"/>
      <c r="E499" s="20"/>
      <c r="F499" s="20"/>
      <c r="G499" s="20"/>
      <c r="H499" s="20"/>
      <c r="I499" s="20"/>
      <c r="J499" s="21"/>
      <c r="K499" s="21"/>
      <c r="L499" s="21"/>
      <c r="M499" s="21"/>
      <c r="N499" s="22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</row>
    <row r="500" spans="1:45" ht="12.75" customHeight="1" x14ac:dyDescent="0.25">
      <c r="A500" s="20"/>
      <c r="B500" s="20"/>
      <c r="C500" s="20"/>
      <c r="D500" s="20"/>
      <c r="E500" s="20"/>
      <c r="F500" s="20"/>
      <c r="G500" s="20"/>
      <c r="H500" s="20"/>
      <c r="I500" s="20"/>
      <c r="J500" s="21"/>
      <c r="K500" s="21"/>
      <c r="L500" s="21"/>
      <c r="M500" s="21"/>
      <c r="N500" s="22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</row>
    <row r="501" spans="1:45" ht="12.75" customHeight="1" x14ac:dyDescent="0.25">
      <c r="A501" s="20"/>
      <c r="B501" s="20"/>
      <c r="C501" s="20"/>
      <c r="D501" s="20"/>
      <c r="E501" s="20"/>
      <c r="F501" s="20"/>
      <c r="G501" s="20"/>
      <c r="H501" s="20"/>
      <c r="I501" s="20"/>
      <c r="J501" s="21"/>
      <c r="K501" s="21"/>
      <c r="L501" s="21"/>
      <c r="M501" s="21"/>
      <c r="N501" s="22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</row>
    <row r="502" spans="1:45" ht="12.75" customHeight="1" x14ac:dyDescent="0.25">
      <c r="A502" s="20"/>
      <c r="B502" s="20"/>
      <c r="C502" s="20"/>
      <c r="D502" s="20"/>
      <c r="E502" s="20"/>
      <c r="F502" s="20"/>
      <c r="G502" s="20"/>
      <c r="H502" s="20"/>
      <c r="I502" s="20"/>
      <c r="J502" s="21"/>
      <c r="K502" s="21"/>
      <c r="L502" s="21"/>
      <c r="M502" s="21"/>
      <c r="N502" s="22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</row>
    <row r="503" spans="1:45" ht="12.75" customHeight="1" x14ac:dyDescent="0.25">
      <c r="A503" s="20"/>
      <c r="B503" s="20"/>
      <c r="C503" s="20"/>
      <c r="D503" s="20"/>
      <c r="E503" s="20"/>
      <c r="F503" s="20"/>
      <c r="G503" s="20"/>
      <c r="H503" s="20"/>
      <c r="I503" s="20"/>
      <c r="J503" s="21"/>
      <c r="K503" s="21"/>
      <c r="L503" s="21"/>
      <c r="M503" s="21"/>
      <c r="N503" s="22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</row>
    <row r="504" spans="1:45" ht="12.75" customHeight="1" x14ac:dyDescent="0.25">
      <c r="A504" s="20"/>
      <c r="B504" s="20"/>
      <c r="C504" s="20"/>
      <c r="D504" s="20"/>
      <c r="E504" s="20"/>
      <c r="F504" s="20"/>
      <c r="G504" s="20"/>
      <c r="H504" s="20"/>
      <c r="I504" s="20"/>
      <c r="J504" s="21"/>
      <c r="K504" s="21"/>
      <c r="L504" s="21"/>
      <c r="M504" s="21"/>
      <c r="N504" s="22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</row>
    <row r="505" spans="1:45" ht="12.75" customHeight="1" x14ac:dyDescent="0.25">
      <c r="A505" s="20"/>
      <c r="B505" s="20"/>
      <c r="C505" s="20"/>
      <c r="D505" s="20"/>
      <c r="E505" s="20"/>
      <c r="F505" s="20"/>
      <c r="G505" s="20"/>
      <c r="H505" s="20"/>
      <c r="I505" s="20"/>
      <c r="J505" s="21"/>
      <c r="K505" s="21"/>
      <c r="L505" s="21"/>
      <c r="M505" s="21"/>
      <c r="N505" s="22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</row>
    <row r="506" spans="1:45" ht="12.75" customHeight="1" x14ac:dyDescent="0.25">
      <c r="A506" s="20"/>
      <c r="B506" s="20"/>
      <c r="C506" s="20"/>
      <c r="D506" s="20"/>
      <c r="E506" s="20"/>
      <c r="F506" s="20"/>
      <c r="G506" s="20"/>
      <c r="H506" s="20"/>
      <c r="I506" s="20"/>
      <c r="J506" s="21"/>
      <c r="K506" s="21"/>
      <c r="L506" s="21"/>
      <c r="M506" s="21"/>
      <c r="N506" s="22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</row>
    <row r="507" spans="1:45" ht="12.75" customHeight="1" x14ac:dyDescent="0.25">
      <c r="A507" s="20"/>
      <c r="B507" s="20"/>
      <c r="C507" s="20"/>
      <c r="D507" s="20"/>
      <c r="E507" s="20"/>
      <c r="F507" s="20"/>
      <c r="G507" s="20"/>
      <c r="H507" s="20"/>
      <c r="I507" s="20"/>
      <c r="J507" s="21"/>
      <c r="K507" s="21"/>
      <c r="L507" s="21"/>
      <c r="M507" s="21"/>
      <c r="N507" s="22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</row>
    <row r="508" spans="1:45" ht="12.75" customHeight="1" x14ac:dyDescent="0.25">
      <c r="A508" s="20"/>
      <c r="B508" s="20"/>
      <c r="C508" s="20"/>
      <c r="D508" s="20"/>
      <c r="E508" s="20"/>
      <c r="F508" s="20"/>
      <c r="G508" s="20"/>
      <c r="H508" s="20"/>
      <c r="I508" s="20"/>
      <c r="J508" s="21"/>
      <c r="K508" s="21"/>
      <c r="L508" s="21"/>
      <c r="M508" s="21"/>
      <c r="N508" s="22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</row>
    <row r="509" spans="1:45" ht="12.75" customHeight="1" x14ac:dyDescent="0.25">
      <c r="A509" s="20"/>
      <c r="B509" s="20"/>
      <c r="C509" s="20"/>
      <c r="D509" s="20"/>
      <c r="E509" s="20"/>
      <c r="F509" s="20"/>
      <c r="G509" s="20"/>
      <c r="H509" s="20"/>
      <c r="I509" s="20"/>
      <c r="J509" s="21"/>
      <c r="K509" s="21"/>
      <c r="L509" s="21"/>
      <c r="M509" s="21"/>
      <c r="N509" s="22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</row>
    <row r="510" spans="1:45" ht="12.75" customHeight="1" x14ac:dyDescent="0.25">
      <c r="A510" s="20"/>
      <c r="B510" s="20"/>
      <c r="C510" s="20"/>
      <c r="D510" s="20"/>
      <c r="E510" s="20"/>
      <c r="F510" s="20"/>
      <c r="G510" s="20"/>
      <c r="H510" s="20"/>
      <c r="I510" s="20"/>
      <c r="J510" s="21"/>
      <c r="K510" s="21"/>
      <c r="L510" s="21"/>
      <c r="M510" s="21"/>
      <c r="N510" s="22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</row>
    <row r="511" spans="1:45" ht="12.75" customHeight="1" x14ac:dyDescent="0.25">
      <c r="A511" s="20"/>
      <c r="B511" s="20"/>
      <c r="C511" s="20"/>
      <c r="D511" s="20"/>
      <c r="E511" s="20"/>
      <c r="F511" s="20"/>
      <c r="G511" s="20"/>
      <c r="H511" s="20"/>
      <c r="I511" s="20"/>
      <c r="J511" s="21"/>
      <c r="K511" s="21"/>
      <c r="L511" s="21"/>
      <c r="M511" s="21"/>
      <c r="N511" s="22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</row>
    <row r="512" spans="1:45" ht="12.75" customHeight="1" x14ac:dyDescent="0.25">
      <c r="A512" s="20"/>
      <c r="B512" s="20"/>
      <c r="C512" s="20"/>
      <c r="D512" s="20"/>
      <c r="E512" s="20"/>
      <c r="F512" s="20"/>
      <c r="G512" s="20"/>
      <c r="H512" s="20"/>
      <c r="I512" s="20"/>
      <c r="J512" s="21"/>
      <c r="K512" s="21"/>
      <c r="L512" s="21"/>
      <c r="M512" s="21"/>
      <c r="N512" s="22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</row>
    <row r="513" spans="1:45" ht="12.75" customHeight="1" x14ac:dyDescent="0.25">
      <c r="A513" s="20"/>
      <c r="B513" s="20"/>
      <c r="C513" s="20"/>
      <c r="D513" s="20"/>
      <c r="E513" s="20"/>
      <c r="F513" s="20"/>
      <c r="G513" s="20"/>
      <c r="H513" s="20"/>
      <c r="I513" s="20"/>
      <c r="J513" s="21"/>
      <c r="K513" s="21"/>
      <c r="L513" s="21"/>
      <c r="M513" s="21"/>
      <c r="N513" s="22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</row>
    <row r="514" spans="1:45" ht="12.75" customHeight="1" x14ac:dyDescent="0.25">
      <c r="A514" s="20"/>
      <c r="B514" s="20"/>
      <c r="C514" s="20"/>
      <c r="D514" s="20"/>
      <c r="E514" s="20"/>
      <c r="F514" s="20"/>
      <c r="G514" s="20"/>
      <c r="H514" s="20"/>
      <c r="I514" s="20"/>
      <c r="J514" s="21"/>
      <c r="K514" s="21"/>
      <c r="L514" s="21"/>
      <c r="M514" s="21"/>
      <c r="N514" s="22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</row>
    <row r="515" spans="1:45" ht="12.75" customHeight="1" x14ac:dyDescent="0.25">
      <c r="A515" s="20"/>
      <c r="B515" s="20"/>
      <c r="C515" s="20"/>
      <c r="D515" s="20"/>
      <c r="E515" s="20"/>
      <c r="F515" s="20"/>
      <c r="G515" s="20"/>
      <c r="H515" s="20"/>
      <c r="I515" s="20"/>
      <c r="J515" s="21"/>
      <c r="K515" s="21"/>
      <c r="L515" s="21"/>
      <c r="M515" s="21"/>
      <c r="N515" s="22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</row>
    <row r="516" spans="1:45" ht="12.75" customHeight="1" x14ac:dyDescent="0.25">
      <c r="A516" s="20"/>
      <c r="B516" s="20"/>
      <c r="C516" s="20"/>
      <c r="D516" s="20"/>
      <c r="E516" s="20"/>
      <c r="F516" s="20"/>
      <c r="G516" s="20"/>
      <c r="H516" s="20"/>
      <c r="I516" s="20"/>
      <c r="J516" s="21"/>
      <c r="K516" s="21"/>
      <c r="L516" s="21"/>
      <c r="M516" s="21"/>
      <c r="N516" s="22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</row>
    <row r="517" spans="1:45" ht="12.75" customHeight="1" x14ac:dyDescent="0.25">
      <c r="A517" s="20"/>
      <c r="B517" s="20"/>
      <c r="C517" s="20"/>
      <c r="D517" s="20"/>
      <c r="E517" s="20"/>
      <c r="F517" s="20"/>
      <c r="G517" s="20"/>
      <c r="H517" s="20"/>
      <c r="I517" s="20"/>
      <c r="J517" s="21"/>
      <c r="K517" s="21"/>
      <c r="L517" s="21"/>
      <c r="M517" s="21"/>
      <c r="N517" s="22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</row>
    <row r="518" spans="1:45" ht="12.75" customHeight="1" x14ac:dyDescent="0.25">
      <c r="A518" s="20"/>
      <c r="B518" s="20"/>
      <c r="C518" s="20"/>
      <c r="D518" s="20"/>
      <c r="E518" s="20"/>
      <c r="F518" s="20"/>
      <c r="G518" s="20"/>
      <c r="H518" s="20"/>
      <c r="I518" s="20"/>
      <c r="J518" s="21"/>
      <c r="K518" s="21"/>
      <c r="L518" s="21"/>
      <c r="M518" s="21"/>
      <c r="N518" s="22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</row>
    <row r="519" spans="1:45" ht="12.75" customHeight="1" x14ac:dyDescent="0.25">
      <c r="A519" s="20"/>
      <c r="B519" s="20"/>
      <c r="C519" s="20"/>
      <c r="D519" s="20"/>
      <c r="E519" s="20"/>
      <c r="F519" s="20"/>
      <c r="G519" s="20"/>
      <c r="H519" s="20"/>
      <c r="I519" s="20"/>
      <c r="J519" s="21"/>
      <c r="K519" s="21"/>
      <c r="L519" s="21"/>
      <c r="M519" s="21"/>
      <c r="N519" s="22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</row>
    <row r="520" spans="1:45" ht="12.75" customHeight="1" x14ac:dyDescent="0.25">
      <c r="A520" s="20"/>
      <c r="B520" s="20"/>
      <c r="C520" s="20"/>
      <c r="D520" s="20"/>
      <c r="E520" s="20"/>
      <c r="F520" s="20"/>
      <c r="G520" s="20"/>
      <c r="H520" s="20"/>
      <c r="I520" s="20"/>
      <c r="J520" s="21"/>
      <c r="K520" s="21"/>
      <c r="L520" s="21"/>
      <c r="M520" s="21"/>
      <c r="N520" s="22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</row>
    <row r="521" spans="1:45" ht="12.75" customHeight="1" x14ac:dyDescent="0.25">
      <c r="A521" s="20"/>
      <c r="B521" s="20"/>
      <c r="C521" s="20"/>
      <c r="D521" s="20"/>
      <c r="E521" s="20"/>
      <c r="F521" s="20"/>
      <c r="G521" s="20"/>
      <c r="H521" s="20"/>
      <c r="I521" s="20"/>
      <c r="J521" s="21"/>
      <c r="K521" s="21"/>
      <c r="L521" s="21"/>
      <c r="M521" s="21"/>
      <c r="N521" s="22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</row>
    <row r="522" spans="1:45" ht="12.75" customHeight="1" x14ac:dyDescent="0.25">
      <c r="A522" s="20"/>
      <c r="B522" s="20"/>
      <c r="C522" s="20"/>
      <c r="D522" s="20"/>
      <c r="E522" s="20"/>
      <c r="F522" s="20"/>
      <c r="G522" s="20"/>
      <c r="H522" s="20"/>
      <c r="I522" s="20"/>
      <c r="J522" s="21"/>
      <c r="K522" s="21"/>
      <c r="L522" s="21"/>
      <c r="M522" s="21"/>
      <c r="N522" s="22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</row>
    <row r="523" spans="1:45" ht="12.75" customHeight="1" x14ac:dyDescent="0.25">
      <c r="A523" s="20"/>
      <c r="B523" s="20"/>
      <c r="C523" s="20"/>
      <c r="D523" s="20"/>
      <c r="E523" s="20"/>
      <c r="F523" s="20"/>
      <c r="G523" s="20"/>
      <c r="H523" s="20"/>
      <c r="I523" s="20"/>
      <c r="J523" s="21"/>
      <c r="K523" s="21"/>
      <c r="L523" s="21"/>
      <c r="M523" s="21"/>
      <c r="N523" s="22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</row>
    <row r="524" spans="1:45" ht="12.75" customHeight="1" x14ac:dyDescent="0.25">
      <c r="A524" s="20"/>
      <c r="B524" s="20"/>
      <c r="C524" s="20"/>
      <c r="D524" s="20"/>
      <c r="E524" s="20"/>
      <c r="F524" s="20"/>
      <c r="G524" s="20"/>
      <c r="H524" s="20"/>
      <c r="I524" s="20"/>
      <c r="J524" s="21"/>
      <c r="K524" s="21"/>
      <c r="L524" s="21"/>
      <c r="M524" s="21"/>
      <c r="N524" s="22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</row>
    <row r="525" spans="1:45" ht="12.75" customHeight="1" x14ac:dyDescent="0.25">
      <c r="A525" s="20"/>
      <c r="B525" s="20"/>
      <c r="C525" s="20"/>
      <c r="D525" s="20"/>
      <c r="E525" s="20"/>
      <c r="F525" s="20"/>
      <c r="G525" s="20"/>
      <c r="H525" s="20"/>
      <c r="I525" s="20"/>
      <c r="J525" s="21"/>
      <c r="K525" s="21"/>
      <c r="L525" s="21"/>
      <c r="M525" s="21"/>
      <c r="N525" s="22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</row>
    <row r="526" spans="1:45" ht="12.75" customHeight="1" x14ac:dyDescent="0.25">
      <c r="A526" s="20"/>
      <c r="B526" s="20"/>
      <c r="C526" s="20"/>
      <c r="D526" s="20"/>
      <c r="E526" s="20"/>
      <c r="F526" s="20"/>
      <c r="G526" s="20"/>
      <c r="H526" s="20"/>
      <c r="I526" s="20"/>
      <c r="J526" s="21"/>
      <c r="K526" s="21"/>
      <c r="L526" s="21"/>
      <c r="M526" s="21"/>
      <c r="N526" s="22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</row>
    <row r="527" spans="1:45" ht="12.75" customHeight="1" x14ac:dyDescent="0.25">
      <c r="A527" s="20"/>
      <c r="B527" s="20"/>
      <c r="C527" s="20"/>
      <c r="D527" s="20"/>
      <c r="E527" s="20"/>
      <c r="F527" s="20"/>
      <c r="G527" s="20"/>
      <c r="H527" s="20"/>
      <c r="I527" s="20"/>
      <c r="J527" s="21"/>
      <c r="K527" s="21"/>
      <c r="L527" s="21"/>
      <c r="M527" s="21"/>
      <c r="N527" s="22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</row>
    <row r="528" spans="1:45" ht="12.75" customHeight="1" x14ac:dyDescent="0.25">
      <c r="A528" s="20"/>
      <c r="B528" s="20"/>
      <c r="C528" s="20"/>
      <c r="D528" s="20"/>
      <c r="E528" s="20"/>
      <c r="F528" s="20"/>
      <c r="G528" s="20"/>
      <c r="H528" s="20"/>
      <c r="I528" s="20"/>
      <c r="J528" s="21"/>
      <c r="K528" s="21"/>
      <c r="L528" s="21"/>
      <c r="M528" s="21"/>
      <c r="N528" s="22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</row>
    <row r="529" spans="1:45" ht="12.75" customHeight="1" x14ac:dyDescent="0.25">
      <c r="A529" s="20"/>
      <c r="B529" s="20"/>
      <c r="C529" s="20"/>
      <c r="D529" s="20"/>
      <c r="E529" s="20"/>
      <c r="F529" s="20"/>
      <c r="G529" s="20"/>
      <c r="H529" s="20"/>
      <c r="I529" s="20"/>
      <c r="J529" s="21"/>
      <c r="K529" s="21"/>
      <c r="L529" s="21"/>
      <c r="M529" s="21"/>
      <c r="N529" s="22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</row>
    <row r="530" spans="1:45" ht="12.75" customHeight="1" x14ac:dyDescent="0.25">
      <c r="A530" s="20"/>
      <c r="B530" s="20"/>
      <c r="C530" s="20"/>
      <c r="D530" s="20"/>
      <c r="E530" s="20"/>
      <c r="F530" s="20"/>
      <c r="G530" s="20"/>
      <c r="H530" s="20"/>
      <c r="I530" s="20"/>
      <c r="J530" s="21"/>
      <c r="K530" s="21"/>
      <c r="L530" s="21"/>
      <c r="M530" s="21"/>
      <c r="N530" s="22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</row>
    <row r="531" spans="1:45" ht="12.75" customHeight="1" x14ac:dyDescent="0.25">
      <c r="A531" s="20"/>
      <c r="B531" s="20"/>
      <c r="C531" s="20"/>
      <c r="D531" s="20"/>
      <c r="E531" s="20"/>
      <c r="F531" s="20"/>
      <c r="G531" s="20"/>
      <c r="H531" s="20"/>
      <c r="I531" s="20"/>
      <c r="J531" s="21"/>
      <c r="K531" s="21"/>
      <c r="L531" s="21"/>
      <c r="M531" s="21"/>
      <c r="N531" s="22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</row>
    <row r="532" spans="1:45" ht="12.75" customHeight="1" x14ac:dyDescent="0.25">
      <c r="A532" s="20"/>
      <c r="B532" s="20"/>
      <c r="C532" s="20"/>
      <c r="D532" s="20"/>
      <c r="E532" s="20"/>
      <c r="F532" s="20"/>
      <c r="G532" s="20"/>
      <c r="H532" s="20"/>
      <c r="I532" s="20"/>
      <c r="J532" s="21"/>
      <c r="K532" s="21"/>
      <c r="L532" s="21"/>
      <c r="M532" s="21"/>
      <c r="N532" s="22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</row>
    <row r="533" spans="1:45" ht="12.75" customHeight="1" x14ac:dyDescent="0.25">
      <c r="A533" s="20"/>
      <c r="B533" s="20"/>
      <c r="C533" s="20"/>
      <c r="D533" s="20"/>
      <c r="E533" s="20"/>
      <c r="F533" s="20"/>
      <c r="G533" s="20"/>
      <c r="H533" s="20"/>
      <c r="I533" s="20"/>
      <c r="J533" s="21"/>
      <c r="K533" s="21"/>
      <c r="L533" s="21"/>
      <c r="M533" s="21"/>
      <c r="N533" s="22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</row>
    <row r="534" spans="1:45" ht="12.75" customHeight="1" x14ac:dyDescent="0.25">
      <c r="A534" s="20"/>
      <c r="B534" s="20"/>
      <c r="C534" s="20"/>
      <c r="D534" s="20"/>
      <c r="E534" s="20"/>
      <c r="F534" s="20"/>
      <c r="G534" s="20"/>
      <c r="H534" s="20"/>
      <c r="I534" s="20"/>
      <c r="J534" s="21"/>
      <c r="K534" s="21"/>
      <c r="L534" s="21"/>
      <c r="M534" s="21"/>
      <c r="N534" s="22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</row>
    <row r="535" spans="1:45" ht="12.75" customHeight="1" x14ac:dyDescent="0.25">
      <c r="A535" s="20"/>
      <c r="B535" s="20"/>
      <c r="C535" s="20"/>
      <c r="D535" s="20"/>
      <c r="E535" s="20"/>
      <c r="F535" s="20"/>
      <c r="G535" s="20"/>
      <c r="H535" s="20"/>
      <c r="I535" s="20"/>
      <c r="J535" s="21"/>
      <c r="K535" s="21"/>
      <c r="L535" s="21"/>
      <c r="M535" s="21"/>
      <c r="N535" s="22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</row>
    <row r="536" spans="1:45" ht="12.75" customHeight="1" x14ac:dyDescent="0.25">
      <c r="A536" s="20"/>
      <c r="B536" s="20"/>
      <c r="C536" s="20"/>
      <c r="D536" s="20"/>
      <c r="E536" s="20"/>
      <c r="F536" s="20"/>
      <c r="G536" s="20"/>
      <c r="H536" s="20"/>
      <c r="I536" s="20"/>
      <c r="J536" s="21"/>
      <c r="K536" s="21"/>
      <c r="L536" s="21"/>
      <c r="M536" s="21"/>
      <c r="N536" s="22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</row>
    <row r="537" spans="1:45" ht="12.75" customHeight="1" x14ac:dyDescent="0.25">
      <c r="A537" s="20"/>
      <c r="B537" s="20"/>
      <c r="C537" s="20"/>
      <c r="D537" s="20"/>
      <c r="E537" s="20"/>
      <c r="F537" s="20"/>
      <c r="G537" s="20"/>
      <c r="H537" s="20"/>
      <c r="I537" s="20"/>
      <c r="J537" s="21"/>
      <c r="K537" s="21"/>
      <c r="L537" s="21"/>
      <c r="M537" s="21"/>
      <c r="N537" s="22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</row>
    <row r="538" spans="1:45" ht="12.75" customHeight="1" x14ac:dyDescent="0.25">
      <c r="A538" s="20"/>
      <c r="B538" s="20"/>
      <c r="C538" s="20"/>
      <c r="D538" s="20"/>
      <c r="E538" s="20"/>
      <c r="F538" s="20"/>
      <c r="G538" s="20"/>
      <c r="H538" s="20"/>
      <c r="I538" s="20"/>
      <c r="J538" s="21"/>
      <c r="K538" s="21"/>
      <c r="L538" s="21"/>
      <c r="M538" s="21"/>
      <c r="N538" s="22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</row>
    <row r="539" spans="1:45" ht="12.75" customHeight="1" x14ac:dyDescent="0.25">
      <c r="A539" s="20"/>
      <c r="B539" s="20"/>
      <c r="C539" s="20"/>
      <c r="D539" s="20"/>
      <c r="E539" s="20"/>
      <c r="F539" s="20"/>
      <c r="G539" s="20"/>
      <c r="H539" s="20"/>
      <c r="I539" s="20"/>
      <c r="J539" s="21"/>
      <c r="K539" s="21"/>
      <c r="L539" s="21"/>
      <c r="M539" s="21"/>
      <c r="N539" s="22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</row>
    <row r="540" spans="1:45" ht="12.75" customHeight="1" x14ac:dyDescent="0.25">
      <c r="A540" s="20"/>
      <c r="B540" s="20"/>
      <c r="C540" s="20"/>
      <c r="D540" s="20"/>
      <c r="E540" s="20"/>
      <c r="F540" s="20"/>
      <c r="G540" s="20"/>
      <c r="H540" s="20"/>
      <c r="I540" s="20"/>
      <c r="J540" s="21"/>
      <c r="K540" s="21"/>
      <c r="L540" s="21"/>
      <c r="M540" s="21"/>
      <c r="N540" s="22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</row>
    <row r="541" spans="1:45" ht="12.75" customHeight="1" x14ac:dyDescent="0.25">
      <c r="A541" s="20"/>
      <c r="B541" s="20"/>
      <c r="C541" s="20"/>
      <c r="D541" s="20"/>
      <c r="E541" s="20"/>
      <c r="F541" s="20"/>
      <c r="G541" s="20"/>
      <c r="H541" s="20"/>
      <c r="I541" s="20"/>
      <c r="J541" s="21"/>
      <c r="K541" s="21"/>
      <c r="L541" s="21"/>
      <c r="M541" s="21"/>
      <c r="N541" s="22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</row>
    <row r="542" spans="1:45" ht="12.75" customHeight="1" x14ac:dyDescent="0.25">
      <c r="A542" s="20"/>
      <c r="B542" s="20"/>
      <c r="C542" s="20"/>
      <c r="D542" s="20"/>
      <c r="E542" s="20"/>
      <c r="F542" s="20"/>
      <c r="G542" s="20"/>
      <c r="H542" s="20"/>
      <c r="I542" s="20"/>
      <c r="J542" s="21"/>
      <c r="K542" s="21"/>
      <c r="L542" s="21"/>
      <c r="M542" s="21"/>
      <c r="N542" s="22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</row>
    <row r="543" spans="1:45" ht="12.75" customHeight="1" x14ac:dyDescent="0.25">
      <c r="A543" s="20"/>
      <c r="B543" s="20"/>
      <c r="C543" s="20"/>
      <c r="D543" s="20"/>
      <c r="E543" s="20"/>
      <c r="F543" s="20"/>
      <c r="G543" s="20"/>
      <c r="H543" s="20"/>
      <c r="I543" s="20"/>
      <c r="J543" s="21"/>
      <c r="K543" s="21"/>
      <c r="L543" s="21"/>
      <c r="M543" s="21"/>
      <c r="N543" s="22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</row>
    <row r="544" spans="1:45" ht="12.75" customHeight="1" x14ac:dyDescent="0.25">
      <c r="A544" s="20"/>
      <c r="B544" s="20"/>
      <c r="C544" s="20"/>
      <c r="D544" s="20"/>
      <c r="E544" s="20"/>
      <c r="F544" s="20"/>
      <c r="G544" s="20"/>
      <c r="H544" s="20"/>
      <c r="I544" s="20"/>
      <c r="J544" s="21"/>
      <c r="K544" s="21"/>
      <c r="L544" s="21"/>
      <c r="M544" s="21"/>
      <c r="N544" s="22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</row>
    <row r="545" spans="1:45" ht="12.75" customHeight="1" x14ac:dyDescent="0.25">
      <c r="A545" s="20"/>
      <c r="B545" s="20"/>
      <c r="C545" s="20"/>
      <c r="D545" s="20"/>
      <c r="E545" s="20"/>
      <c r="F545" s="20"/>
      <c r="G545" s="20"/>
      <c r="H545" s="20"/>
      <c r="I545" s="20"/>
      <c r="J545" s="21"/>
      <c r="K545" s="21"/>
      <c r="L545" s="21"/>
      <c r="M545" s="21"/>
      <c r="N545" s="22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</row>
    <row r="546" spans="1:45" ht="12.75" customHeight="1" x14ac:dyDescent="0.25">
      <c r="A546" s="20"/>
      <c r="B546" s="20"/>
      <c r="C546" s="20"/>
      <c r="D546" s="20"/>
      <c r="E546" s="20"/>
      <c r="F546" s="20"/>
      <c r="G546" s="20"/>
      <c r="H546" s="20"/>
      <c r="I546" s="20"/>
      <c r="J546" s="21"/>
      <c r="K546" s="21"/>
      <c r="L546" s="21"/>
      <c r="M546" s="21"/>
      <c r="N546" s="22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</row>
    <row r="547" spans="1:45" ht="12.75" customHeight="1" x14ac:dyDescent="0.25">
      <c r="A547" s="20"/>
      <c r="B547" s="20"/>
      <c r="C547" s="20"/>
      <c r="D547" s="20"/>
      <c r="E547" s="20"/>
      <c r="F547" s="20"/>
      <c r="G547" s="20"/>
      <c r="H547" s="20"/>
      <c r="I547" s="20"/>
      <c r="J547" s="21"/>
      <c r="K547" s="21"/>
      <c r="L547" s="21"/>
      <c r="M547" s="21"/>
      <c r="N547" s="22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</row>
    <row r="548" spans="1:45" ht="12.75" customHeight="1" x14ac:dyDescent="0.25">
      <c r="A548" s="20"/>
      <c r="B548" s="20"/>
      <c r="C548" s="20"/>
      <c r="D548" s="20"/>
      <c r="E548" s="20"/>
      <c r="F548" s="20"/>
      <c r="G548" s="20"/>
      <c r="H548" s="20"/>
      <c r="I548" s="20"/>
      <c r="J548" s="21"/>
      <c r="K548" s="21"/>
      <c r="L548" s="21"/>
      <c r="M548" s="21"/>
      <c r="N548" s="22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</row>
    <row r="549" spans="1:45" ht="12.75" customHeight="1" x14ac:dyDescent="0.25">
      <c r="A549" s="20"/>
      <c r="B549" s="20"/>
      <c r="C549" s="20"/>
      <c r="D549" s="20"/>
      <c r="E549" s="20"/>
      <c r="F549" s="20"/>
      <c r="G549" s="20"/>
      <c r="H549" s="20"/>
      <c r="I549" s="20"/>
      <c r="J549" s="21"/>
      <c r="K549" s="21"/>
      <c r="L549" s="21"/>
      <c r="M549" s="21"/>
      <c r="N549" s="22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</row>
    <row r="550" spans="1:45" ht="12.75" customHeight="1" x14ac:dyDescent="0.25">
      <c r="A550" s="20"/>
      <c r="B550" s="20"/>
      <c r="C550" s="20"/>
      <c r="D550" s="20"/>
      <c r="E550" s="20"/>
      <c r="F550" s="20"/>
      <c r="G550" s="20"/>
      <c r="H550" s="20"/>
      <c r="I550" s="20"/>
      <c r="J550" s="21"/>
      <c r="K550" s="21"/>
      <c r="L550" s="21"/>
      <c r="M550" s="21"/>
      <c r="N550" s="22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</row>
    <row r="551" spans="1:45" ht="12.75" customHeight="1" x14ac:dyDescent="0.25">
      <c r="A551" s="20"/>
      <c r="B551" s="20"/>
      <c r="C551" s="20"/>
      <c r="D551" s="20"/>
      <c r="E551" s="20"/>
      <c r="F551" s="20"/>
      <c r="G551" s="20"/>
      <c r="H551" s="20"/>
      <c r="I551" s="20"/>
      <c r="J551" s="21"/>
      <c r="K551" s="21"/>
      <c r="L551" s="21"/>
      <c r="M551" s="21"/>
      <c r="N551" s="22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</row>
    <row r="552" spans="1:45" ht="12.75" customHeight="1" x14ac:dyDescent="0.25">
      <c r="A552" s="20"/>
      <c r="B552" s="20"/>
      <c r="C552" s="20"/>
      <c r="D552" s="20"/>
      <c r="E552" s="20"/>
      <c r="F552" s="20"/>
      <c r="G552" s="20"/>
      <c r="H552" s="20"/>
      <c r="I552" s="20"/>
      <c r="J552" s="21"/>
      <c r="K552" s="21"/>
      <c r="L552" s="21"/>
      <c r="M552" s="21"/>
      <c r="N552" s="22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</row>
    <row r="553" spans="1:45" ht="12.75" customHeight="1" x14ac:dyDescent="0.25">
      <c r="A553" s="20"/>
      <c r="B553" s="20"/>
      <c r="C553" s="20"/>
      <c r="D553" s="20"/>
      <c r="E553" s="20"/>
      <c r="F553" s="20"/>
      <c r="G553" s="20"/>
      <c r="H553" s="20"/>
      <c r="I553" s="20"/>
      <c r="J553" s="21"/>
      <c r="K553" s="21"/>
      <c r="L553" s="21"/>
      <c r="M553" s="21"/>
      <c r="N553" s="22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</row>
    <row r="554" spans="1:45" ht="12.75" customHeight="1" x14ac:dyDescent="0.25">
      <c r="A554" s="20"/>
      <c r="B554" s="20"/>
      <c r="C554" s="20"/>
      <c r="D554" s="20"/>
      <c r="E554" s="20"/>
      <c r="F554" s="20"/>
      <c r="G554" s="20"/>
      <c r="H554" s="20"/>
      <c r="I554" s="20"/>
      <c r="J554" s="21"/>
      <c r="K554" s="21"/>
      <c r="L554" s="21"/>
      <c r="M554" s="21"/>
      <c r="N554" s="22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</row>
    <row r="555" spans="1:45" ht="12.75" customHeight="1" x14ac:dyDescent="0.25">
      <c r="A555" s="20"/>
      <c r="B555" s="20"/>
      <c r="C555" s="20"/>
      <c r="D555" s="20"/>
      <c r="E555" s="20"/>
      <c r="F555" s="20"/>
      <c r="G555" s="20"/>
      <c r="H555" s="20"/>
      <c r="I555" s="20"/>
      <c r="J555" s="21"/>
      <c r="K555" s="21"/>
      <c r="L555" s="21"/>
      <c r="M555" s="21"/>
      <c r="N555" s="22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</row>
    <row r="556" spans="1:45" ht="12.75" customHeight="1" x14ac:dyDescent="0.25">
      <c r="A556" s="20"/>
      <c r="B556" s="20"/>
      <c r="C556" s="20"/>
      <c r="D556" s="20"/>
      <c r="E556" s="20"/>
      <c r="F556" s="20"/>
      <c r="G556" s="20"/>
      <c r="H556" s="20"/>
      <c r="I556" s="20"/>
      <c r="J556" s="21"/>
      <c r="K556" s="21"/>
      <c r="L556" s="21"/>
      <c r="M556" s="21"/>
      <c r="N556" s="22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</row>
    <row r="557" spans="1:45" ht="12.75" customHeight="1" x14ac:dyDescent="0.25">
      <c r="A557" s="20"/>
      <c r="B557" s="20"/>
      <c r="C557" s="20"/>
      <c r="D557" s="20"/>
      <c r="E557" s="20"/>
      <c r="F557" s="20"/>
      <c r="G557" s="20"/>
      <c r="H557" s="20"/>
      <c r="I557" s="20"/>
      <c r="J557" s="21"/>
      <c r="K557" s="21"/>
      <c r="L557" s="21"/>
      <c r="M557" s="21"/>
      <c r="N557" s="22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</row>
    <row r="558" spans="1:45" ht="12.75" customHeight="1" x14ac:dyDescent="0.25">
      <c r="A558" s="20"/>
      <c r="B558" s="20"/>
      <c r="C558" s="20"/>
      <c r="D558" s="20"/>
      <c r="E558" s="20"/>
      <c r="F558" s="20"/>
      <c r="G558" s="20"/>
      <c r="H558" s="20"/>
      <c r="I558" s="20"/>
      <c r="J558" s="21"/>
      <c r="K558" s="21"/>
      <c r="L558" s="21"/>
      <c r="M558" s="21"/>
      <c r="N558" s="22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</row>
    <row r="559" spans="1:45" ht="12.75" customHeight="1" x14ac:dyDescent="0.25">
      <c r="A559" s="20"/>
      <c r="B559" s="20"/>
      <c r="C559" s="20"/>
      <c r="D559" s="20"/>
      <c r="E559" s="20"/>
      <c r="F559" s="20"/>
      <c r="G559" s="20"/>
      <c r="H559" s="20"/>
      <c r="I559" s="20"/>
      <c r="J559" s="21"/>
      <c r="K559" s="21"/>
      <c r="L559" s="21"/>
      <c r="M559" s="21"/>
      <c r="N559" s="22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</row>
    <row r="560" spans="1:45" ht="12.75" customHeight="1" x14ac:dyDescent="0.25">
      <c r="A560" s="20"/>
      <c r="B560" s="20"/>
      <c r="C560" s="20"/>
      <c r="D560" s="20"/>
      <c r="E560" s="20"/>
      <c r="F560" s="20"/>
      <c r="G560" s="20"/>
      <c r="H560" s="20"/>
      <c r="I560" s="20"/>
      <c r="J560" s="21"/>
      <c r="K560" s="21"/>
      <c r="L560" s="21"/>
      <c r="M560" s="21"/>
      <c r="N560" s="22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</row>
    <row r="561" spans="1:45" ht="12.75" customHeight="1" x14ac:dyDescent="0.25">
      <c r="A561" s="20"/>
      <c r="B561" s="20"/>
      <c r="C561" s="20"/>
      <c r="D561" s="20"/>
      <c r="E561" s="20"/>
      <c r="F561" s="20"/>
      <c r="G561" s="20"/>
      <c r="H561" s="20"/>
      <c r="I561" s="20"/>
      <c r="J561" s="21"/>
      <c r="K561" s="21"/>
      <c r="L561" s="21"/>
      <c r="M561" s="21"/>
      <c r="N561" s="22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</row>
    <row r="562" spans="1:45" ht="12.75" customHeight="1" x14ac:dyDescent="0.25">
      <c r="A562" s="20"/>
      <c r="B562" s="20"/>
      <c r="C562" s="20"/>
      <c r="D562" s="20"/>
      <c r="E562" s="20"/>
      <c r="F562" s="20"/>
      <c r="G562" s="20"/>
      <c r="H562" s="20"/>
      <c r="I562" s="20"/>
      <c r="J562" s="21"/>
      <c r="K562" s="21"/>
      <c r="L562" s="21"/>
      <c r="M562" s="21"/>
      <c r="N562" s="22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</row>
    <row r="563" spans="1:45" ht="12.75" customHeight="1" x14ac:dyDescent="0.25">
      <c r="A563" s="20"/>
      <c r="B563" s="20"/>
      <c r="C563" s="20"/>
      <c r="D563" s="20"/>
      <c r="E563" s="20"/>
      <c r="F563" s="20"/>
      <c r="G563" s="20"/>
      <c r="H563" s="20"/>
      <c r="I563" s="20"/>
      <c r="J563" s="21"/>
      <c r="K563" s="21"/>
      <c r="L563" s="21"/>
      <c r="M563" s="21"/>
      <c r="N563" s="22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</row>
    <row r="564" spans="1:45" ht="12.75" customHeight="1" x14ac:dyDescent="0.25">
      <c r="A564" s="20"/>
      <c r="B564" s="20"/>
      <c r="C564" s="20"/>
      <c r="D564" s="20"/>
      <c r="E564" s="20"/>
      <c r="F564" s="20"/>
      <c r="G564" s="20"/>
      <c r="H564" s="20"/>
      <c r="I564" s="20"/>
      <c r="J564" s="21"/>
      <c r="K564" s="21"/>
      <c r="L564" s="21"/>
      <c r="M564" s="21"/>
      <c r="N564" s="22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</row>
    <row r="565" spans="1:45" ht="12.75" customHeight="1" x14ac:dyDescent="0.25">
      <c r="A565" s="20"/>
      <c r="B565" s="20"/>
      <c r="C565" s="20"/>
      <c r="D565" s="20"/>
      <c r="E565" s="20"/>
      <c r="F565" s="20"/>
      <c r="G565" s="20"/>
      <c r="H565" s="20"/>
      <c r="I565" s="20"/>
      <c r="J565" s="21"/>
      <c r="K565" s="21"/>
      <c r="L565" s="21"/>
      <c r="M565" s="21"/>
      <c r="N565" s="22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</row>
    <row r="566" spans="1:45" ht="12.75" customHeight="1" x14ac:dyDescent="0.25">
      <c r="A566" s="20"/>
      <c r="B566" s="20"/>
      <c r="C566" s="20"/>
      <c r="D566" s="20"/>
      <c r="E566" s="20"/>
      <c r="F566" s="20"/>
      <c r="G566" s="20"/>
      <c r="H566" s="20"/>
      <c r="I566" s="20"/>
      <c r="J566" s="21"/>
      <c r="K566" s="21"/>
      <c r="L566" s="21"/>
      <c r="M566" s="21"/>
      <c r="N566" s="22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</row>
    <row r="567" spans="1:45" ht="12.75" customHeight="1" x14ac:dyDescent="0.25">
      <c r="A567" s="20"/>
      <c r="B567" s="20"/>
      <c r="C567" s="20"/>
      <c r="D567" s="20"/>
      <c r="E567" s="20"/>
      <c r="F567" s="20"/>
      <c r="G567" s="20"/>
      <c r="H567" s="20"/>
      <c r="I567" s="20"/>
      <c r="J567" s="21"/>
      <c r="K567" s="21"/>
      <c r="L567" s="21"/>
      <c r="M567" s="21"/>
      <c r="N567" s="22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</row>
    <row r="568" spans="1:45" ht="12.75" customHeight="1" x14ac:dyDescent="0.25">
      <c r="A568" s="20"/>
      <c r="B568" s="20"/>
      <c r="C568" s="20"/>
      <c r="D568" s="20"/>
      <c r="E568" s="20"/>
      <c r="F568" s="20"/>
      <c r="G568" s="20"/>
      <c r="H568" s="20"/>
      <c r="I568" s="20"/>
      <c r="J568" s="21"/>
      <c r="K568" s="21"/>
      <c r="L568" s="21"/>
      <c r="M568" s="21"/>
      <c r="N568" s="22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</row>
    <row r="569" spans="1:45" ht="12.75" customHeight="1" x14ac:dyDescent="0.25">
      <c r="A569" s="20"/>
      <c r="B569" s="20"/>
      <c r="C569" s="20"/>
      <c r="D569" s="20"/>
      <c r="E569" s="20"/>
      <c r="F569" s="20"/>
      <c r="G569" s="20"/>
      <c r="H569" s="20"/>
      <c r="I569" s="20"/>
      <c r="J569" s="21"/>
      <c r="K569" s="21"/>
      <c r="L569" s="21"/>
      <c r="M569" s="21"/>
      <c r="N569" s="22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</row>
    <row r="570" spans="1:45" ht="12.75" customHeight="1" x14ac:dyDescent="0.25">
      <c r="A570" s="20"/>
      <c r="B570" s="20"/>
      <c r="C570" s="20"/>
      <c r="D570" s="20"/>
      <c r="E570" s="20"/>
      <c r="F570" s="20"/>
      <c r="G570" s="20"/>
      <c r="H570" s="20"/>
      <c r="I570" s="20"/>
      <c r="J570" s="21"/>
      <c r="K570" s="21"/>
      <c r="L570" s="21"/>
      <c r="M570" s="21"/>
      <c r="N570" s="22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</row>
    <row r="571" spans="1:45" ht="12.75" customHeight="1" x14ac:dyDescent="0.25">
      <c r="A571" s="20"/>
      <c r="B571" s="20"/>
      <c r="C571" s="20"/>
      <c r="D571" s="20"/>
      <c r="E571" s="20"/>
      <c r="F571" s="20"/>
      <c r="G571" s="20"/>
      <c r="H571" s="20"/>
      <c r="I571" s="20"/>
      <c r="J571" s="21"/>
      <c r="K571" s="21"/>
      <c r="L571" s="21"/>
      <c r="M571" s="21"/>
      <c r="N571" s="22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</row>
    <row r="572" spans="1:45" ht="12.75" customHeight="1" x14ac:dyDescent="0.25">
      <c r="A572" s="20"/>
      <c r="B572" s="20"/>
      <c r="C572" s="20"/>
      <c r="D572" s="20"/>
      <c r="E572" s="20"/>
      <c r="F572" s="20"/>
      <c r="G572" s="20"/>
      <c r="H572" s="20"/>
      <c r="I572" s="20"/>
      <c r="J572" s="21"/>
      <c r="K572" s="21"/>
      <c r="L572" s="21"/>
      <c r="M572" s="21"/>
      <c r="N572" s="22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</row>
    <row r="573" spans="1:45" ht="12.75" customHeight="1" x14ac:dyDescent="0.25">
      <c r="A573" s="20"/>
      <c r="B573" s="20"/>
      <c r="C573" s="20"/>
      <c r="D573" s="20"/>
      <c r="E573" s="20"/>
      <c r="F573" s="20"/>
      <c r="G573" s="20"/>
      <c r="H573" s="20"/>
      <c r="I573" s="20"/>
      <c r="J573" s="21"/>
      <c r="K573" s="21"/>
      <c r="L573" s="21"/>
      <c r="M573" s="21"/>
      <c r="N573" s="22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</row>
    <row r="574" spans="1:45" ht="12.75" customHeight="1" x14ac:dyDescent="0.25">
      <c r="A574" s="20"/>
      <c r="B574" s="20"/>
      <c r="C574" s="20"/>
      <c r="D574" s="20"/>
      <c r="E574" s="20"/>
      <c r="F574" s="20"/>
      <c r="G574" s="20"/>
      <c r="H574" s="20"/>
      <c r="I574" s="20"/>
      <c r="J574" s="21"/>
      <c r="K574" s="21"/>
      <c r="L574" s="21"/>
      <c r="M574" s="21"/>
      <c r="N574" s="22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</row>
    <row r="575" spans="1:45" ht="12.75" customHeight="1" x14ac:dyDescent="0.25">
      <c r="A575" s="20"/>
      <c r="B575" s="20"/>
      <c r="C575" s="20"/>
      <c r="D575" s="20"/>
      <c r="E575" s="20"/>
      <c r="F575" s="20"/>
      <c r="G575" s="20"/>
      <c r="H575" s="20"/>
      <c r="I575" s="20"/>
      <c r="J575" s="21"/>
      <c r="K575" s="21"/>
      <c r="L575" s="21"/>
      <c r="M575" s="21"/>
      <c r="N575" s="22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</row>
    <row r="576" spans="1:45" ht="12.75" customHeight="1" x14ac:dyDescent="0.25">
      <c r="A576" s="20"/>
      <c r="B576" s="20"/>
      <c r="C576" s="20"/>
      <c r="D576" s="20"/>
      <c r="E576" s="20"/>
      <c r="F576" s="20"/>
      <c r="G576" s="20"/>
      <c r="H576" s="20"/>
      <c r="I576" s="20"/>
      <c r="J576" s="21"/>
      <c r="K576" s="21"/>
      <c r="L576" s="21"/>
      <c r="M576" s="21"/>
      <c r="N576" s="22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</row>
    <row r="577" spans="1:45" ht="12.75" customHeight="1" x14ac:dyDescent="0.25">
      <c r="A577" s="20"/>
      <c r="B577" s="20"/>
      <c r="C577" s="20"/>
      <c r="D577" s="20"/>
      <c r="E577" s="20"/>
      <c r="F577" s="20"/>
      <c r="G577" s="20"/>
      <c r="H577" s="20"/>
      <c r="I577" s="20"/>
      <c r="J577" s="21"/>
      <c r="K577" s="21"/>
      <c r="L577" s="21"/>
      <c r="M577" s="21"/>
      <c r="N577" s="22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</row>
    <row r="578" spans="1:45" ht="12.75" customHeight="1" x14ac:dyDescent="0.25">
      <c r="A578" s="20"/>
      <c r="B578" s="20"/>
      <c r="C578" s="20"/>
      <c r="D578" s="20"/>
      <c r="E578" s="20"/>
      <c r="F578" s="20"/>
      <c r="G578" s="20"/>
      <c r="H578" s="20"/>
      <c r="I578" s="20"/>
      <c r="J578" s="21"/>
      <c r="K578" s="21"/>
      <c r="L578" s="21"/>
      <c r="M578" s="21"/>
      <c r="N578" s="22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</row>
    <row r="579" spans="1:45" ht="12.75" customHeight="1" x14ac:dyDescent="0.25">
      <c r="A579" s="20"/>
      <c r="B579" s="20"/>
      <c r="C579" s="20"/>
      <c r="D579" s="20"/>
      <c r="E579" s="20"/>
      <c r="F579" s="20"/>
      <c r="G579" s="20"/>
      <c r="H579" s="20"/>
      <c r="I579" s="20"/>
      <c r="J579" s="21"/>
      <c r="K579" s="21"/>
      <c r="L579" s="21"/>
      <c r="M579" s="21"/>
      <c r="N579" s="22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</row>
    <row r="580" spans="1:45" ht="12.75" customHeight="1" x14ac:dyDescent="0.25">
      <c r="A580" s="20"/>
      <c r="B580" s="20"/>
      <c r="C580" s="20"/>
      <c r="D580" s="20"/>
      <c r="E580" s="20"/>
      <c r="F580" s="20"/>
      <c r="G580" s="20"/>
      <c r="H580" s="20"/>
      <c r="I580" s="20"/>
      <c r="J580" s="21"/>
      <c r="K580" s="21"/>
      <c r="L580" s="21"/>
      <c r="M580" s="21"/>
      <c r="N580" s="22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</row>
    <row r="581" spans="1:45" ht="12.75" customHeight="1" x14ac:dyDescent="0.25">
      <c r="A581" s="20"/>
      <c r="B581" s="20"/>
      <c r="C581" s="20"/>
      <c r="D581" s="20"/>
      <c r="E581" s="20"/>
      <c r="F581" s="20"/>
      <c r="G581" s="20"/>
      <c r="H581" s="20"/>
      <c r="I581" s="20"/>
      <c r="J581" s="21"/>
      <c r="K581" s="21"/>
      <c r="L581" s="21"/>
      <c r="M581" s="21"/>
      <c r="N581" s="22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</row>
    <row r="582" spans="1:45" ht="12.75" customHeight="1" x14ac:dyDescent="0.25">
      <c r="A582" s="20"/>
      <c r="B582" s="20"/>
      <c r="C582" s="20"/>
      <c r="D582" s="20"/>
      <c r="E582" s="20"/>
      <c r="F582" s="20"/>
      <c r="G582" s="20"/>
      <c r="H582" s="20"/>
      <c r="I582" s="20"/>
      <c r="J582" s="21"/>
      <c r="K582" s="21"/>
      <c r="L582" s="21"/>
      <c r="M582" s="21"/>
      <c r="N582" s="22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</row>
    <row r="583" spans="1:45" ht="12.75" customHeight="1" x14ac:dyDescent="0.25">
      <c r="A583" s="20"/>
      <c r="B583" s="20"/>
      <c r="C583" s="20"/>
      <c r="D583" s="20"/>
      <c r="E583" s="20"/>
      <c r="F583" s="20"/>
      <c r="G583" s="20"/>
      <c r="H583" s="20"/>
      <c r="I583" s="20"/>
      <c r="J583" s="21"/>
      <c r="K583" s="21"/>
      <c r="L583" s="21"/>
      <c r="M583" s="21"/>
      <c r="N583" s="22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</row>
    <row r="584" spans="1:45" ht="12.75" customHeight="1" x14ac:dyDescent="0.25">
      <c r="A584" s="20"/>
      <c r="B584" s="20"/>
      <c r="C584" s="20"/>
      <c r="D584" s="20"/>
      <c r="E584" s="20"/>
      <c r="F584" s="20"/>
      <c r="G584" s="20"/>
      <c r="H584" s="20"/>
      <c r="I584" s="20"/>
      <c r="J584" s="21"/>
      <c r="K584" s="21"/>
      <c r="L584" s="21"/>
      <c r="M584" s="21"/>
      <c r="N584" s="22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</row>
    <row r="585" spans="1:45" ht="12.75" customHeight="1" x14ac:dyDescent="0.25">
      <c r="A585" s="20"/>
      <c r="B585" s="20"/>
      <c r="C585" s="20"/>
      <c r="D585" s="20"/>
      <c r="E585" s="20"/>
      <c r="F585" s="20"/>
      <c r="G585" s="20"/>
      <c r="H585" s="20"/>
      <c r="I585" s="20"/>
      <c r="J585" s="21"/>
      <c r="K585" s="21"/>
      <c r="L585" s="21"/>
      <c r="M585" s="21"/>
      <c r="N585" s="22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</row>
    <row r="586" spans="1:45" ht="12.75" customHeight="1" x14ac:dyDescent="0.25">
      <c r="A586" s="20"/>
      <c r="B586" s="20"/>
      <c r="C586" s="20"/>
      <c r="D586" s="20"/>
      <c r="E586" s="20"/>
      <c r="F586" s="20"/>
      <c r="G586" s="20"/>
      <c r="H586" s="20"/>
      <c r="I586" s="20"/>
      <c r="J586" s="21"/>
      <c r="K586" s="21"/>
      <c r="L586" s="21"/>
      <c r="M586" s="21"/>
      <c r="N586" s="22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</row>
    <row r="587" spans="1:45" ht="12.75" customHeight="1" x14ac:dyDescent="0.25">
      <c r="A587" s="20"/>
      <c r="B587" s="20"/>
      <c r="C587" s="20"/>
      <c r="D587" s="20"/>
      <c r="E587" s="20"/>
      <c r="F587" s="20"/>
      <c r="G587" s="20"/>
      <c r="H587" s="20"/>
      <c r="I587" s="20"/>
      <c r="J587" s="21"/>
      <c r="K587" s="21"/>
      <c r="L587" s="21"/>
      <c r="M587" s="21"/>
      <c r="N587" s="22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</row>
    <row r="588" spans="1:45" ht="12.75" customHeight="1" x14ac:dyDescent="0.25">
      <c r="A588" s="20"/>
      <c r="B588" s="20"/>
      <c r="C588" s="20"/>
      <c r="D588" s="20"/>
      <c r="E588" s="20"/>
      <c r="F588" s="20"/>
      <c r="G588" s="20"/>
      <c r="H588" s="20"/>
      <c r="I588" s="20"/>
      <c r="J588" s="21"/>
      <c r="K588" s="21"/>
      <c r="L588" s="21"/>
      <c r="M588" s="21"/>
      <c r="N588" s="22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</row>
    <row r="589" spans="1:45" ht="12.75" customHeight="1" x14ac:dyDescent="0.25">
      <c r="A589" s="20"/>
      <c r="B589" s="20"/>
      <c r="C589" s="20"/>
      <c r="D589" s="20"/>
      <c r="E589" s="20"/>
      <c r="F589" s="20"/>
      <c r="G589" s="20"/>
      <c r="H589" s="20"/>
      <c r="I589" s="20"/>
      <c r="J589" s="21"/>
      <c r="K589" s="21"/>
      <c r="L589" s="21"/>
      <c r="M589" s="21"/>
      <c r="N589" s="22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</row>
    <row r="590" spans="1:45" ht="12.75" customHeight="1" x14ac:dyDescent="0.25">
      <c r="A590" s="20"/>
      <c r="B590" s="20"/>
      <c r="C590" s="20"/>
      <c r="D590" s="20"/>
      <c r="E590" s="20"/>
      <c r="F590" s="20"/>
      <c r="G590" s="20"/>
      <c r="H590" s="20"/>
      <c r="I590" s="20"/>
      <c r="J590" s="21"/>
      <c r="K590" s="21"/>
      <c r="L590" s="21"/>
      <c r="M590" s="21"/>
      <c r="N590" s="22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</row>
    <row r="591" spans="1:45" ht="12.75" customHeight="1" x14ac:dyDescent="0.25">
      <c r="A591" s="20"/>
      <c r="B591" s="20"/>
      <c r="C591" s="20"/>
      <c r="D591" s="20"/>
      <c r="E591" s="20"/>
      <c r="F591" s="20"/>
      <c r="G591" s="20"/>
      <c r="H591" s="20"/>
      <c r="I591" s="20"/>
      <c r="J591" s="21"/>
      <c r="K591" s="21"/>
      <c r="L591" s="21"/>
      <c r="M591" s="21"/>
      <c r="N591" s="22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</row>
    <row r="592" spans="1:45" ht="12.75" customHeight="1" x14ac:dyDescent="0.25">
      <c r="A592" s="20"/>
      <c r="B592" s="20"/>
      <c r="C592" s="20"/>
      <c r="D592" s="20"/>
      <c r="E592" s="20"/>
      <c r="F592" s="20"/>
      <c r="G592" s="20"/>
      <c r="H592" s="20"/>
      <c r="I592" s="20"/>
      <c r="J592" s="21"/>
      <c r="K592" s="21"/>
      <c r="L592" s="21"/>
      <c r="M592" s="21"/>
      <c r="N592" s="22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</row>
    <row r="593" spans="1:45" ht="12.75" customHeight="1" x14ac:dyDescent="0.25">
      <c r="A593" s="20"/>
      <c r="B593" s="20"/>
      <c r="C593" s="20"/>
      <c r="D593" s="20"/>
      <c r="E593" s="20"/>
      <c r="F593" s="20"/>
      <c r="G593" s="20"/>
      <c r="H593" s="20"/>
      <c r="I593" s="20"/>
      <c r="J593" s="21"/>
      <c r="K593" s="21"/>
      <c r="L593" s="21"/>
      <c r="M593" s="21"/>
      <c r="N593" s="22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</row>
    <row r="594" spans="1:45" ht="12.75" customHeight="1" x14ac:dyDescent="0.25">
      <c r="A594" s="20"/>
      <c r="B594" s="20"/>
      <c r="C594" s="20"/>
      <c r="D594" s="20"/>
      <c r="E594" s="20"/>
      <c r="F594" s="20"/>
      <c r="G594" s="20"/>
      <c r="H594" s="20"/>
      <c r="I594" s="20"/>
      <c r="J594" s="21"/>
      <c r="K594" s="21"/>
      <c r="L594" s="21"/>
      <c r="M594" s="21"/>
      <c r="N594" s="22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</row>
    <row r="595" spans="1:45" ht="12.75" customHeight="1" x14ac:dyDescent="0.25">
      <c r="A595" s="20"/>
      <c r="B595" s="20"/>
      <c r="C595" s="20"/>
      <c r="D595" s="20"/>
      <c r="E595" s="20"/>
      <c r="F595" s="20"/>
      <c r="G595" s="20"/>
      <c r="H595" s="20"/>
      <c r="I595" s="20"/>
      <c r="J595" s="21"/>
      <c r="K595" s="21"/>
      <c r="L595" s="21"/>
      <c r="M595" s="21"/>
      <c r="N595" s="22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</row>
    <row r="596" spans="1:45" ht="12.75" customHeight="1" x14ac:dyDescent="0.25">
      <c r="A596" s="20"/>
      <c r="B596" s="20"/>
      <c r="C596" s="20"/>
      <c r="D596" s="20"/>
      <c r="E596" s="20"/>
      <c r="F596" s="20"/>
      <c r="G596" s="20"/>
      <c r="H596" s="20"/>
      <c r="I596" s="20"/>
      <c r="J596" s="21"/>
      <c r="K596" s="21"/>
      <c r="L596" s="21"/>
      <c r="M596" s="21"/>
      <c r="N596" s="22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</row>
    <row r="597" spans="1:45" ht="12.75" customHeight="1" x14ac:dyDescent="0.25">
      <c r="A597" s="20"/>
      <c r="B597" s="20"/>
      <c r="C597" s="20"/>
      <c r="D597" s="20"/>
      <c r="E597" s="20"/>
      <c r="F597" s="20"/>
      <c r="G597" s="20"/>
      <c r="H597" s="20"/>
      <c r="I597" s="20"/>
      <c r="J597" s="21"/>
      <c r="K597" s="21"/>
      <c r="L597" s="21"/>
      <c r="M597" s="21"/>
      <c r="N597" s="22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</row>
    <row r="598" spans="1:45" ht="12.75" customHeight="1" x14ac:dyDescent="0.25">
      <c r="A598" s="20"/>
      <c r="B598" s="20"/>
      <c r="C598" s="20"/>
      <c r="D598" s="20"/>
      <c r="E598" s="20"/>
      <c r="F598" s="20"/>
      <c r="G598" s="20"/>
      <c r="H598" s="20"/>
      <c r="I598" s="20"/>
      <c r="J598" s="21"/>
      <c r="K598" s="21"/>
      <c r="L598" s="21"/>
      <c r="M598" s="21"/>
      <c r="N598" s="22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</row>
    <row r="599" spans="1:45" ht="12.75" customHeight="1" x14ac:dyDescent="0.25">
      <c r="A599" s="20"/>
      <c r="B599" s="20"/>
      <c r="C599" s="20"/>
      <c r="D599" s="20"/>
      <c r="E599" s="20"/>
      <c r="F599" s="20"/>
      <c r="G599" s="20"/>
      <c r="H599" s="20"/>
      <c r="I599" s="20"/>
      <c r="J599" s="21"/>
      <c r="K599" s="21"/>
      <c r="L599" s="21"/>
      <c r="M599" s="21"/>
      <c r="N599" s="22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</row>
    <row r="600" spans="1:45" ht="12.75" customHeight="1" x14ac:dyDescent="0.25">
      <c r="A600" s="20"/>
      <c r="B600" s="20"/>
      <c r="C600" s="20"/>
      <c r="D600" s="20"/>
      <c r="E600" s="20"/>
      <c r="F600" s="20"/>
      <c r="G600" s="20"/>
      <c r="H600" s="20"/>
      <c r="I600" s="20"/>
      <c r="J600" s="21"/>
      <c r="K600" s="21"/>
      <c r="L600" s="21"/>
      <c r="M600" s="21"/>
      <c r="N600" s="22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</row>
    <row r="601" spans="1:45" ht="12.75" customHeight="1" x14ac:dyDescent="0.25">
      <c r="A601" s="20"/>
      <c r="B601" s="20"/>
      <c r="C601" s="20"/>
      <c r="D601" s="20"/>
      <c r="E601" s="20"/>
      <c r="F601" s="20"/>
      <c r="G601" s="20"/>
      <c r="H601" s="20"/>
      <c r="I601" s="20"/>
      <c r="J601" s="21"/>
      <c r="K601" s="21"/>
      <c r="L601" s="21"/>
      <c r="M601" s="21"/>
      <c r="N601" s="22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</row>
    <row r="602" spans="1:45" ht="12.75" customHeight="1" x14ac:dyDescent="0.25">
      <c r="A602" s="20"/>
      <c r="B602" s="20"/>
      <c r="C602" s="20"/>
      <c r="D602" s="20"/>
      <c r="E602" s="20"/>
      <c r="F602" s="20"/>
      <c r="G602" s="20"/>
      <c r="H602" s="20"/>
      <c r="I602" s="20"/>
      <c r="J602" s="21"/>
      <c r="K602" s="21"/>
      <c r="L602" s="21"/>
      <c r="M602" s="21"/>
      <c r="N602" s="22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</row>
    <row r="603" spans="1:45" ht="12.75" customHeight="1" x14ac:dyDescent="0.25">
      <c r="A603" s="20"/>
      <c r="B603" s="20"/>
      <c r="C603" s="20"/>
      <c r="D603" s="20"/>
      <c r="E603" s="20"/>
      <c r="F603" s="20"/>
      <c r="G603" s="20"/>
      <c r="H603" s="20"/>
      <c r="I603" s="20"/>
      <c r="J603" s="21"/>
      <c r="K603" s="21"/>
      <c r="L603" s="21"/>
      <c r="M603" s="21"/>
      <c r="N603" s="22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</row>
    <row r="604" spans="1:45" ht="12.75" customHeight="1" x14ac:dyDescent="0.25">
      <c r="A604" s="20"/>
      <c r="B604" s="20"/>
      <c r="C604" s="20"/>
      <c r="D604" s="20"/>
      <c r="E604" s="20"/>
      <c r="F604" s="20"/>
      <c r="G604" s="20"/>
      <c r="H604" s="20"/>
      <c r="I604" s="20"/>
      <c r="J604" s="21"/>
      <c r="K604" s="21"/>
      <c r="L604" s="21"/>
      <c r="M604" s="21"/>
      <c r="N604" s="22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</row>
    <row r="605" spans="1:45" ht="12.75" customHeight="1" x14ac:dyDescent="0.25">
      <c r="A605" s="20"/>
      <c r="B605" s="20"/>
      <c r="C605" s="20"/>
      <c r="D605" s="20"/>
      <c r="E605" s="20"/>
      <c r="F605" s="20"/>
      <c r="G605" s="20"/>
      <c r="H605" s="20"/>
      <c r="I605" s="20"/>
      <c r="J605" s="21"/>
      <c r="K605" s="21"/>
      <c r="L605" s="21"/>
      <c r="M605" s="21"/>
      <c r="N605" s="22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</row>
    <row r="606" spans="1:45" ht="12.75" customHeight="1" x14ac:dyDescent="0.25">
      <c r="A606" s="20"/>
      <c r="B606" s="20"/>
      <c r="C606" s="20"/>
      <c r="D606" s="20"/>
      <c r="E606" s="20"/>
      <c r="F606" s="20"/>
      <c r="G606" s="20"/>
      <c r="H606" s="20"/>
      <c r="I606" s="20"/>
      <c r="J606" s="21"/>
      <c r="K606" s="21"/>
      <c r="L606" s="21"/>
      <c r="M606" s="21"/>
      <c r="N606" s="22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</row>
    <row r="607" spans="1:45" ht="12.75" customHeight="1" x14ac:dyDescent="0.25">
      <c r="A607" s="20"/>
      <c r="B607" s="20"/>
      <c r="C607" s="20"/>
      <c r="D607" s="20"/>
      <c r="E607" s="20"/>
      <c r="F607" s="20"/>
      <c r="G607" s="20"/>
      <c r="H607" s="20"/>
      <c r="I607" s="20"/>
      <c r="J607" s="21"/>
      <c r="K607" s="21"/>
      <c r="L607" s="21"/>
      <c r="M607" s="21"/>
      <c r="N607" s="22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</row>
    <row r="608" spans="1:45" ht="12.75" customHeight="1" x14ac:dyDescent="0.25">
      <c r="A608" s="20"/>
      <c r="B608" s="20"/>
      <c r="C608" s="20"/>
      <c r="D608" s="20"/>
      <c r="E608" s="20"/>
      <c r="F608" s="20"/>
      <c r="G608" s="20"/>
      <c r="H608" s="20"/>
      <c r="I608" s="20"/>
      <c r="J608" s="21"/>
      <c r="K608" s="21"/>
      <c r="L608" s="21"/>
      <c r="M608" s="21"/>
      <c r="N608" s="22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</row>
    <row r="609" spans="1:45" ht="12.75" customHeight="1" x14ac:dyDescent="0.25">
      <c r="A609" s="20"/>
      <c r="B609" s="20"/>
      <c r="C609" s="20"/>
      <c r="D609" s="20"/>
      <c r="E609" s="20"/>
      <c r="F609" s="20"/>
      <c r="G609" s="20"/>
      <c r="H609" s="20"/>
      <c r="I609" s="20"/>
      <c r="J609" s="21"/>
      <c r="K609" s="21"/>
      <c r="L609" s="21"/>
      <c r="M609" s="21"/>
      <c r="N609" s="22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</row>
    <row r="610" spans="1:45" ht="12.75" customHeight="1" x14ac:dyDescent="0.25">
      <c r="A610" s="20"/>
      <c r="B610" s="20"/>
      <c r="C610" s="20"/>
      <c r="D610" s="20"/>
      <c r="E610" s="20"/>
      <c r="F610" s="20"/>
      <c r="G610" s="20"/>
      <c r="H610" s="20"/>
      <c r="I610" s="20"/>
      <c r="J610" s="21"/>
      <c r="K610" s="21"/>
      <c r="L610" s="21"/>
      <c r="M610" s="21"/>
      <c r="N610" s="22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</row>
    <row r="611" spans="1:45" ht="12.75" customHeight="1" x14ac:dyDescent="0.25">
      <c r="A611" s="20"/>
      <c r="B611" s="20"/>
      <c r="C611" s="20"/>
      <c r="D611" s="20"/>
      <c r="E611" s="20"/>
      <c r="F611" s="20"/>
      <c r="G611" s="20"/>
      <c r="H611" s="20"/>
      <c r="I611" s="20"/>
      <c r="J611" s="21"/>
      <c r="K611" s="21"/>
      <c r="L611" s="21"/>
      <c r="M611" s="21"/>
      <c r="N611" s="22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</row>
    <row r="612" spans="1:45" ht="12.75" customHeight="1" x14ac:dyDescent="0.25">
      <c r="A612" s="20"/>
      <c r="B612" s="20"/>
      <c r="C612" s="20"/>
      <c r="D612" s="20"/>
      <c r="E612" s="20"/>
      <c r="F612" s="20"/>
      <c r="G612" s="20"/>
      <c r="H612" s="20"/>
      <c r="I612" s="20"/>
      <c r="J612" s="21"/>
      <c r="K612" s="21"/>
      <c r="L612" s="21"/>
      <c r="M612" s="21"/>
      <c r="N612" s="22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</row>
    <row r="613" spans="1:45" ht="12.75" customHeight="1" x14ac:dyDescent="0.25">
      <c r="A613" s="20"/>
      <c r="B613" s="20"/>
      <c r="C613" s="20"/>
      <c r="D613" s="20"/>
      <c r="E613" s="20"/>
      <c r="F613" s="20"/>
      <c r="G613" s="20"/>
      <c r="H613" s="20"/>
      <c r="I613" s="20"/>
      <c r="J613" s="21"/>
      <c r="K613" s="21"/>
      <c r="L613" s="21"/>
      <c r="M613" s="21"/>
      <c r="N613" s="22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</row>
    <row r="614" spans="1:45" ht="12.75" customHeight="1" x14ac:dyDescent="0.25">
      <c r="A614" s="20"/>
      <c r="B614" s="20"/>
      <c r="C614" s="20"/>
      <c r="D614" s="20"/>
      <c r="E614" s="20"/>
      <c r="F614" s="20"/>
      <c r="G614" s="20"/>
      <c r="H614" s="20"/>
      <c r="I614" s="20"/>
      <c r="J614" s="21"/>
      <c r="K614" s="21"/>
      <c r="L614" s="21"/>
      <c r="M614" s="21"/>
      <c r="N614" s="22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</row>
    <row r="615" spans="1:45" ht="12.75" customHeight="1" x14ac:dyDescent="0.25">
      <c r="A615" s="20"/>
      <c r="B615" s="20"/>
      <c r="C615" s="20"/>
      <c r="D615" s="20"/>
      <c r="E615" s="20"/>
      <c r="F615" s="20"/>
      <c r="G615" s="20"/>
      <c r="H615" s="20"/>
      <c r="I615" s="20"/>
      <c r="J615" s="21"/>
      <c r="K615" s="21"/>
      <c r="L615" s="21"/>
      <c r="M615" s="21"/>
      <c r="N615" s="22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</row>
    <row r="616" spans="1:45" ht="12.75" customHeight="1" x14ac:dyDescent="0.25">
      <c r="A616" s="20"/>
      <c r="B616" s="20"/>
      <c r="C616" s="20"/>
      <c r="D616" s="20"/>
      <c r="E616" s="20"/>
      <c r="F616" s="20"/>
      <c r="G616" s="20"/>
      <c r="H616" s="20"/>
      <c r="I616" s="20"/>
      <c r="J616" s="21"/>
      <c r="K616" s="21"/>
      <c r="L616" s="21"/>
      <c r="M616" s="21"/>
      <c r="N616" s="22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</row>
    <row r="617" spans="1:45" ht="12.75" customHeight="1" x14ac:dyDescent="0.25">
      <c r="A617" s="20"/>
      <c r="B617" s="20"/>
      <c r="C617" s="20"/>
      <c r="D617" s="20"/>
      <c r="E617" s="20"/>
      <c r="F617" s="20"/>
      <c r="G617" s="20"/>
      <c r="H617" s="20"/>
      <c r="I617" s="20"/>
      <c r="J617" s="21"/>
      <c r="K617" s="21"/>
      <c r="L617" s="21"/>
      <c r="M617" s="21"/>
      <c r="N617" s="22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</row>
    <row r="618" spans="1:45" ht="12.75" customHeight="1" x14ac:dyDescent="0.25">
      <c r="A618" s="20"/>
      <c r="B618" s="20"/>
      <c r="C618" s="20"/>
      <c r="D618" s="20"/>
      <c r="E618" s="20"/>
      <c r="F618" s="20"/>
      <c r="G618" s="20"/>
      <c r="H618" s="20"/>
      <c r="I618" s="20"/>
      <c r="J618" s="21"/>
      <c r="K618" s="21"/>
      <c r="L618" s="21"/>
      <c r="M618" s="21"/>
      <c r="N618" s="22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</row>
    <row r="619" spans="1:45" ht="12.75" customHeight="1" x14ac:dyDescent="0.25">
      <c r="A619" s="20"/>
      <c r="B619" s="20"/>
      <c r="C619" s="20"/>
      <c r="D619" s="20"/>
      <c r="E619" s="20"/>
      <c r="F619" s="20"/>
      <c r="G619" s="20"/>
      <c r="H619" s="20"/>
      <c r="I619" s="20"/>
      <c r="J619" s="21"/>
      <c r="K619" s="21"/>
      <c r="L619" s="21"/>
      <c r="M619" s="21"/>
      <c r="N619" s="22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</row>
    <row r="620" spans="1:45" ht="12.75" customHeight="1" x14ac:dyDescent="0.25">
      <c r="A620" s="20"/>
      <c r="B620" s="20"/>
      <c r="C620" s="20"/>
      <c r="D620" s="20"/>
      <c r="E620" s="20"/>
      <c r="F620" s="20"/>
      <c r="G620" s="20"/>
      <c r="H620" s="20"/>
      <c r="I620" s="20"/>
      <c r="J620" s="21"/>
      <c r="K620" s="21"/>
      <c r="L620" s="21"/>
      <c r="M620" s="21"/>
      <c r="N620" s="22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</row>
    <row r="621" spans="1:45" ht="12.75" customHeight="1" x14ac:dyDescent="0.25">
      <c r="A621" s="20"/>
      <c r="B621" s="20"/>
      <c r="C621" s="20"/>
      <c r="D621" s="20"/>
      <c r="E621" s="20"/>
      <c r="F621" s="20"/>
      <c r="G621" s="20"/>
      <c r="H621" s="20"/>
      <c r="I621" s="20"/>
      <c r="J621" s="21"/>
      <c r="K621" s="21"/>
      <c r="L621" s="21"/>
      <c r="M621" s="21"/>
      <c r="N621" s="22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</row>
    <row r="622" spans="1:45" ht="12.75" customHeight="1" x14ac:dyDescent="0.25">
      <c r="A622" s="20"/>
      <c r="B622" s="20"/>
      <c r="C622" s="20"/>
      <c r="D622" s="20"/>
      <c r="E622" s="20"/>
      <c r="F622" s="20"/>
      <c r="G622" s="20"/>
      <c r="H622" s="20"/>
      <c r="I622" s="20"/>
      <c r="J622" s="21"/>
      <c r="K622" s="21"/>
      <c r="L622" s="21"/>
      <c r="M622" s="21"/>
      <c r="N622" s="22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</row>
    <row r="623" spans="1:45" ht="12.75" customHeight="1" x14ac:dyDescent="0.25">
      <c r="A623" s="20"/>
      <c r="B623" s="20"/>
      <c r="C623" s="20"/>
      <c r="D623" s="20"/>
      <c r="E623" s="20"/>
      <c r="F623" s="20"/>
      <c r="G623" s="20"/>
      <c r="H623" s="20"/>
      <c r="I623" s="20"/>
      <c r="J623" s="21"/>
      <c r="K623" s="21"/>
      <c r="L623" s="21"/>
      <c r="M623" s="21"/>
      <c r="N623" s="22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</row>
    <row r="624" spans="1:45" ht="12.75" customHeight="1" x14ac:dyDescent="0.25">
      <c r="A624" s="20"/>
      <c r="B624" s="20"/>
      <c r="C624" s="20"/>
      <c r="D624" s="20"/>
      <c r="E624" s="20"/>
      <c r="F624" s="20"/>
      <c r="G624" s="20"/>
      <c r="H624" s="20"/>
      <c r="I624" s="20"/>
      <c r="J624" s="21"/>
      <c r="K624" s="21"/>
      <c r="L624" s="21"/>
      <c r="M624" s="21"/>
      <c r="N624" s="22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</row>
    <row r="625" spans="1:45" ht="12.75" customHeight="1" x14ac:dyDescent="0.25">
      <c r="A625" s="20"/>
      <c r="B625" s="20"/>
      <c r="C625" s="20"/>
      <c r="D625" s="20"/>
      <c r="E625" s="20"/>
      <c r="F625" s="20"/>
      <c r="G625" s="20"/>
      <c r="H625" s="20"/>
      <c r="I625" s="20"/>
      <c r="J625" s="21"/>
      <c r="K625" s="21"/>
      <c r="L625" s="21"/>
      <c r="M625" s="21"/>
      <c r="N625" s="22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</row>
    <row r="626" spans="1:45" ht="12.75" customHeight="1" x14ac:dyDescent="0.25">
      <c r="A626" s="20"/>
      <c r="B626" s="20"/>
      <c r="C626" s="20"/>
      <c r="D626" s="20"/>
      <c r="E626" s="20"/>
      <c r="F626" s="20"/>
      <c r="G626" s="20"/>
      <c r="H626" s="20"/>
      <c r="I626" s="20"/>
      <c r="J626" s="21"/>
      <c r="K626" s="21"/>
      <c r="L626" s="21"/>
      <c r="M626" s="21"/>
      <c r="N626" s="22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</row>
    <row r="627" spans="1:45" ht="12.75" customHeight="1" x14ac:dyDescent="0.25">
      <c r="A627" s="20"/>
      <c r="B627" s="20"/>
      <c r="C627" s="20"/>
      <c r="D627" s="20"/>
      <c r="E627" s="20"/>
      <c r="F627" s="20"/>
      <c r="G627" s="20"/>
      <c r="H627" s="20"/>
      <c r="I627" s="20"/>
      <c r="J627" s="21"/>
      <c r="K627" s="21"/>
      <c r="L627" s="21"/>
      <c r="M627" s="21"/>
      <c r="N627" s="22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</row>
    <row r="628" spans="1:45" ht="12.75" customHeight="1" x14ac:dyDescent="0.25">
      <c r="A628" s="20"/>
      <c r="B628" s="20"/>
      <c r="C628" s="20"/>
      <c r="D628" s="20"/>
      <c r="E628" s="20"/>
      <c r="F628" s="20"/>
      <c r="G628" s="20"/>
      <c r="H628" s="20"/>
      <c r="I628" s="20"/>
      <c r="J628" s="21"/>
      <c r="K628" s="21"/>
      <c r="L628" s="21"/>
      <c r="M628" s="21"/>
      <c r="N628" s="22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</row>
    <row r="629" spans="1:45" ht="12.75" customHeight="1" x14ac:dyDescent="0.25">
      <c r="A629" s="20"/>
      <c r="B629" s="20"/>
      <c r="C629" s="20"/>
      <c r="D629" s="20"/>
      <c r="E629" s="20"/>
      <c r="F629" s="20"/>
      <c r="G629" s="20"/>
      <c r="H629" s="20"/>
      <c r="I629" s="20"/>
      <c r="J629" s="21"/>
      <c r="K629" s="21"/>
      <c r="L629" s="21"/>
      <c r="M629" s="21"/>
      <c r="N629" s="22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</row>
    <row r="630" spans="1:45" ht="12.75" customHeight="1" x14ac:dyDescent="0.25">
      <c r="A630" s="20"/>
      <c r="B630" s="20"/>
      <c r="C630" s="20"/>
      <c r="D630" s="20"/>
      <c r="E630" s="20"/>
      <c r="F630" s="20"/>
      <c r="G630" s="20"/>
      <c r="H630" s="20"/>
      <c r="I630" s="20"/>
      <c r="J630" s="21"/>
      <c r="K630" s="21"/>
      <c r="L630" s="21"/>
      <c r="M630" s="21"/>
      <c r="N630" s="22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</row>
    <row r="631" spans="1:45" ht="12.75" customHeight="1" x14ac:dyDescent="0.25">
      <c r="A631" s="20"/>
      <c r="B631" s="20"/>
      <c r="C631" s="20"/>
      <c r="D631" s="20"/>
      <c r="E631" s="20"/>
      <c r="F631" s="20"/>
      <c r="G631" s="20"/>
      <c r="H631" s="20"/>
      <c r="I631" s="20"/>
      <c r="J631" s="21"/>
      <c r="K631" s="21"/>
      <c r="L631" s="21"/>
      <c r="M631" s="21"/>
      <c r="N631" s="22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</row>
    <row r="632" spans="1:45" ht="12.75" customHeight="1" x14ac:dyDescent="0.25">
      <c r="A632" s="20"/>
      <c r="B632" s="20"/>
      <c r="C632" s="20"/>
      <c r="D632" s="20"/>
      <c r="E632" s="20"/>
      <c r="F632" s="20"/>
      <c r="G632" s="20"/>
      <c r="H632" s="20"/>
      <c r="I632" s="20"/>
      <c r="J632" s="21"/>
      <c r="K632" s="21"/>
      <c r="L632" s="21"/>
      <c r="M632" s="21"/>
      <c r="N632" s="22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</row>
    <row r="633" spans="1:45" ht="12.75" customHeight="1" x14ac:dyDescent="0.25">
      <c r="A633" s="20"/>
      <c r="B633" s="20"/>
      <c r="C633" s="20"/>
      <c r="D633" s="20"/>
      <c r="E633" s="20"/>
      <c r="F633" s="20"/>
      <c r="G633" s="20"/>
      <c r="H633" s="20"/>
      <c r="I633" s="20"/>
      <c r="J633" s="21"/>
      <c r="K633" s="21"/>
      <c r="L633" s="21"/>
      <c r="M633" s="21"/>
      <c r="N633" s="22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</row>
    <row r="634" spans="1:45" ht="12.75" customHeight="1" x14ac:dyDescent="0.25">
      <c r="A634" s="20"/>
      <c r="B634" s="20"/>
      <c r="C634" s="20"/>
      <c r="D634" s="20"/>
      <c r="E634" s="20"/>
      <c r="F634" s="20"/>
      <c r="G634" s="20"/>
      <c r="H634" s="20"/>
      <c r="I634" s="20"/>
      <c r="J634" s="21"/>
      <c r="K634" s="21"/>
      <c r="L634" s="21"/>
      <c r="M634" s="21"/>
      <c r="N634" s="22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</row>
    <row r="635" spans="1:45" ht="12.75" customHeight="1" x14ac:dyDescent="0.25">
      <c r="A635" s="20"/>
      <c r="B635" s="20"/>
      <c r="C635" s="20"/>
      <c r="D635" s="20"/>
      <c r="E635" s="20"/>
      <c r="F635" s="20"/>
      <c r="G635" s="20"/>
      <c r="H635" s="20"/>
      <c r="I635" s="20"/>
      <c r="J635" s="21"/>
      <c r="K635" s="21"/>
      <c r="L635" s="21"/>
      <c r="M635" s="21"/>
      <c r="N635" s="22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</row>
    <row r="636" spans="1:45" ht="12.75" customHeight="1" x14ac:dyDescent="0.25">
      <c r="A636" s="20"/>
      <c r="B636" s="20"/>
      <c r="C636" s="20"/>
      <c r="D636" s="20"/>
      <c r="E636" s="20"/>
      <c r="F636" s="20"/>
      <c r="G636" s="20"/>
      <c r="H636" s="20"/>
      <c r="I636" s="20"/>
      <c r="J636" s="21"/>
      <c r="K636" s="21"/>
      <c r="L636" s="21"/>
      <c r="M636" s="21"/>
      <c r="N636" s="22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</row>
    <row r="637" spans="1:45" ht="12.75" customHeight="1" x14ac:dyDescent="0.25">
      <c r="A637" s="20"/>
      <c r="B637" s="20"/>
      <c r="C637" s="20"/>
      <c r="D637" s="20"/>
      <c r="E637" s="20"/>
      <c r="F637" s="20"/>
      <c r="G637" s="20"/>
      <c r="H637" s="20"/>
      <c r="I637" s="20"/>
      <c r="J637" s="21"/>
      <c r="K637" s="21"/>
      <c r="L637" s="21"/>
      <c r="M637" s="21"/>
      <c r="N637" s="22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</row>
    <row r="638" spans="1:45" ht="12.75" customHeight="1" x14ac:dyDescent="0.25">
      <c r="A638" s="20"/>
      <c r="B638" s="20"/>
      <c r="C638" s="20"/>
      <c r="D638" s="20"/>
      <c r="E638" s="20"/>
      <c r="F638" s="20"/>
      <c r="G638" s="20"/>
      <c r="H638" s="20"/>
      <c r="I638" s="20"/>
      <c r="J638" s="21"/>
      <c r="K638" s="21"/>
      <c r="L638" s="21"/>
      <c r="M638" s="21"/>
      <c r="N638" s="22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</row>
    <row r="639" spans="1:45" ht="12.75" customHeight="1" x14ac:dyDescent="0.25">
      <c r="A639" s="20"/>
      <c r="B639" s="20"/>
      <c r="C639" s="20"/>
      <c r="D639" s="20"/>
      <c r="E639" s="20"/>
      <c r="F639" s="20"/>
      <c r="G639" s="20"/>
      <c r="H639" s="20"/>
      <c r="I639" s="20"/>
      <c r="J639" s="21"/>
      <c r="K639" s="21"/>
      <c r="L639" s="21"/>
      <c r="M639" s="21"/>
      <c r="N639" s="22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</row>
    <row r="640" spans="1:45" ht="12.75" customHeight="1" x14ac:dyDescent="0.25">
      <c r="A640" s="20"/>
      <c r="B640" s="20"/>
      <c r="C640" s="20"/>
      <c r="D640" s="20"/>
      <c r="E640" s="20"/>
      <c r="F640" s="20"/>
      <c r="G640" s="20"/>
      <c r="H640" s="20"/>
      <c r="I640" s="20"/>
      <c r="J640" s="21"/>
      <c r="K640" s="21"/>
      <c r="L640" s="21"/>
      <c r="M640" s="21"/>
      <c r="N640" s="22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</row>
    <row r="641" spans="1:45" ht="12.75" customHeight="1" x14ac:dyDescent="0.25">
      <c r="A641" s="20"/>
      <c r="B641" s="20"/>
      <c r="C641" s="20"/>
      <c r="D641" s="20"/>
      <c r="E641" s="20"/>
      <c r="F641" s="20"/>
      <c r="G641" s="20"/>
      <c r="H641" s="20"/>
      <c r="I641" s="20"/>
      <c r="J641" s="21"/>
      <c r="K641" s="21"/>
      <c r="L641" s="21"/>
      <c r="M641" s="21"/>
      <c r="N641" s="22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</row>
    <row r="642" spans="1:45" ht="12.75" customHeight="1" x14ac:dyDescent="0.25">
      <c r="A642" s="20"/>
      <c r="B642" s="20"/>
      <c r="C642" s="20"/>
      <c r="D642" s="20"/>
      <c r="E642" s="20"/>
      <c r="F642" s="20"/>
      <c r="G642" s="20"/>
      <c r="H642" s="20"/>
      <c r="I642" s="20"/>
      <c r="J642" s="21"/>
      <c r="K642" s="21"/>
      <c r="L642" s="21"/>
      <c r="M642" s="21"/>
      <c r="N642" s="22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</row>
    <row r="643" spans="1:45" ht="12.75" customHeight="1" x14ac:dyDescent="0.25">
      <c r="A643" s="20"/>
      <c r="B643" s="20"/>
      <c r="C643" s="20"/>
      <c r="D643" s="20"/>
      <c r="E643" s="20"/>
      <c r="F643" s="20"/>
      <c r="G643" s="20"/>
      <c r="H643" s="20"/>
      <c r="I643" s="20"/>
      <c r="J643" s="21"/>
      <c r="K643" s="21"/>
      <c r="L643" s="21"/>
      <c r="M643" s="21"/>
      <c r="N643" s="22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</row>
    <row r="644" spans="1:45" ht="12.75" customHeight="1" x14ac:dyDescent="0.25">
      <c r="A644" s="20"/>
      <c r="B644" s="20"/>
      <c r="C644" s="20"/>
      <c r="D644" s="20"/>
      <c r="E644" s="20"/>
      <c r="F644" s="20"/>
      <c r="G644" s="20"/>
      <c r="H644" s="20"/>
      <c r="I644" s="20"/>
      <c r="J644" s="21"/>
      <c r="K644" s="21"/>
      <c r="L644" s="21"/>
      <c r="M644" s="21"/>
      <c r="N644" s="22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</row>
    <row r="645" spans="1:45" ht="12.75" customHeight="1" x14ac:dyDescent="0.25">
      <c r="A645" s="20"/>
      <c r="B645" s="20"/>
      <c r="C645" s="20"/>
      <c r="D645" s="20"/>
      <c r="E645" s="20"/>
      <c r="F645" s="20"/>
      <c r="G645" s="20"/>
      <c r="H645" s="20"/>
      <c r="I645" s="20"/>
      <c r="J645" s="21"/>
      <c r="K645" s="21"/>
      <c r="L645" s="21"/>
      <c r="M645" s="21"/>
      <c r="N645" s="22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</row>
    <row r="646" spans="1:45" ht="12.75" customHeight="1" x14ac:dyDescent="0.25">
      <c r="A646" s="20"/>
      <c r="B646" s="20"/>
      <c r="C646" s="20"/>
      <c r="D646" s="20"/>
      <c r="E646" s="20"/>
      <c r="F646" s="20"/>
      <c r="G646" s="20"/>
      <c r="H646" s="20"/>
      <c r="I646" s="20"/>
      <c r="J646" s="21"/>
      <c r="K646" s="21"/>
      <c r="L646" s="21"/>
      <c r="M646" s="21"/>
      <c r="N646" s="22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</row>
    <row r="647" spans="1:45" ht="12.75" customHeight="1" x14ac:dyDescent="0.25">
      <c r="A647" s="20"/>
      <c r="B647" s="20"/>
      <c r="C647" s="20"/>
      <c r="D647" s="20"/>
      <c r="E647" s="20"/>
      <c r="F647" s="20"/>
      <c r="G647" s="20"/>
      <c r="H647" s="20"/>
      <c r="I647" s="20"/>
      <c r="J647" s="21"/>
      <c r="K647" s="21"/>
      <c r="L647" s="21"/>
      <c r="M647" s="21"/>
      <c r="N647" s="22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</row>
    <row r="648" spans="1:45" ht="12.75" customHeight="1" x14ac:dyDescent="0.25">
      <c r="A648" s="20"/>
      <c r="B648" s="20"/>
      <c r="C648" s="20"/>
      <c r="D648" s="20"/>
      <c r="E648" s="20"/>
      <c r="F648" s="20"/>
      <c r="G648" s="20"/>
      <c r="H648" s="20"/>
      <c r="I648" s="20"/>
      <c r="J648" s="21"/>
      <c r="K648" s="21"/>
      <c r="L648" s="21"/>
      <c r="M648" s="21"/>
      <c r="N648" s="22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</row>
    <row r="649" spans="1:45" ht="12.75" customHeight="1" x14ac:dyDescent="0.25">
      <c r="A649" s="20"/>
      <c r="B649" s="20"/>
      <c r="C649" s="20"/>
      <c r="D649" s="20"/>
      <c r="E649" s="20"/>
      <c r="F649" s="20"/>
      <c r="G649" s="20"/>
      <c r="H649" s="20"/>
      <c r="I649" s="20"/>
      <c r="J649" s="21"/>
      <c r="K649" s="21"/>
      <c r="L649" s="21"/>
      <c r="M649" s="21"/>
      <c r="N649" s="22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</row>
    <row r="650" spans="1:45" ht="12.75" customHeight="1" x14ac:dyDescent="0.25">
      <c r="A650" s="20"/>
      <c r="B650" s="20"/>
      <c r="C650" s="20"/>
      <c r="D650" s="20"/>
      <c r="E650" s="20"/>
      <c r="F650" s="20"/>
      <c r="G650" s="20"/>
      <c r="H650" s="20"/>
      <c r="I650" s="20"/>
      <c r="J650" s="21"/>
      <c r="K650" s="21"/>
      <c r="L650" s="21"/>
      <c r="M650" s="21"/>
      <c r="N650" s="22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</row>
    <row r="651" spans="1:45" ht="12.75" customHeight="1" x14ac:dyDescent="0.25">
      <c r="A651" s="20"/>
      <c r="B651" s="20"/>
      <c r="C651" s="20"/>
      <c r="D651" s="20"/>
      <c r="E651" s="20"/>
      <c r="F651" s="20"/>
      <c r="G651" s="20"/>
      <c r="H651" s="20"/>
      <c r="I651" s="20"/>
      <c r="J651" s="21"/>
      <c r="K651" s="21"/>
      <c r="L651" s="21"/>
      <c r="M651" s="21"/>
      <c r="N651" s="22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</row>
    <row r="652" spans="1:45" ht="12.75" customHeight="1" x14ac:dyDescent="0.25">
      <c r="A652" s="20"/>
      <c r="B652" s="20"/>
      <c r="C652" s="20"/>
      <c r="D652" s="20"/>
      <c r="E652" s="20"/>
      <c r="F652" s="20"/>
      <c r="G652" s="20"/>
      <c r="H652" s="20"/>
      <c r="I652" s="20"/>
      <c r="J652" s="21"/>
      <c r="K652" s="21"/>
      <c r="L652" s="21"/>
      <c r="M652" s="21"/>
      <c r="N652" s="22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</row>
    <row r="653" spans="1:45" ht="12.75" customHeight="1" x14ac:dyDescent="0.25">
      <c r="A653" s="20"/>
      <c r="B653" s="20"/>
      <c r="C653" s="20"/>
      <c r="D653" s="20"/>
      <c r="E653" s="20"/>
      <c r="F653" s="20"/>
      <c r="G653" s="20"/>
      <c r="H653" s="20"/>
      <c r="I653" s="20"/>
      <c r="J653" s="21"/>
      <c r="K653" s="21"/>
      <c r="L653" s="21"/>
      <c r="M653" s="21"/>
      <c r="N653" s="22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</row>
    <row r="654" spans="1:45" ht="12.75" customHeight="1" x14ac:dyDescent="0.25">
      <c r="A654" s="20"/>
      <c r="B654" s="20"/>
      <c r="C654" s="20"/>
      <c r="D654" s="20"/>
      <c r="E654" s="20"/>
      <c r="F654" s="20"/>
      <c r="G654" s="20"/>
      <c r="H654" s="20"/>
      <c r="I654" s="20"/>
      <c r="J654" s="21"/>
      <c r="K654" s="21"/>
      <c r="L654" s="21"/>
      <c r="M654" s="21"/>
      <c r="N654" s="22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</row>
    <row r="655" spans="1:45" ht="12.75" customHeight="1" x14ac:dyDescent="0.25">
      <c r="A655" s="20"/>
      <c r="B655" s="20"/>
      <c r="C655" s="20"/>
      <c r="D655" s="20"/>
      <c r="E655" s="20"/>
      <c r="F655" s="20"/>
      <c r="G655" s="20"/>
      <c r="H655" s="20"/>
      <c r="I655" s="20"/>
      <c r="J655" s="21"/>
      <c r="K655" s="21"/>
      <c r="L655" s="21"/>
      <c r="M655" s="21"/>
      <c r="N655" s="22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</row>
    <row r="656" spans="1:45" ht="12.75" customHeight="1" x14ac:dyDescent="0.25">
      <c r="A656" s="20"/>
      <c r="B656" s="20"/>
      <c r="C656" s="20"/>
      <c r="D656" s="20"/>
      <c r="E656" s="20"/>
      <c r="F656" s="20"/>
      <c r="G656" s="20"/>
      <c r="H656" s="20"/>
      <c r="I656" s="20"/>
      <c r="J656" s="21"/>
      <c r="K656" s="21"/>
      <c r="L656" s="21"/>
      <c r="M656" s="21"/>
      <c r="N656" s="22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</row>
    <row r="657" spans="1:45" ht="12.75" customHeight="1" x14ac:dyDescent="0.25">
      <c r="A657" s="20"/>
      <c r="B657" s="20"/>
      <c r="C657" s="20"/>
      <c r="D657" s="20"/>
      <c r="E657" s="20"/>
      <c r="F657" s="20"/>
      <c r="G657" s="20"/>
      <c r="H657" s="20"/>
      <c r="I657" s="20"/>
      <c r="J657" s="21"/>
      <c r="K657" s="21"/>
      <c r="L657" s="21"/>
      <c r="M657" s="21"/>
      <c r="N657" s="22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</row>
    <row r="658" spans="1:45" ht="12.75" customHeight="1" x14ac:dyDescent="0.25">
      <c r="A658" s="20"/>
      <c r="B658" s="20"/>
      <c r="C658" s="20"/>
      <c r="D658" s="20"/>
      <c r="E658" s="20"/>
      <c r="F658" s="20"/>
      <c r="G658" s="20"/>
      <c r="H658" s="20"/>
      <c r="I658" s="20"/>
      <c r="J658" s="21"/>
      <c r="K658" s="21"/>
      <c r="L658" s="21"/>
      <c r="M658" s="21"/>
      <c r="N658" s="22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</row>
    <row r="659" spans="1:45" ht="12.75" customHeight="1" x14ac:dyDescent="0.25">
      <c r="A659" s="20"/>
      <c r="B659" s="20"/>
      <c r="C659" s="20"/>
      <c r="D659" s="20"/>
      <c r="E659" s="20"/>
      <c r="F659" s="20"/>
      <c r="G659" s="20"/>
      <c r="H659" s="20"/>
      <c r="I659" s="20"/>
      <c r="J659" s="21"/>
      <c r="K659" s="21"/>
      <c r="L659" s="21"/>
      <c r="M659" s="21"/>
      <c r="N659" s="22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</row>
    <row r="660" spans="1:45" ht="12.75" customHeight="1" x14ac:dyDescent="0.25">
      <c r="A660" s="20"/>
      <c r="B660" s="20"/>
      <c r="C660" s="20"/>
      <c r="D660" s="20"/>
      <c r="E660" s="20"/>
      <c r="F660" s="20"/>
      <c r="G660" s="20"/>
      <c r="H660" s="20"/>
      <c r="I660" s="20"/>
      <c r="J660" s="21"/>
      <c r="K660" s="21"/>
      <c r="L660" s="21"/>
      <c r="M660" s="21"/>
      <c r="N660" s="22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</row>
    <row r="661" spans="1:45" ht="12.75" customHeight="1" x14ac:dyDescent="0.25">
      <c r="A661" s="20"/>
      <c r="B661" s="20"/>
      <c r="C661" s="20"/>
      <c r="D661" s="20"/>
      <c r="E661" s="20"/>
      <c r="F661" s="20"/>
      <c r="G661" s="20"/>
      <c r="H661" s="20"/>
      <c r="I661" s="20"/>
      <c r="J661" s="21"/>
      <c r="K661" s="21"/>
      <c r="L661" s="21"/>
      <c r="M661" s="21"/>
      <c r="N661" s="22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</row>
    <row r="662" spans="1:45" ht="12.75" customHeight="1" x14ac:dyDescent="0.25">
      <c r="A662" s="20"/>
      <c r="B662" s="20"/>
      <c r="C662" s="20"/>
      <c r="D662" s="20"/>
      <c r="E662" s="20"/>
      <c r="F662" s="20"/>
      <c r="G662" s="20"/>
      <c r="H662" s="20"/>
      <c r="I662" s="20"/>
      <c r="J662" s="21"/>
      <c r="K662" s="21"/>
      <c r="L662" s="21"/>
      <c r="M662" s="21"/>
      <c r="N662" s="22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</row>
    <row r="663" spans="1:45" ht="12.75" customHeight="1" x14ac:dyDescent="0.25">
      <c r="A663" s="20"/>
      <c r="B663" s="20"/>
      <c r="C663" s="20"/>
      <c r="D663" s="20"/>
      <c r="E663" s="20"/>
      <c r="F663" s="20"/>
      <c r="G663" s="20"/>
      <c r="H663" s="20"/>
      <c r="I663" s="20"/>
      <c r="J663" s="21"/>
      <c r="K663" s="21"/>
      <c r="L663" s="21"/>
      <c r="M663" s="21"/>
      <c r="N663" s="22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</row>
    <row r="664" spans="1:45" ht="12.75" customHeight="1" x14ac:dyDescent="0.25">
      <c r="A664" s="20"/>
      <c r="B664" s="20"/>
      <c r="C664" s="20"/>
      <c r="D664" s="20"/>
      <c r="E664" s="20"/>
      <c r="F664" s="20"/>
      <c r="G664" s="20"/>
      <c r="H664" s="20"/>
      <c r="I664" s="20"/>
      <c r="J664" s="21"/>
      <c r="K664" s="21"/>
      <c r="L664" s="21"/>
      <c r="M664" s="21"/>
      <c r="N664" s="22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</row>
    <row r="665" spans="1:45" ht="12.75" customHeight="1" x14ac:dyDescent="0.25">
      <c r="A665" s="20"/>
      <c r="B665" s="20"/>
      <c r="C665" s="20"/>
      <c r="D665" s="20"/>
      <c r="E665" s="20"/>
      <c r="F665" s="20"/>
      <c r="G665" s="20"/>
      <c r="H665" s="20"/>
      <c r="I665" s="20"/>
      <c r="J665" s="21"/>
      <c r="K665" s="21"/>
      <c r="L665" s="21"/>
      <c r="M665" s="21"/>
      <c r="N665" s="22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</row>
    <row r="666" spans="1:45" ht="12.75" customHeight="1" x14ac:dyDescent="0.25">
      <c r="A666" s="20"/>
      <c r="B666" s="20"/>
      <c r="C666" s="20"/>
      <c r="D666" s="20"/>
      <c r="E666" s="20"/>
      <c r="F666" s="20"/>
      <c r="G666" s="20"/>
      <c r="H666" s="20"/>
      <c r="I666" s="20"/>
      <c r="J666" s="21"/>
      <c r="K666" s="21"/>
      <c r="L666" s="21"/>
      <c r="M666" s="21"/>
      <c r="N666" s="22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</row>
    <row r="667" spans="1:45" ht="12.75" customHeight="1" x14ac:dyDescent="0.25">
      <c r="A667" s="20"/>
      <c r="B667" s="20"/>
      <c r="C667" s="20"/>
      <c r="D667" s="20"/>
      <c r="E667" s="20"/>
      <c r="F667" s="20"/>
      <c r="G667" s="20"/>
      <c r="H667" s="20"/>
      <c r="I667" s="20"/>
      <c r="J667" s="21"/>
      <c r="K667" s="21"/>
      <c r="L667" s="21"/>
      <c r="M667" s="21"/>
      <c r="N667" s="22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</row>
    <row r="668" spans="1:45" ht="12.75" customHeight="1" x14ac:dyDescent="0.25">
      <c r="A668" s="20"/>
      <c r="B668" s="20"/>
      <c r="C668" s="20"/>
      <c r="D668" s="20"/>
      <c r="E668" s="20"/>
      <c r="F668" s="20"/>
      <c r="G668" s="20"/>
      <c r="H668" s="20"/>
      <c r="I668" s="20"/>
      <c r="J668" s="21"/>
      <c r="K668" s="21"/>
      <c r="L668" s="21"/>
      <c r="M668" s="21"/>
      <c r="N668" s="22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</row>
    <row r="669" spans="1:45" ht="12.75" customHeight="1" x14ac:dyDescent="0.25">
      <c r="A669" s="20"/>
      <c r="B669" s="20"/>
      <c r="C669" s="20"/>
      <c r="D669" s="20"/>
      <c r="E669" s="20"/>
      <c r="F669" s="20"/>
      <c r="G669" s="20"/>
      <c r="H669" s="20"/>
      <c r="I669" s="20"/>
      <c r="J669" s="21"/>
      <c r="K669" s="21"/>
      <c r="L669" s="21"/>
      <c r="M669" s="21"/>
      <c r="N669" s="22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</row>
    <row r="670" spans="1:45" ht="12.75" customHeight="1" x14ac:dyDescent="0.25">
      <c r="A670" s="20"/>
      <c r="B670" s="20"/>
      <c r="C670" s="20"/>
      <c r="D670" s="20"/>
      <c r="E670" s="20"/>
      <c r="F670" s="20"/>
      <c r="G670" s="20"/>
      <c r="H670" s="20"/>
      <c r="I670" s="20"/>
      <c r="J670" s="21"/>
      <c r="K670" s="21"/>
      <c r="L670" s="21"/>
      <c r="M670" s="21"/>
      <c r="N670" s="22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</row>
    <row r="671" spans="1:45" ht="12.75" customHeight="1" x14ac:dyDescent="0.25">
      <c r="A671" s="20"/>
      <c r="B671" s="20"/>
      <c r="C671" s="20"/>
      <c r="D671" s="20"/>
      <c r="E671" s="20"/>
      <c r="F671" s="20"/>
      <c r="G671" s="20"/>
      <c r="H671" s="20"/>
      <c r="I671" s="20"/>
      <c r="J671" s="21"/>
      <c r="K671" s="21"/>
      <c r="L671" s="21"/>
      <c r="M671" s="21"/>
      <c r="N671" s="22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</row>
    <row r="672" spans="1:45" ht="12.75" customHeight="1" x14ac:dyDescent="0.25">
      <c r="A672" s="20"/>
      <c r="B672" s="20"/>
      <c r="C672" s="20"/>
      <c r="D672" s="20"/>
      <c r="E672" s="20"/>
      <c r="F672" s="20"/>
      <c r="G672" s="20"/>
      <c r="H672" s="20"/>
      <c r="I672" s="20"/>
      <c r="J672" s="21"/>
      <c r="K672" s="21"/>
      <c r="L672" s="21"/>
      <c r="M672" s="21"/>
      <c r="N672" s="22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</row>
    <row r="673" spans="1:45" ht="12.75" customHeight="1" x14ac:dyDescent="0.25">
      <c r="A673" s="20"/>
      <c r="B673" s="20"/>
      <c r="C673" s="20"/>
      <c r="D673" s="20"/>
      <c r="E673" s="20"/>
      <c r="F673" s="20"/>
      <c r="G673" s="20"/>
      <c r="H673" s="20"/>
      <c r="I673" s="20"/>
      <c r="J673" s="21"/>
      <c r="K673" s="21"/>
      <c r="L673" s="21"/>
      <c r="M673" s="21"/>
      <c r="N673" s="22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</row>
    <row r="674" spans="1:45" ht="12.75" customHeight="1" x14ac:dyDescent="0.25">
      <c r="A674" s="20"/>
      <c r="B674" s="20"/>
      <c r="C674" s="20"/>
      <c r="D674" s="20"/>
      <c r="E674" s="20"/>
      <c r="F674" s="20"/>
      <c r="G674" s="20"/>
      <c r="H674" s="20"/>
      <c r="I674" s="20"/>
      <c r="J674" s="21"/>
      <c r="K674" s="21"/>
      <c r="L674" s="21"/>
      <c r="M674" s="21"/>
      <c r="N674" s="22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</row>
    <row r="675" spans="1:45" ht="12.75" customHeight="1" x14ac:dyDescent="0.25">
      <c r="A675" s="20"/>
      <c r="B675" s="20"/>
      <c r="C675" s="20"/>
      <c r="D675" s="20"/>
      <c r="E675" s="20"/>
      <c r="F675" s="20"/>
      <c r="G675" s="20"/>
      <c r="H675" s="20"/>
      <c r="I675" s="20"/>
      <c r="J675" s="21"/>
      <c r="K675" s="21"/>
      <c r="L675" s="21"/>
      <c r="M675" s="21"/>
      <c r="N675" s="22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</row>
    <row r="676" spans="1:45" ht="12.75" customHeight="1" x14ac:dyDescent="0.25">
      <c r="A676" s="20"/>
      <c r="B676" s="20"/>
      <c r="C676" s="20"/>
      <c r="D676" s="20"/>
      <c r="E676" s="20"/>
      <c r="F676" s="20"/>
      <c r="G676" s="20"/>
      <c r="H676" s="20"/>
      <c r="I676" s="20"/>
      <c r="J676" s="21"/>
      <c r="K676" s="21"/>
      <c r="L676" s="21"/>
      <c r="M676" s="21"/>
      <c r="N676" s="22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</row>
    <row r="677" spans="1:45" ht="12.75" customHeight="1" x14ac:dyDescent="0.25">
      <c r="A677" s="20"/>
      <c r="B677" s="20"/>
      <c r="C677" s="20"/>
      <c r="D677" s="20"/>
      <c r="E677" s="20"/>
      <c r="F677" s="20"/>
      <c r="G677" s="20"/>
      <c r="H677" s="20"/>
      <c r="I677" s="20"/>
      <c r="J677" s="21"/>
      <c r="K677" s="21"/>
      <c r="L677" s="21"/>
      <c r="M677" s="21"/>
      <c r="N677" s="22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</row>
    <row r="678" spans="1:45" ht="12.75" customHeight="1" x14ac:dyDescent="0.25">
      <c r="A678" s="20"/>
      <c r="B678" s="20"/>
      <c r="C678" s="20"/>
      <c r="D678" s="20"/>
      <c r="E678" s="20"/>
      <c r="F678" s="20"/>
      <c r="G678" s="20"/>
      <c r="H678" s="20"/>
      <c r="I678" s="20"/>
      <c r="J678" s="21"/>
      <c r="K678" s="21"/>
      <c r="L678" s="21"/>
      <c r="M678" s="21"/>
      <c r="N678" s="22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</row>
    <row r="679" spans="1:45" ht="12.75" customHeight="1" x14ac:dyDescent="0.25">
      <c r="A679" s="20"/>
      <c r="B679" s="20"/>
      <c r="C679" s="20"/>
      <c r="D679" s="20"/>
      <c r="E679" s="20"/>
      <c r="F679" s="20"/>
      <c r="G679" s="20"/>
      <c r="H679" s="20"/>
      <c r="I679" s="20"/>
      <c r="J679" s="21"/>
      <c r="K679" s="21"/>
      <c r="L679" s="21"/>
      <c r="M679" s="21"/>
      <c r="N679" s="22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</row>
    <row r="680" spans="1:45" ht="12.75" customHeight="1" x14ac:dyDescent="0.25">
      <c r="A680" s="20"/>
      <c r="B680" s="20"/>
      <c r="C680" s="20"/>
      <c r="D680" s="20"/>
      <c r="E680" s="20"/>
      <c r="F680" s="20"/>
      <c r="G680" s="20"/>
      <c r="H680" s="20"/>
      <c r="I680" s="20"/>
      <c r="J680" s="21"/>
      <c r="K680" s="21"/>
      <c r="L680" s="21"/>
      <c r="M680" s="21"/>
      <c r="N680" s="22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</row>
    <row r="681" spans="1:45" ht="12.75" customHeight="1" x14ac:dyDescent="0.25">
      <c r="A681" s="20"/>
      <c r="B681" s="20"/>
      <c r="C681" s="20"/>
      <c r="D681" s="20"/>
      <c r="E681" s="20"/>
      <c r="F681" s="20"/>
      <c r="G681" s="20"/>
      <c r="H681" s="20"/>
      <c r="I681" s="20"/>
      <c r="J681" s="21"/>
      <c r="K681" s="21"/>
      <c r="L681" s="21"/>
      <c r="M681" s="21"/>
      <c r="N681" s="22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</row>
    <row r="682" spans="1:45" ht="12.75" customHeight="1" x14ac:dyDescent="0.25">
      <c r="A682" s="20"/>
      <c r="B682" s="20"/>
      <c r="C682" s="20"/>
      <c r="D682" s="20"/>
      <c r="E682" s="20"/>
      <c r="F682" s="20"/>
      <c r="G682" s="20"/>
      <c r="H682" s="20"/>
      <c r="I682" s="20"/>
      <c r="J682" s="21"/>
      <c r="K682" s="21"/>
      <c r="L682" s="21"/>
      <c r="M682" s="21"/>
      <c r="N682" s="22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</row>
    <row r="683" spans="1:45" ht="12.75" customHeight="1" x14ac:dyDescent="0.25">
      <c r="A683" s="20"/>
      <c r="B683" s="20"/>
      <c r="C683" s="20"/>
      <c r="D683" s="20"/>
      <c r="E683" s="20"/>
      <c r="F683" s="20"/>
      <c r="G683" s="20"/>
      <c r="H683" s="20"/>
      <c r="I683" s="20"/>
      <c r="J683" s="21"/>
      <c r="K683" s="21"/>
      <c r="L683" s="21"/>
      <c r="M683" s="21"/>
      <c r="N683" s="22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</row>
    <row r="684" spans="1:45" ht="12.75" customHeight="1" x14ac:dyDescent="0.25">
      <c r="A684" s="20"/>
      <c r="B684" s="20"/>
      <c r="C684" s="20"/>
      <c r="D684" s="20"/>
      <c r="E684" s="20"/>
      <c r="F684" s="20"/>
      <c r="G684" s="20"/>
      <c r="H684" s="20"/>
      <c r="I684" s="20"/>
      <c r="J684" s="21"/>
      <c r="K684" s="21"/>
      <c r="L684" s="21"/>
      <c r="M684" s="21"/>
      <c r="N684" s="22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</row>
    <row r="685" spans="1:45" ht="12.75" customHeight="1" x14ac:dyDescent="0.25">
      <c r="A685" s="20"/>
      <c r="B685" s="20"/>
      <c r="C685" s="20"/>
      <c r="D685" s="20"/>
      <c r="E685" s="20"/>
      <c r="F685" s="20"/>
      <c r="G685" s="20"/>
      <c r="H685" s="20"/>
      <c r="I685" s="20"/>
      <c r="J685" s="21"/>
      <c r="K685" s="21"/>
      <c r="L685" s="21"/>
      <c r="M685" s="21"/>
      <c r="N685" s="22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</row>
    <row r="686" spans="1:45" ht="12.75" customHeight="1" x14ac:dyDescent="0.25">
      <c r="A686" s="20"/>
      <c r="B686" s="20"/>
      <c r="C686" s="20"/>
      <c r="D686" s="20"/>
      <c r="E686" s="20"/>
      <c r="F686" s="20"/>
      <c r="G686" s="20"/>
      <c r="H686" s="20"/>
      <c r="I686" s="20"/>
      <c r="J686" s="21"/>
      <c r="K686" s="21"/>
      <c r="L686" s="21"/>
      <c r="M686" s="21"/>
      <c r="N686" s="22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</row>
    <row r="687" spans="1:45" ht="12.75" customHeight="1" x14ac:dyDescent="0.25">
      <c r="A687" s="20"/>
      <c r="B687" s="20"/>
      <c r="C687" s="20"/>
      <c r="D687" s="20"/>
      <c r="E687" s="20"/>
      <c r="F687" s="20"/>
      <c r="G687" s="20"/>
      <c r="H687" s="20"/>
      <c r="I687" s="20"/>
      <c r="J687" s="21"/>
      <c r="K687" s="21"/>
      <c r="L687" s="21"/>
      <c r="M687" s="21"/>
      <c r="N687" s="22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</row>
    <row r="688" spans="1:45" ht="12.75" customHeight="1" x14ac:dyDescent="0.25">
      <c r="A688" s="20"/>
      <c r="B688" s="20"/>
      <c r="C688" s="20"/>
      <c r="D688" s="20"/>
      <c r="E688" s="20"/>
      <c r="F688" s="20"/>
      <c r="G688" s="20"/>
      <c r="H688" s="20"/>
      <c r="I688" s="20"/>
      <c r="J688" s="21"/>
      <c r="K688" s="21"/>
      <c r="L688" s="21"/>
      <c r="M688" s="21"/>
      <c r="N688" s="22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</row>
    <row r="689" spans="1:45" ht="12.75" customHeight="1" x14ac:dyDescent="0.25">
      <c r="A689" s="20"/>
      <c r="B689" s="20"/>
      <c r="C689" s="20"/>
      <c r="D689" s="20"/>
      <c r="E689" s="20"/>
      <c r="F689" s="20"/>
      <c r="G689" s="20"/>
      <c r="H689" s="20"/>
      <c r="I689" s="20"/>
      <c r="J689" s="21"/>
      <c r="K689" s="21"/>
      <c r="L689" s="21"/>
      <c r="M689" s="21"/>
      <c r="N689" s="22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</row>
    <row r="690" spans="1:45" ht="12.75" customHeight="1" x14ac:dyDescent="0.25">
      <c r="A690" s="20"/>
      <c r="B690" s="20"/>
      <c r="C690" s="20"/>
      <c r="D690" s="20"/>
      <c r="E690" s="20"/>
      <c r="F690" s="20"/>
      <c r="G690" s="20"/>
      <c r="H690" s="20"/>
      <c r="I690" s="20"/>
      <c r="J690" s="21"/>
      <c r="K690" s="21"/>
      <c r="L690" s="21"/>
      <c r="M690" s="21"/>
      <c r="N690" s="22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</row>
    <row r="691" spans="1:45" ht="12.75" customHeight="1" x14ac:dyDescent="0.25">
      <c r="A691" s="20"/>
      <c r="B691" s="20"/>
      <c r="C691" s="20"/>
      <c r="D691" s="20"/>
      <c r="E691" s="20"/>
      <c r="F691" s="20"/>
      <c r="G691" s="20"/>
      <c r="H691" s="20"/>
      <c r="I691" s="20"/>
      <c r="J691" s="21"/>
      <c r="K691" s="21"/>
      <c r="L691" s="21"/>
      <c r="M691" s="21"/>
      <c r="N691" s="22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</row>
    <row r="692" spans="1:45" ht="12.75" customHeight="1" x14ac:dyDescent="0.25">
      <c r="A692" s="20"/>
      <c r="B692" s="20"/>
      <c r="C692" s="20"/>
      <c r="D692" s="20"/>
      <c r="E692" s="20"/>
      <c r="F692" s="20"/>
      <c r="G692" s="20"/>
      <c r="H692" s="20"/>
      <c r="I692" s="20"/>
      <c r="J692" s="21"/>
      <c r="K692" s="21"/>
      <c r="L692" s="21"/>
      <c r="M692" s="21"/>
      <c r="N692" s="22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</row>
    <row r="693" spans="1:45" ht="12.75" customHeight="1" x14ac:dyDescent="0.25">
      <c r="A693" s="20"/>
      <c r="B693" s="20"/>
      <c r="C693" s="20"/>
      <c r="D693" s="20"/>
      <c r="E693" s="20"/>
      <c r="F693" s="20"/>
      <c r="G693" s="20"/>
      <c r="H693" s="20"/>
      <c r="I693" s="20"/>
      <c r="J693" s="21"/>
      <c r="K693" s="21"/>
      <c r="L693" s="21"/>
      <c r="M693" s="21"/>
      <c r="N693" s="22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</row>
    <row r="694" spans="1:45" ht="12.75" customHeight="1" x14ac:dyDescent="0.25">
      <c r="A694" s="20"/>
      <c r="B694" s="20"/>
      <c r="C694" s="20"/>
      <c r="D694" s="20"/>
      <c r="E694" s="20"/>
      <c r="F694" s="20"/>
      <c r="G694" s="20"/>
      <c r="H694" s="20"/>
      <c r="I694" s="20"/>
      <c r="J694" s="21"/>
      <c r="K694" s="21"/>
      <c r="L694" s="21"/>
      <c r="M694" s="21"/>
      <c r="N694" s="22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</row>
    <row r="695" spans="1:45" ht="12.75" customHeight="1" x14ac:dyDescent="0.25">
      <c r="A695" s="20"/>
      <c r="B695" s="20"/>
      <c r="C695" s="20"/>
      <c r="D695" s="20"/>
      <c r="E695" s="20"/>
      <c r="F695" s="20"/>
      <c r="G695" s="20"/>
      <c r="H695" s="20"/>
      <c r="I695" s="20"/>
      <c r="J695" s="21"/>
      <c r="K695" s="21"/>
      <c r="L695" s="21"/>
      <c r="M695" s="21"/>
      <c r="N695" s="22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</row>
    <row r="696" spans="1:45" ht="12.75" customHeight="1" x14ac:dyDescent="0.25">
      <c r="A696" s="20"/>
      <c r="B696" s="20"/>
      <c r="C696" s="20"/>
      <c r="D696" s="20"/>
      <c r="E696" s="20"/>
      <c r="F696" s="20"/>
      <c r="G696" s="20"/>
      <c r="H696" s="20"/>
      <c r="I696" s="20"/>
      <c r="J696" s="21"/>
      <c r="K696" s="21"/>
      <c r="L696" s="21"/>
      <c r="M696" s="21"/>
      <c r="N696" s="22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</row>
    <row r="697" spans="1:45" ht="12.75" customHeight="1" x14ac:dyDescent="0.25">
      <c r="A697" s="20"/>
      <c r="B697" s="20"/>
      <c r="C697" s="20"/>
      <c r="D697" s="20"/>
      <c r="E697" s="20"/>
      <c r="F697" s="20"/>
      <c r="G697" s="20"/>
      <c r="H697" s="20"/>
      <c r="I697" s="20"/>
      <c r="J697" s="21"/>
      <c r="K697" s="21"/>
      <c r="L697" s="21"/>
      <c r="M697" s="21"/>
      <c r="N697" s="22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</row>
    <row r="698" spans="1:45" ht="12.75" customHeight="1" x14ac:dyDescent="0.25">
      <c r="A698" s="20"/>
      <c r="B698" s="20"/>
      <c r="C698" s="20"/>
      <c r="D698" s="20"/>
      <c r="E698" s="20"/>
      <c r="F698" s="20"/>
      <c r="G698" s="20"/>
      <c r="H698" s="20"/>
      <c r="I698" s="20"/>
      <c r="J698" s="21"/>
      <c r="K698" s="21"/>
      <c r="L698" s="21"/>
      <c r="M698" s="21"/>
      <c r="N698" s="22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</row>
    <row r="699" spans="1:45" ht="12.75" customHeight="1" x14ac:dyDescent="0.25">
      <c r="A699" s="20"/>
      <c r="B699" s="20"/>
      <c r="C699" s="20"/>
      <c r="D699" s="20"/>
      <c r="E699" s="20"/>
      <c r="F699" s="20"/>
      <c r="G699" s="20"/>
      <c r="H699" s="20"/>
      <c r="I699" s="20"/>
      <c r="J699" s="21"/>
      <c r="K699" s="21"/>
      <c r="L699" s="21"/>
      <c r="M699" s="21"/>
      <c r="N699" s="22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</row>
    <row r="700" spans="1:45" ht="12.75" customHeight="1" x14ac:dyDescent="0.25">
      <c r="A700" s="20"/>
      <c r="B700" s="20"/>
      <c r="C700" s="20"/>
      <c r="D700" s="20"/>
      <c r="E700" s="20"/>
      <c r="F700" s="20"/>
      <c r="G700" s="20"/>
      <c r="H700" s="20"/>
      <c r="I700" s="20"/>
      <c r="J700" s="21"/>
      <c r="K700" s="21"/>
      <c r="L700" s="21"/>
      <c r="M700" s="21"/>
      <c r="N700" s="22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</row>
    <row r="701" spans="1:45" ht="12.75" customHeight="1" x14ac:dyDescent="0.25">
      <c r="A701" s="20"/>
      <c r="B701" s="20"/>
      <c r="C701" s="20"/>
      <c r="D701" s="20"/>
      <c r="E701" s="20"/>
      <c r="F701" s="20"/>
      <c r="G701" s="20"/>
      <c r="H701" s="20"/>
      <c r="I701" s="20"/>
      <c r="J701" s="21"/>
      <c r="K701" s="21"/>
      <c r="L701" s="21"/>
      <c r="M701" s="21"/>
      <c r="N701" s="22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</row>
    <row r="702" spans="1:45" ht="12.75" customHeight="1" x14ac:dyDescent="0.25">
      <c r="A702" s="20"/>
      <c r="B702" s="20"/>
      <c r="C702" s="20"/>
      <c r="D702" s="20"/>
      <c r="E702" s="20"/>
      <c r="F702" s="20"/>
      <c r="G702" s="20"/>
      <c r="H702" s="20"/>
      <c r="I702" s="20"/>
      <c r="J702" s="21"/>
      <c r="K702" s="21"/>
      <c r="L702" s="21"/>
      <c r="M702" s="21"/>
      <c r="N702" s="22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</row>
    <row r="703" spans="1:45" ht="12.75" customHeight="1" x14ac:dyDescent="0.25">
      <c r="A703" s="20"/>
      <c r="B703" s="20"/>
      <c r="C703" s="20"/>
      <c r="D703" s="20"/>
      <c r="E703" s="20"/>
      <c r="F703" s="20"/>
      <c r="G703" s="20"/>
      <c r="H703" s="20"/>
      <c r="I703" s="20"/>
      <c r="J703" s="21"/>
      <c r="K703" s="21"/>
      <c r="L703" s="21"/>
      <c r="M703" s="21"/>
      <c r="N703" s="22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</row>
    <row r="704" spans="1:45" ht="12.75" customHeight="1" x14ac:dyDescent="0.25">
      <c r="A704" s="20"/>
      <c r="B704" s="20"/>
      <c r="C704" s="20"/>
      <c r="D704" s="20"/>
      <c r="E704" s="20"/>
      <c r="F704" s="20"/>
      <c r="G704" s="20"/>
      <c r="H704" s="20"/>
      <c r="I704" s="20"/>
      <c r="J704" s="21"/>
      <c r="K704" s="21"/>
      <c r="L704" s="21"/>
      <c r="M704" s="21"/>
      <c r="N704" s="22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</row>
    <row r="705" spans="1:45" ht="12.75" customHeight="1" x14ac:dyDescent="0.25">
      <c r="A705" s="20"/>
      <c r="B705" s="20"/>
      <c r="C705" s="20"/>
      <c r="D705" s="20"/>
      <c r="E705" s="20"/>
      <c r="F705" s="20"/>
      <c r="G705" s="20"/>
      <c r="H705" s="20"/>
      <c r="I705" s="20"/>
      <c r="J705" s="21"/>
      <c r="K705" s="21"/>
      <c r="L705" s="21"/>
      <c r="M705" s="21"/>
      <c r="N705" s="22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</row>
    <row r="706" spans="1:45" ht="12.75" customHeight="1" x14ac:dyDescent="0.25">
      <c r="A706" s="20"/>
      <c r="B706" s="20"/>
      <c r="C706" s="20"/>
      <c r="D706" s="20"/>
      <c r="E706" s="20"/>
      <c r="F706" s="20"/>
      <c r="G706" s="20"/>
      <c r="H706" s="20"/>
      <c r="I706" s="20"/>
      <c r="J706" s="21"/>
      <c r="K706" s="21"/>
      <c r="L706" s="21"/>
      <c r="M706" s="21"/>
      <c r="N706" s="22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</row>
    <row r="707" spans="1:45" ht="12.75" customHeight="1" x14ac:dyDescent="0.25">
      <c r="A707" s="20"/>
      <c r="B707" s="20"/>
      <c r="C707" s="20"/>
      <c r="D707" s="20"/>
      <c r="E707" s="20"/>
      <c r="F707" s="20"/>
      <c r="G707" s="20"/>
      <c r="H707" s="20"/>
      <c r="I707" s="20"/>
      <c r="J707" s="21"/>
      <c r="K707" s="21"/>
      <c r="L707" s="21"/>
      <c r="M707" s="21"/>
      <c r="N707" s="22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</row>
    <row r="708" spans="1:45" ht="12.75" customHeight="1" x14ac:dyDescent="0.25">
      <c r="A708" s="20"/>
      <c r="B708" s="20"/>
      <c r="C708" s="20"/>
      <c r="D708" s="20"/>
      <c r="E708" s="20"/>
      <c r="F708" s="20"/>
      <c r="G708" s="20"/>
      <c r="H708" s="20"/>
      <c r="I708" s="20"/>
      <c r="J708" s="21"/>
      <c r="K708" s="21"/>
      <c r="L708" s="21"/>
      <c r="M708" s="21"/>
      <c r="N708" s="22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</row>
    <row r="709" spans="1:45" ht="12.75" customHeight="1" x14ac:dyDescent="0.25">
      <c r="A709" s="20"/>
      <c r="B709" s="20"/>
      <c r="C709" s="20"/>
      <c r="D709" s="20"/>
      <c r="E709" s="20"/>
      <c r="F709" s="20"/>
      <c r="G709" s="20"/>
      <c r="H709" s="20"/>
      <c r="I709" s="20"/>
      <c r="J709" s="21"/>
      <c r="K709" s="21"/>
      <c r="L709" s="21"/>
      <c r="M709" s="21"/>
      <c r="N709" s="22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</row>
    <row r="710" spans="1:45" ht="12.75" customHeight="1" x14ac:dyDescent="0.25">
      <c r="A710" s="20"/>
      <c r="B710" s="20"/>
      <c r="C710" s="20"/>
      <c r="D710" s="20"/>
      <c r="E710" s="20"/>
      <c r="F710" s="20"/>
      <c r="G710" s="20"/>
      <c r="H710" s="20"/>
      <c r="I710" s="20"/>
      <c r="J710" s="21"/>
      <c r="K710" s="21"/>
      <c r="L710" s="21"/>
      <c r="M710" s="21"/>
      <c r="N710" s="22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</row>
    <row r="711" spans="1:45" ht="12.75" customHeight="1" x14ac:dyDescent="0.25">
      <c r="A711" s="20"/>
      <c r="B711" s="20"/>
      <c r="C711" s="20"/>
      <c r="D711" s="20"/>
      <c r="E711" s="20"/>
      <c r="F711" s="20"/>
      <c r="G711" s="20"/>
      <c r="H711" s="20"/>
      <c r="I711" s="20"/>
      <c r="J711" s="21"/>
      <c r="K711" s="21"/>
      <c r="L711" s="21"/>
      <c r="M711" s="21"/>
      <c r="N711" s="22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</row>
    <row r="712" spans="1:45" ht="12.75" customHeight="1" x14ac:dyDescent="0.25">
      <c r="A712" s="20"/>
      <c r="B712" s="20"/>
      <c r="C712" s="20"/>
      <c r="D712" s="20"/>
      <c r="E712" s="20"/>
      <c r="F712" s="20"/>
      <c r="G712" s="20"/>
      <c r="H712" s="20"/>
      <c r="I712" s="20"/>
      <c r="J712" s="21"/>
      <c r="K712" s="21"/>
      <c r="L712" s="21"/>
      <c r="M712" s="21"/>
      <c r="N712" s="22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</row>
    <row r="713" spans="1:45" ht="12.75" customHeight="1" x14ac:dyDescent="0.25">
      <c r="A713" s="20"/>
      <c r="B713" s="20"/>
      <c r="C713" s="20"/>
      <c r="D713" s="20"/>
      <c r="E713" s="20"/>
      <c r="F713" s="20"/>
      <c r="G713" s="20"/>
      <c r="H713" s="20"/>
      <c r="I713" s="20"/>
      <c r="J713" s="21"/>
      <c r="K713" s="21"/>
      <c r="L713" s="21"/>
      <c r="M713" s="21"/>
      <c r="N713" s="22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</row>
    <row r="714" spans="1:45" ht="12.75" customHeight="1" x14ac:dyDescent="0.25">
      <c r="A714" s="20"/>
      <c r="B714" s="20"/>
      <c r="C714" s="20"/>
      <c r="D714" s="20"/>
      <c r="E714" s="20"/>
      <c r="F714" s="20"/>
      <c r="G714" s="20"/>
      <c r="H714" s="20"/>
      <c r="I714" s="20"/>
      <c r="J714" s="21"/>
      <c r="K714" s="21"/>
      <c r="L714" s="21"/>
      <c r="M714" s="21"/>
      <c r="N714" s="22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</row>
    <row r="715" spans="1:45" ht="12.75" customHeight="1" x14ac:dyDescent="0.25">
      <c r="A715" s="20"/>
      <c r="B715" s="20"/>
      <c r="C715" s="20"/>
      <c r="D715" s="20"/>
      <c r="E715" s="20"/>
      <c r="F715" s="20"/>
      <c r="G715" s="20"/>
      <c r="H715" s="20"/>
      <c r="I715" s="20"/>
      <c r="J715" s="21"/>
      <c r="K715" s="21"/>
      <c r="L715" s="21"/>
      <c r="M715" s="21"/>
      <c r="N715" s="22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</row>
    <row r="716" spans="1:45" ht="12.75" customHeight="1" x14ac:dyDescent="0.25">
      <c r="A716" s="20"/>
      <c r="B716" s="20"/>
      <c r="C716" s="20"/>
      <c r="D716" s="20"/>
      <c r="E716" s="20"/>
      <c r="F716" s="20"/>
      <c r="G716" s="20"/>
      <c r="H716" s="20"/>
      <c r="I716" s="20"/>
      <c r="J716" s="21"/>
      <c r="K716" s="21"/>
      <c r="L716" s="21"/>
      <c r="M716" s="21"/>
      <c r="N716" s="22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</row>
    <row r="717" spans="1:45" ht="12.75" customHeight="1" x14ac:dyDescent="0.25">
      <c r="A717" s="20"/>
      <c r="B717" s="20"/>
      <c r="C717" s="20"/>
      <c r="D717" s="20"/>
      <c r="E717" s="20"/>
      <c r="F717" s="20"/>
      <c r="G717" s="20"/>
      <c r="H717" s="20"/>
      <c r="I717" s="20"/>
      <c r="J717" s="21"/>
      <c r="K717" s="21"/>
      <c r="L717" s="21"/>
      <c r="M717" s="21"/>
      <c r="N717" s="22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</row>
    <row r="718" spans="1:45" ht="12.75" customHeight="1" x14ac:dyDescent="0.25">
      <c r="A718" s="20"/>
      <c r="B718" s="20"/>
      <c r="C718" s="20"/>
      <c r="D718" s="20"/>
      <c r="E718" s="20"/>
      <c r="F718" s="20"/>
      <c r="G718" s="20"/>
      <c r="H718" s="20"/>
      <c r="I718" s="20"/>
      <c r="J718" s="21"/>
      <c r="K718" s="21"/>
      <c r="L718" s="21"/>
      <c r="M718" s="21"/>
      <c r="N718" s="22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</row>
    <row r="719" spans="1:45" ht="12.75" customHeight="1" x14ac:dyDescent="0.25">
      <c r="A719" s="20"/>
      <c r="B719" s="20"/>
      <c r="C719" s="20"/>
      <c r="D719" s="20"/>
      <c r="E719" s="20"/>
      <c r="F719" s="20"/>
      <c r="G719" s="20"/>
      <c r="H719" s="20"/>
      <c r="I719" s="20"/>
      <c r="J719" s="21"/>
      <c r="K719" s="21"/>
      <c r="L719" s="21"/>
      <c r="M719" s="21"/>
      <c r="N719" s="22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</row>
    <row r="720" spans="1:45" ht="12.75" customHeight="1" x14ac:dyDescent="0.25">
      <c r="A720" s="20"/>
      <c r="B720" s="20"/>
      <c r="C720" s="20"/>
      <c r="D720" s="20"/>
      <c r="E720" s="20"/>
      <c r="F720" s="20"/>
      <c r="G720" s="20"/>
      <c r="H720" s="20"/>
      <c r="I720" s="20"/>
      <c r="J720" s="21"/>
      <c r="K720" s="21"/>
      <c r="L720" s="21"/>
      <c r="M720" s="21"/>
      <c r="N720" s="22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</row>
    <row r="721" spans="1:45" ht="12.75" customHeight="1" x14ac:dyDescent="0.25">
      <c r="A721" s="20"/>
      <c r="B721" s="20"/>
      <c r="C721" s="20"/>
      <c r="D721" s="20"/>
      <c r="E721" s="20"/>
      <c r="F721" s="20"/>
      <c r="G721" s="20"/>
      <c r="H721" s="20"/>
      <c r="I721" s="20"/>
      <c r="J721" s="21"/>
      <c r="K721" s="21"/>
      <c r="L721" s="21"/>
      <c r="M721" s="21"/>
      <c r="N721" s="22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</row>
    <row r="722" spans="1:45" ht="12.75" customHeight="1" x14ac:dyDescent="0.25">
      <c r="A722" s="20"/>
      <c r="B722" s="20"/>
      <c r="C722" s="20"/>
      <c r="D722" s="20"/>
      <c r="E722" s="20"/>
      <c r="F722" s="20"/>
      <c r="G722" s="20"/>
      <c r="H722" s="20"/>
      <c r="I722" s="20"/>
      <c r="J722" s="21"/>
      <c r="K722" s="21"/>
      <c r="L722" s="21"/>
      <c r="M722" s="21"/>
      <c r="N722" s="22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</row>
    <row r="723" spans="1:45" ht="12.75" customHeight="1" x14ac:dyDescent="0.25">
      <c r="A723" s="20"/>
      <c r="B723" s="20"/>
      <c r="C723" s="20"/>
      <c r="D723" s="20"/>
      <c r="E723" s="20"/>
      <c r="F723" s="20"/>
      <c r="G723" s="20"/>
      <c r="H723" s="20"/>
      <c r="I723" s="20"/>
      <c r="J723" s="21"/>
      <c r="K723" s="21"/>
      <c r="L723" s="21"/>
      <c r="M723" s="21"/>
      <c r="N723" s="22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</row>
    <row r="724" spans="1:45" ht="12.75" customHeight="1" x14ac:dyDescent="0.25">
      <c r="A724" s="20"/>
      <c r="B724" s="20"/>
      <c r="C724" s="20"/>
      <c r="D724" s="20"/>
      <c r="E724" s="20"/>
      <c r="F724" s="20"/>
      <c r="G724" s="20"/>
      <c r="H724" s="20"/>
      <c r="I724" s="20"/>
      <c r="J724" s="21"/>
      <c r="K724" s="21"/>
      <c r="L724" s="21"/>
      <c r="M724" s="21"/>
      <c r="N724" s="22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</row>
    <row r="725" spans="1:45" ht="12.75" customHeight="1" x14ac:dyDescent="0.25">
      <c r="A725" s="20"/>
      <c r="B725" s="20"/>
      <c r="C725" s="20"/>
      <c r="D725" s="20"/>
      <c r="E725" s="20"/>
      <c r="F725" s="20"/>
      <c r="G725" s="20"/>
      <c r="H725" s="20"/>
      <c r="I725" s="20"/>
      <c r="J725" s="21"/>
      <c r="K725" s="21"/>
      <c r="L725" s="21"/>
      <c r="M725" s="21"/>
      <c r="N725" s="22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</row>
    <row r="726" spans="1:45" ht="12.75" customHeight="1" x14ac:dyDescent="0.25">
      <c r="A726" s="20"/>
      <c r="B726" s="20"/>
      <c r="C726" s="20"/>
      <c r="D726" s="20"/>
      <c r="E726" s="20"/>
      <c r="F726" s="20"/>
      <c r="G726" s="20"/>
      <c r="H726" s="20"/>
      <c r="I726" s="20"/>
      <c r="J726" s="21"/>
      <c r="K726" s="21"/>
      <c r="L726" s="21"/>
      <c r="M726" s="21"/>
      <c r="N726" s="22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</row>
    <row r="727" spans="1:45" ht="12.75" customHeight="1" x14ac:dyDescent="0.25">
      <c r="A727" s="20"/>
      <c r="B727" s="20"/>
      <c r="C727" s="20"/>
      <c r="D727" s="20"/>
      <c r="E727" s="20"/>
      <c r="F727" s="20"/>
      <c r="G727" s="20"/>
      <c r="H727" s="20"/>
      <c r="I727" s="20"/>
      <c r="J727" s="21"/>
      <c r="K727" s="21"/>
      <c r="L727" s="21"/>
      <c r="M727" s="21"/>
      <c r="N727" s="22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</row>
    <row r="728" spans="1:45" ht="12.75" customHeight="1" x14ac:dyDescent="0.25">
      <c r="A728" s="20"/>
      <c r="B728" s="20"/>
      <c r="C728" s="20"/>
      <c r="D728" s="20"/>
      <c r="E728" s="20"/>
      <c r="F728" s="20"/>
      <c r="G728" s="20"/>
      <c r="H728" s="20"/>
      <c r="I728" s="20"/>
      <c r="J728" s="21"/>
      <c r="K728" s="21"/>
      <c r="L728" s="21"/>
      <c r="M728" s="21"/>
      <c r="N728" s="22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</row>
    <row r="729" spans="1:45" ht="12.75" customHeight="1" x14ac:dyDescent="0.25">
      <c r="A729" s="20"/>
      <c r="B729" s="20"/>
      <c r="C729" s="20"/>
      <c r="D729" s="20"/>
      <c r="E729" s="20"/>
      <c r="F729" s="20"/>
      <c r="G729" s="20"/>
      <c r="H729" s="20"/>
      <c r="I729" s="20"/>
      <c r="J729" s="21"/>
      <c r="K729" s="21"/>
      <c r="L729" s="21"/>
      <c r="M729" s="21"/>
      <c r="N729" s="22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</row>
    <row r="730" spans="1:45" ht="12.75" customHeight="1" x14ac:dyDescent="0.25">
      <c r="A730" s="20"/>
      <c r="B730" s="20"/>
      <c r="C730" s="20"/>
      <c r="D730" s="20"/>
      <c r="E730" s="20"/>
      <c r="F730" s="20"/>
      <c r="G730" s="20"/>
      <c r="H730" s="20"/>
      <c r="I730" s="20"/>
      <c r="J730" s="21"/>
      <c r="K730" s="21"/>
      <c r="L730" s="21"/>
      <c r="M730" s="21"/>
      <c r="N730" s="22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</row>
    <row r="731" spans="1:45" ht="12.75" customHeight="1" x14ac:dyDescent="0.25">
      <c r="A731" s="20"/>
      <c r="B731" s="20"/>
      <c r="C731" s="20"/>
      <c r="D731" s="20"/>
      <c r="E731" s="20"/>
      <c r="F731" s="20"/>
      <c r="G731" s="20"/>
      <c r="H731" s="20"/>
      <c r="I731" s="20"/>
      <c r="J731" s="21"/>
      <c r="K731" s="21"/>
      <c r="L731" s="21"/>
      <c r="M731" s="21"/>
      <c r="N731" s="22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</row>
    <row r="732" spans="1:45" ht="12.75" customHeight="1" x14ac:dyDescent="0.25">
      <c r="A732" s="20"/>
      <c r="B732" s="20"/>
      <c r="C732" s="20"/>
      <c r="D732" s="20"/>
      <c r="E732" s="20"/>
      <c r="F732" s="20"/>
      <c r="G732" s="20"/>
      <c r="H732" s="20"/>
      <c r="I732" s="20"/>
      <c r="J732" s="21"/>
      <c r="K732" s="21"/>
      <c r="L732" s="21"/>
      <c r="M732" s="21"/>
      <c r="N732" s="22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</row>
    <row r="733" spans="1:45" ht="12.75" customHeight="1" x14ac:dyDescent="0.25">
      <c r="A733" s="20"/>
      <c r="B733" s="20"/>
      <c r="C733" s="20"/>
      <c r="D733" s="20"/>
      <c r="E733" s="20"/>
      <c r="F733" s="20"/>
      <c r="G733" s="20"/>
      <c r="H733" s="20"/>
      <c r="I733" s="20"/>
      <c r="J733" s="21"/>
      <c r="K733" s="21"/>
      <c r="L733" s="21"/>
      <c r="M733" s="21"/>
      <c r="N733" s="22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</row>
    <row r="734" spans="1:45" ht="12.75" customHeight="1" x14ac:dyDescent="0.25">
      <c r="A734" s="20"/>
      <c r="B734" s="20"/>
      <c r="C734" s="20"/>
      <c r="D734" s="20"/>
      <c r="E734" s="20"/>
      <c r="F734" s="20"/>
      <c r="G734" s="20"/>
      <c r="H734" s="20"/>
      <c r="I734" s="20"/>
      <c r="J734" s="21"/>
      <c r="K734" s="21"/>
      <c r="L734" s="21"/>
      <c r="M734" s="21"/>
      <c r="N734" s="22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</row>
    <row r="735" spans="1:45" ht="12.75" customHeight="1" x14ac:dyDescent="0.25">
      <c r="A735" s="20"/>
      <c r="B735" s="20"/>
      <c r="C735" s="20"/>
      <c r="D735" s="20"/>
      <c r="E735" s="20"/>
      <c r="F735" s="20"/>
      <c r="G735" s="20"/>
      <c r="H735" s="20"/>
      <c r="I735" s="20"/>
      <c r="J735" s="21"/>
      <c r="K735" s="21"/>
      <c r="L735" s="21"/>
      <c r="M735" s="21"/>
      <c r="N735" s="22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</row>
    <row r="736" spans="1:45" ht="12.75" customHeight="1" x14ac:dyDescent="0.25">
      <c r="A736" s="20"/>
      <c r="B736" s="20"/>
      <c r="C736" s="20"/>
      <c r="D736" s="20"/>
      <c r="E736" s="20"/>
      <c r="F736" s="20"/>
      <c r="G736" s="20"/>
      <c r="H736" s="20"/>
      <c r="I736" s="20"/>
      <c r="J736" s="21"/>
      <c r="K736" s="21"/>
      <c r="L736" s="21"/>
      <c r="M736" s="21"/>
      <c r="N736" s="22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</row>
    <row r="737" spans="1:45" ht="12.75" customHeight="1" x14ac:dyDescent="0.25">
      <c r="A737" s="20"/>
      <c r="B737" s="20"/>
      <c r="C737" s="20"/>
      <c r="D737" s="20"/>
      <c r="E737" s="20"/>
      <c r="F737" s="20"/>
      <c r="G737" s="20"/>
      <c r="H737" s="20"/>
      <c r="I737" s="20"/>
      <c r="J737" s="21"/>
      <c r="K737" s="21"/>
      <c r="L737" s="21"/>
      <c r="M737" s="21"/>
      <c r="N737" s="22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</row>
    <row r="738" spans="1:45" ht="12.75" customHeight="1" x14ac:dyDescent="0.25">
      <c r="A738" s="20"/>
      <c r="B738" s="20"/>
      <c r="C738" s="20"/>
      <c r="D738" s="20"/>
      <c r="E738" s="20"/>
      <c r="F738" s="20"/>
      <c r="G738" s="20"/>
      <c r="H738" s="20"/>
      <c r="I738" s="20"/>
      <c r="J738" s="21"/>
      <c r="K738" s="21"/>
      <c r="L738" s="21"/>
      <c r="M738" s="21"/>
      <c r="N738" s="22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</row>
    <row r="739" spans="1:45" ht="12.75" customHeight="1" x14ac:dyDescent="0.25">
      <c r="A739" s="20"/>
      <c r="B739" s="20"/>
      <c r="C739" s="20"/>
      <c r="D739" s="20"/>
      <c r="E739" s="20"/>
      <c r="F739" s="20"/>
      <c r="G739" s="20"/>
      <c r="H739" s="20"/>
      <c r="I739" s="20"/>
      <c r="J739" s="21"/>
      <c r="K739" s="21"/>
      <c r="L739" s="21"/>
      <c r="M739" s="21"/>
      <c r="N739" s="22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</row>
    <row r="740" spans="1:45" ht="12.75" customHeight="1" x14ac:dyDescent="0.25">
      <c r="A740" s="20"/>
      <c r="B740" s="20"/>
      <c r="C740" s="20"/>
      <c r="D740" s="20"/>
      <c r="E740" s="20"/>
      <c r="F740" s="20"/>
      <c r="G740" s="20"/>
      <c r="H740" s="20"/>
      <c r="I740" s="20"/>
      <c r="J740" s="21"/>
      <c r="K740" s="21"/>
      <c r="L740" s="21"/>
      <c r="M740" s="21"/>
      <c r="N740" s="22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</row>
    <row r="741" spans="1:45" ht="12.75" customHeight="1" x14ac:dyDescent="0.25">
      <c r="A741" s="20"/>
      <c r="B741" s="20"/>
      <c r="C741" s="20"/>
      <c r="D741" s="20"/>
      <c r="E741" s="20"/>
      <c r="F741" s="20"/>
      <c r="G741" s="20"/>
      <c r="H741" s="20"/>
      <c r="I741" s="20"/>
      <c r="J741" s="21"/>
      <c r="K741" s="21"/>
      <c r="L741" s="21"/>
      <c r="M741" s="21"/>
      <c r="N741" s="22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</row>
    <row r="742" spans="1:45" ht="12.75" customHeight="1" x14ac:dyDescent="0.25">
      <c r="A742" s="20"/>
      <c r="B742" s="20"/>
      <c r="C742" s="20"/>
      <c r="D742" s="20"/>
      <c r="E742" s="20"/>
      <c r="F742" s="20"/>
      <c r="G742" s="20"/>
      <c r="H742" s="20"/>
      <c r="I742" s="20"/>
      <c r="J742" s="21"/>
      <c r="K742" s="21"/>
      <c r="L742" s="21"/>
      <c r="M742" s="21"/>
      <c r="N742" s="22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</row>
    <row r="743" spans="1:45" ht="12.75" customHeight="1" x14ac:dyDescent="0.25">
      <c r="A743" s="20"/>
      <c r="B743" s="20"/>
      <c r="C743" s="20"/>
      <c r="D743" s="20"/>
      <c r="E743" s="20"/>
      <c r="F743" s="20"/>
      <c r="G743" s="20"/>
      <c r="H743" s="20"/>
      <c r="I743" s="20"/>
      <c r="J743" s="21"/>
      <c r="K743" s="21"/>
      <c r="L743" s="21"/>
      <c r="M743" s="21"/>
      <c r="N743" s="22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</row>
    <row r="744" spans="1:45" ht="12.75" customHeight="1" x14ac:dyDescent="0.25">
      <c r="A744" s="20"/>
      <c r="B744" s="20"/>
      <c r="C744" s="20"/>
      <c r="D744" s="20"/>
      <c r="E744" s="20"/>
      <c r="F744" s="20"/>
      <c r="G744" s="20"/>
      <c r="H744" s="20"/>
      <c r="I744" s="20"/>
      <c r="J744" s="21"/>
      <c r="K744" s="21"/>
      <c r="L744" s="21"/>
      <c r="M744" s="21"/>
      <c r="N744" s="22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</row>
    <row r="745" spans="1:45" ht="12.75" customHeight="1" x14ac:dyDescent="0.25">
      <c r="A745" s="20"/>
      <c r="B745" s="20"/>
      <c r="C745" s="20"/>
      <c r="D745" s="20"/>
      <c r="E745" s="20"/>
      <c r="F745" s="20"/>
      <c r="G745" s="20"/>
      <c r="H745" s="20"/>
      <c r="I745" s="20"/>
      <c r="J745" s="21"/>
      <c r="K745" s="21"/>
      <c r="L745" s="21"/>
      <c r="M745" s="21"/>
      <c r="N745" s="22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</row>
    <row r="746" spans="1:45" ht="12.75" customHeight="1" x14ac:dyDescent="0.25">
      <c r="A746" s="20"/>
      <c r="B746" s="20"/>
      <c r="C746" s="20"/>
      <c r="D746" s="20"/>
      <c r="E746" s="20"/>
      <c r="F746" s="20"/>
      <c r="G746" s="20"/>
      <c r="H746" s="20"/>
      <c r="I746" s="20"/>
      <c r="J746" s="21"/>
      <c r="K746" s="21"/>
      <c r="L746" s="21"/>
      <c r="M746" s="21"/>
      <c r="N746" s="22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</row>
    <row r="747" spans="1:45" ht="12.75" customHeight="1" x14ac:dyDescent="0.25">
      <c r="A747" s="20"/>
      <c r="B747" s="20"/>
      <c r="C747" s="20"/>
      <c r="D747" s="20"/>
      <c r="E747" s="20"/>
      <c r="F747" s="20"/>
      <c r="G747" s="20"/>
      <c r="H747" s="20"/>
      <c r="I747" s="20"/>
      <c r="J747" s="21"/>
      <c r="K747" s="21"/>
      <c r="L747" s="21"/>
      <c r="M747" s="21"/>
      <c r="N747" s="22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</row>
    <row r="748" spans="1:45" ht="12.75" customHeight="1" x14ac:dyDescent="0.25">
      <c r="A748" s="20"/>
      <c r="B748" s="20"/>
      <c r="C748" s="20"/>
      <c r="D748" s="20"/>
      <c r="E748" s="20"/>
      <c r="F748" s="20"/>
      <c r="G748" s="20"/>
      <c r="H748" s="20"/>
      <c r="I748" s="20"/>
      <c r="J748" s="21"/>
      <c r="K748" s="21"/>
      <c r="L748" s="21"/>
      <c r="M748" s="21"/>
      <c r="N748" s="22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</row>
    <row r="749" spans="1:45" ht="12.75" customHeight="1" x14ac:dyDescent="0.25">
      <c r="A749" s="20"/>
      <c r="B749" s="20"/>
      <c r="C749" s="20"/>
      <c r="D749" s="20"/>
      <c r="E749" s="20"/>
      <c r="F749" s="20"/>
      <c r="G749" s="20"/>
      <c r="H749" s="20"/>
      <c r="I749" s="20"/>
      <c r="J749" s="21"/>
      <c r="K749" s="21"/>
      <c r="L749" s="21"/>
      <c r="M749" s="21"/>
      <c r="N749" s="22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</row>
    <row r="750" spans="1:45" ht="12.75" customHeight="1" x14ac:dyDescent="0.25">
      <c r="A750" s="20"/>
      <c r="B750" s="20"/>
      <c r="C750" s="20"/>
      <c r="D750" s="20"/>
      <c r="E750" s="20"/>
      <c r="F750" s="20"/>
      <c r="G750" s="20"/>
      <c r="H750" s="20"/>
      <c r="I750" s="20"/>
      <c r="J750" s="21"/>
      <c r="K750" s="21"/>
      <c r="L750" s="21"/>
      <c r="M750" s="21"/>
      <c r="N750" s="22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</row>
    <row r="751" spans="1:45" ht="12.75" customHeight="1" x14ac:dyDescent="0.25">
      <c r="A751" s="20"/>
      <c r="B751" s="20"/>
      <c r="C751" s="20"/>
      <c r="D751" s="20"/>
      <c r="E751" s="20"/>
      <c r="F751" s="20"/>
      <c r="G751" s="20"/>
      <c r="H751" s="20"/>
      <c r="I751" s="20"/>
      <c r="J751" s="21"/>
      <c r="K751" s="21"/>
      <c r="L751" s="21"/>
      <c r="M751" s="21"/>
      <c r="N751" s="22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</row>
    <row r="752" spans="1:45" ht="12.75" customHeight="1" x14ac:dyDescent="0.25">
      <c r="A752" s="20"/>
      <c r="B752" s="20"/>
      <c r="C752" s="20"/>
      <c r="D752" s="20"/>
      <c r="E752" s="20"/>
      <c r="F752" s="20"/>
      <c r="G752" s="20"/>
      <c r="H752" s="20"/>
      <c r="I752" s="20"/>
      <c r="J752" s="21"/>
      <c r="K752" s="21"/>
      <c r="L752" s="21"/>
      <c r="M752" s="21"/>
      <c r="N752" s="22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</row>
    <row r="753" spans="1:45" ht="12.75" customHeight="1" x14ac:dyDescent="0.25">
      <c r="A753" s="20"/>
      <c r="B753" s="20"/>
      <c r="C753" s="20"/>
      <c r="D753" s="20"/>
      <c r="E753" s="20"/>
      <c r="F753" s="20"/>
      <c r="G753" s="20"/>
      <c r="H753" s="20"/>
      <c r="I753" s="20"/>
      <c r="J753" s="21"/>
      <c r="K753" s="21"/>
      <c r="L753" s="21"/>
      <c r="M753" s="21"/>
      <c r="N753" s="22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</row>
    <row r="754" spans="1:45" ht="12.75" customHeight="1" x14ac:dyDescent="0.25">
      <c r="A754" s="20"/>
      <c r="B754" s="20"/>
      <c r="C754" s="20"/>
      <c r="D754" s="20"/>
      <c r="E754" s="20"/>
      <c r="F754" s="20"/>
      <c r="G754" s="20"/>
      <c r="H754" s="20"/>
      <c r="I754" s="20"/>
      <c r="J754" s="21"/>
      <c r="K754" s="21"/>
      <c r="L754" s="21"/>
      <c r="M754" s="21"/>
      <c r="N754" s="22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</row>
    <row r="755" spans="1:45" ht="12.75" customHeight="1" x14ac:dyDescent="0.25">
      <c r="A755" s="20"/>
      <c r="B755" s="20"/>
      <c r="C755" s="20"/>
      <c r="D755" s="20"/>
      <c r="E755" s="20"/>
      <c r="F755" s="20"/>
      <c r="G755" s="20"/>
      <c r="H755" s="20"/>
      <c r="I755" s="20"/>
      <c r="J755" s="21"/>
      <c r="K755" s="21"/>
      <c r="L755" s="21"/>
      <c r="M755" s="21"/>
      <c r="N755" s="22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</row>
    <row r="756" spans="1:45" ht="12.75" customHeight="1" x14ac:dyDescent="0.25">
      <c r="A756" s="20"/>
      <c r="B756" s="20"/>
      <c r="C756" s="20"/>
      <c r="D756" s="20"/>
      <c r="E756" s="20"/>
      <c r="F756" s="20"/>
      <c r="G756" s="20"/>
      <c r="H756" s="20"/>
      <c r="I756" s="20"/>
      <c r="J756" s="21"/>
      <c r="K756" s="21"/>
      <c r="L756" s="21"/>
      <c r="M756" s="21"/>
      <c r="N756" s="22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</row>
    <row r="757" spans="1:45" ht="12.75" customHeight="1" x14ac:dyDescent="0.25">
      <c r="A757" s="20"/>
      <c r="B757" s="20"/>
      <c r="C757" s="20"/>
      <c r="D757" s="20"/>
      <c r="E757" s="20"/>
      <c r="F757" s="20"/>
      <c r="G757" s="20"/>
      <c r="H757" s="20"/>
      <c r="I757" s="20"/>
      <c r="J757" s="21"/>
      <c r="K757" s="21"/>
      <c r="L757" s="21"/>
      <c r="M757" s="21"/>
      <c r="N757" s="22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</row>
    <row r="758" spans="1:45" ht="12.75" customHeight="1" x14ac:dyDescent="0.25">
      <c r="A758" s="20"/>
      <c r="B758" s="20"/>
      <c r="C758" s="20"/>
      <c r="D758" s="20"/>
      <c r="E758" s="20"/>
      <c r="F758" s="20"/>
      <c r="G758" s="20"/>
      <c r="H758" s="20"/>
      <c r="I758" s="20"/>
      <c r="J758" s="21"/>
      <c r="K758" s="21"/>
      <c r="L758" s="21"/>
      <c r="M758" s="21"/>
      <c r="N758" s="22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</row>
    <row r="759" spans="1:45" ht="12.75" customHeight="1" x14ac:dyDescent="0.25">
      <c r="A759" s="20"/>
      <c r="B759" s="20"/>
      <c r="C759" s="20"/>
      <c r="D759" s="20"/>
      <c r="E759" s="20"/>
      <c r="F759" s="20"/>
      <c r="G759" s="20"/>
      <c r="H759" s="20"/>
      <c r="I759" s="20"/>
      <c r="J759" s="21"/>
      <c r="K759" s="21"/>
      <c r="L759" s="21"/>
      <c r="M759" s="21"/>
      <c r="N759" s="22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</row>
    <row r="760" spans="1:45" ht="12.75" customHeight="1" x14ac:dyDescent="0.25">
      <c r="A760" s="20"/>
      <c r="B760" s="20"/>
      <c r="C760" s="20"/>
      <c r="D760" s="20"/>
      <c r="E760" s="20"/>
      <c r="F760" s="20"/>
      <c r="G760" s="20"/>
      <c r="H760" s="20"/>
      <c r="I760" s="20"/>
      <c r="J760" s="21"/>
      <c r="K760" s="21"/>
      <c r="L760" s="21"/>
      <c r="M760" s="21"/>
      <c r="N760" s="22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</row>
    <row r="761" spans="1:45" ht="12.75" customHeight="1" x14ac:dyDescent="0.25">
      <c r="A761" s="20"/>
      <c r="B761" s="20"/>
      <c r="C761" s="20"/>
      <c r="D761" s="20"/>
      <c r="E761" s="20"/>
      <c r="F761" s="20"/>
      <c r="G761" s="20"/>
      <c r="H761" s="20"/>
      <c r="I761" s="20"/>
      <c r="J761" s="21"/>
      <c r="K761" s="21"/>
      <c r="L761" s="21"/>
      <c r="M761" s="21"/>
      <c r="N761" s="22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</row>
    <row r="762" spans="1:45" ht="12.75" customHeight="1" x14ac:dyDescent="0.25">
      <c r="A762" s="20"/>
      <c r="B762" s="20"/>
      <c r="C762" s="20"/>
      <c r="D762" s="20"/>
      <c r="E762" s="20"/>
      <c r="F762" s="20"/>
      <c r="G762" s="20"/>
      <c r="H762" s="20"/>
      <c r="I762" s="20"/>
      <c r="J762" s="21"/>
      <c r="K762" s="21"/>
      <c r="L762" s="21"/>
      <c r="M762" s="21"/>
      <c r="N762" s="22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</row>
    <row r="763" spans="1:45" ht="12.75" customHeight="1" x14ac:dyDescent="0.25">
      <c r="A763" s="20"/>
      <c r="B763" s="20"/>
      <c r="C763" s="20"/>
      <c r="D763" s="20"/>
      <c r="E763" s="20"/>
      <c r="F763" s="20"/>
      <c r="G763" s="20"/>
      <c r="H763" s="20"/>
      <c r="I763" s="20"/>
      <c r="J763" s="21"/>
      <c r="K763" s="21"/>
      <c r="L763" s="21"/>
      <c r="M763" s="21"/>
      <c r="N763" s="22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</row>
    <row r="764" spans="1:45" ht="12.75" customHeight="1" x14ac:dyDescent="0.25">
      <c r="A764" s="20"/>
      <c r="B764" s="20"/>
      <c r="C764" s="20"/>
      <c r="D764" s="20"/>
      <c r="E764" s="20"/>
      <c r="F764" s="20"/>
      <c r="G764" s="20"/>
      <c r="H764" s="20"/>
      <c r="I764" s="20"/>
      <c r="J764" s="21"/>
      <c r="K764" s="21"/>
      <c r="L764" s="21"/>
      <c r="M764" s="21"/>
      <c r="N764" s="22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</row>
    <row r="765" spans="1:45" ht="12.75" customHeight="1" x14ac:dyDescent="0.25">
      <c r="A765" s="20"/>
      <c r="B765" s="20"/>
      <c r="C765" s="20"/>
      <c r="D765" s="20"/>
      <c r="E765" s="20"/>
      <c r="F765" s="20"/>
      <c r="G765" s="20"/>
      <c r="H765" s="20"/>
      <c r="I765" s="20"/>
      <c r="J765" s="21"/>
      <c r="K765" s="21"/>
      <c r="L765" s="21"/>
      <c r="M765" s="21"/>
      <c r="N765" s="22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</row>
    <row r="766" spans="1:45" ht="12.75" customHeight="1" x14ac:dyDescent="0.25">
      <c r="A766" s="20"/>
      <c r="B766" s="20"/>
      <c r="C766" s="20"/>
      <c r="D766" s="20"/>
      <c r="E766" s="20"/>
      <c r="F766" s="20"/>
      <c r="G766" s="20"/>
      <c r="H766" s="20"/>
      <c r="I766" s="20"/>
      <c r="J766" s="21"/>
      <c r="K766" s="21"/>
      <c r="L766" s="21"/>
      <c r="M766" s="21"/>
      <c r="N766" s="22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</row>
    <row r="767" spans="1:45" ht="12.75" customHeight="1" x14ac:dyDescent="0.25">
      <c r="A767" s="20"/>
      <c r="B767" s="20"/>
      <c r="C767" s="20"/>
      <c r="D767" s="20"/>
      <c r="E767" s="20"/>
      <c r="F767" s="20"/>
      <c r="G767" s="20"/>
      <c r="H767" s="20"/>
      <c r="I767" s="20"/>
      <c r="J767" s="21"/>
      <c r="K767" s="21"/>
      <c r="L767" s="21"/>
      <c r="M767" s="21"/>
      <c r="N767" s="22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</row>
    <row r="768" spans="1:45" ht="12.75" customHeight="1" x14ac:dyDescent="0.25">
      <c r="A768" s="20"/>
      <c r="B768" s="20"/>
      <c r="C768" s="20"/>
      <c r="D768" s="20"/>
      <c r="E768" s="20"/>
      <c r="F768" s="20"/>
      <c r="G768" s="20"/>
      <c r="H768" s="20"/>
      <c r="I768" s="20"/>
      <c r="J768" s="21"/>
      <c r="K768" s="21"/>
      <c r="L768" s="21"/>
      <c r="M768" s="21"/>
      <c r="N768" s="22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</row>
    <row r="769" spans="1:45" ht="12.75" customHeight="1" x14ac:dyDescent="0.25">
      <c r="A769" s="20"/>
      <c r="B769" s="20"/>
      <c r="C769" s="20"/>
      <c r="D769" s="20"/>
      <c r="E769" s="20"/>
      <c r="F769" s="20"/>
      <c r="G769" s="20"/>
      <c r="H769" s="20"/>
      <c r="I769" s="20"/>
      <c r="J769" s="21"/>
      <c r="K769" s="21"/>
      <c r="L769" s="21"/>
      <c r="M769" s="21"/>
      <c r="N769" s="22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</row>
    <row r="770" spans="1:45" ht="12.75" customHeight="1" x14ac:dyDescent="0.25">
      <c r="A770" s="20"/>
      <c r="B770" s="20"/>
      <c r="C770" s="20"/>
      <c r="D770" s="20"/>
      <c r="E770" s="20"/>
      <c r="F770" s="20"/>
      <c r="G770" s="20"/>
      <c r="H770" s="20"/>
      <c r="I770" s="20"/>
      <c r="J770" s="21"/>
      <c r="K770" s="21"/>
      <c r="L770" s="21"/>
      <c r="M770" s="21"/>
      <c r="N770" s="22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</row>
    <row r="771" spans="1:45" ht="12.75" customHeight="1" x14ac:dyDescent="0.25">
      <c r="A771" s="20"/>
      <c r="B771" s="20"/>
      <c r="C771" s="20"/>
      <c r="D771" s="20"/>
      <c r="E771" s="20"/>
      <c r="F771" s="20"/>
      <c r="G771" s="20"/>
      <c r="H771" s="20"/>
      <c r="I771" s="20"/>
      <c r="J771" s="21"/>
      <c r="K771" s="21"/>
      <c r="L771" s="21"/>
      <c r="M771" s="21"/>
      <c r="N771" s="22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</row>
    <row r="772" spans="1:45" ht="12.75" customHeight="1" x14ac:dyDescent="0.25">
      <c r="A772" s="20"/>
      <c r="B772" s="20"/>
      <c r="C772" s="20"/>
      <c r="D772" s="20"/>
      <c r="E772" s="20"/>
      <c r="F772" s="20"/>
      <c r="G772" s="20"/>
      <c r="H772" s="20"/>
      <c r="I772" s="20"/>
      <c r="J772" s="21"/>
      <c r="K772" s="21"/>
      <c r="L772" s="21"/>
      <c r="M772" s="21"/>
      <c r="N772" s="22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</row>
    <row r="773" spans="1:45" ht="12.75" customHeight="1" x14ac:dyDescent="0.25">
      <c r="A773" s="20"/>
      <c r="B773" s="20"/>
      <c r="C773" s="20"/>
      <c r="D773" s="20"/>
      <c r="E773" s="20"/>
      <c r="F773" s="20"/>
      <c r="G773" s="20"/>
      <c r="H773" s="20"/>
      <c r="I773" s="20"/>
      <c r="J773" s="21"/>
      <c r="K773" s="21"/>
      <c r="L773" s="21"/>
      <c r="M773" s="21"/>
      <c r="N773" s="22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</row>
    <row r="774" spans="1:45" ht="12.75" customHeight="1" x14ac:dyDescent="0.25">
      <c r="A774" s="20"/>
      <c r="B774" s="20"/>
      <c r="C774" s="20"/>
      <c r="D774" s="20"/>
      <c r="E774" s="20"/>
      <c r="F774" s="20"/>
      <c r="G774" s="20"/>
      <c r="H774" s="20"/>
      <c r="I774" s="20"/>
      <c r="J774" s="21"/>
      <c r="K774" s="21"/>
      <c r="L774" s="21"/>
      <c r="M774" s="21"/>
      <c r="N774" s="22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</row>
    <row r="775" spans="1:45" ht="12.75" customHeight="1" x14ac:dyDescent="0.25">
      <c r="A775" s="20"/>
      <c r="B775" s="20"/>
      <c r="C775" s="20"/>
      <c r="D775" s="20"/>
      <c r="E775" s="20"/>
      <c r="F775" s="20"/>
      <c r="G775" s="20"/>
      <c r="H775" s="20"/>
      <c r="I775" s="20"/>
      <c r="J775" s="21"/>
      <c r="K775" s="21"/>
      <c r="L775" s="21"/>
      <c r="M775" s="21"/>
      <c r="N775" s="22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</row>
    <row r="776" spans="1:45" ht="12.75" customHeight="1" x14ac:dyDescent="0.25">
      <c r="A776" s="20"/>
      <c r="B776" s="20"/>
      <c r="C776" s="20"/>
      <c r="D776" s="20"/>
      <c r="E776" s="20"/>
      <c r="F776" s="20"/>
      <c r="G776" s="20"/>
      <c r="H776" s="20"/>
      <c r="I776" s="20"/>
      <c r="J776" s="21"/>
      <c r="K776" s="21"/>
      <c r="L776" s="21"/>
      <c r="M776" s="21"/>
      <c r="N776" s="22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</row>
    <row r="777" spans="1:45" ht="12.75" customHeight="1" x14ac:dyDescent="0.25">
      <c r="A777" s="20"/>
      <c r="B777" s="20"/>
      <c r="C777" s="20"/>
      <c r="D777" s="20"/>
      <c r="E777" s="20"/>
      <c r="F777" s="20"/>
      <c r="G777" s="20"/>
      <c r="H777" s="20"/>
      <c r="I777" s="20"/>
      <c r="J777" s="21"/>
      <c r="K777" s="21"/>
      <c r="L777" s="21"/>
      <c r="M777" s="21"/>
      <c r="N777" s="22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</row>
    <row r="778" spans="1:45" ht="12.75" customHeight="1" x14ac:dyDescent="0.25">
      <c r="A778" s="20"/>
      <c r="B778" s="20"/>
      <c r="C778" s="20"/>
      <c r="D778" s="20"/>
      <c r="E778" s="20"/>
      <c r="F778" s="20"/>
      <c r="G778" s="20"/>
      <c r="H778" s="20"/>
      <c r="I778" s="20"/>
      <c r="J778" s="21"/>
      <c r="K778" s="21"/>
      <c r="L778" s="21"/>
      <c r="M778" s="21"/>
      <c r="N778" s="22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</row>
    <row r="779" spans="1:45" ht="12.75" customHeight="1" x14ac:dyDescent="0.25">
      <c r="A779" s="20"/>
      <c r="B779" s="20"/>
      <c r="C779" s="20"/>
      <c r="D779" s="20"/>
      <c r="E779" s="20"/>
      <c r="F779" s="20"/>
      <c r="G779" s="20"/>
      <c r="H779" s="20"/>
      <c r="I779" s="20"/>
      <c r="J779" s="21"/>
      <c r="K779" s="21"/>
      <c r="L779" s="21"/>
      <c r="M779" s="21"/>
      <c r="N779" s="22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</row>
    <row r="780" spans="1:45" ht="12.75" customHeight="1" x14ac:dyDescent="0.25">
      <c r="A780" s="20"/>
      <c r="B780" s="20"/>
      <c r="C780" s="20"/>
      <c r="D780" s="20"/>
      <c r="E780" s="20"/>
      <c r="F780" s="20"/>
      <c r="G780" s="20"/>
      <c r="H780" s="20"/>
      <c r="I780" s="20"/>
      <c r="J780" s="21"/>
      <c r="K780" s="21"/>
      <c r="L780" s="21"/>
      <c r="M780" s="21"/>
      <c r="N780" s="22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</row>
    <row r="781" spans="1:45" ht="12.75" customHeight="1" x14ac:dyDescent="0.25">
      <c r="A781" s="20"/>
      <c r="B781" s="20"/>
      <c r="C781" s="20"/>
      <c r="D781" s="20"/>
      <c r="E781" s="20"/>
      <c r="F781" s="20"/>
      <c r="G781" s="20"/>
      <c r="H781" s="20"/>
      <c r="I781" s="20"/>
      <c r="J781" s="21"/>
      <c r="K781" s="21"/>
      <c r="L781" s="21"/>
      <c r="M781" s="21"/>
      <c r="N781" s="22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</row>
    <row r="782" spans="1:45" ht="12.75" customHeight="1" x14ac:dyDescent="0.25">
      <c r="A782" s="20"/>
      <c r="B782" s="20"/>
      <c r="C782" s="20"/>
      <c r="D782" s="20"/>
      <c r="E782" s="20"/>
      <c r="F782" s="20"/>
      <c r="G782" s="20"/>
      <c r="H782" s="20"/>
      <c r="I782" s="20"/>
      <c r="J782" s="21"/>
      <c r="K782" s="21"/>
      <c r="L782" s="21"/>
      <c r="M782" s="21"/>
      <c r="N782" s="22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</row>
    <row r="783" spans="1:45" ht="12.75" customHeight="1" x14ac:dyDescent="0.25">
      <c r="A783" s="20"/>
      <c r="B783" s="20"/>
      <c r="C783" s="20"/>
      <c r="D783" s="20"/>
      <c r="E783" s="20"/>
      <c r="F783" s="20"/>
      <c r="G783" s="20"/>
      <c r="H783" s="20"/>
      <c r="I783" s="20"/>
      <c r="J783" s="21"/>
      <c r="K783" s="21"/>
      <c r="L783" s="21"/>
      <c r="M783" s="21"/>
      <c r="N783" s="22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</row>
    <row r="784" spans="1:45" ht="12.75" customHeight="1" x14ac:dyDescent="0.25">
      <c r="A784" s="20"/>
      <c r="B784" s="20"/>
      <c r="C784" s="20"/>
      <c r="D784" s="20"/>
      <c r="E784" s="20"/>
      <c r="F784" s="20"/>
      <c r="G784" s="20"/>
      <c r="H784" s="20"/>
      <c r="I784" s="20"/>
      <c r="J784" s="21"/>
      <c r="K784" s="21"/>
      <c r="L784" s="21"/>
      <c r="M784" s="21"/>
      <c r="N784" s="22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</row>
    <row r="785" spans="1:45" ht="12.75" customHeight="1" x14ac:dyDescent="0.25">
      <c r="A785" s="20"/>
      <c r="B785" s="20"/>
      <c r="C785" s="20"/>
      <c r="D785" s="20"/>
      <c r="E785" s="20"/>
      <c r="F785" s="20"/>
      <c r="G785" s="20"/>
      <c r="H785" s="20"/>
      <c r="I785" s="20"/>
      <c r="J785" s="21"/>
      <c r="K785" s="21"/>
      <c r="L785" s="21"/>
      <c r="M785" s="21"/>
      <c r="N785" s="22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</row>
    <row r="786" spans="1:45" ht="12.75" customHeight="1" x14ac:dyDescent="0.25">
      <c r="A786" s="20"/>
      <c r="B786" s="20"/>
      <c r="C786" s="20"/>
      <c r="D786" s="20"/>
      <c r="E786" s="20"/>
      <c r="F786" s="20"/>
      <c r="G786" s="20"/>
      <c r="H786" s="20"/>
      <c r="I786" s="20"/>
      <c r="J786" s="21"/>
      <c r="K786" s="21"/>
      <c r="L786" s="21"/>
      <c r="M786" s="21"/>
      <c r="N786" s="22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</row>
    <row r="787" spans="1:45" ht="12.75" customHeight="1" x14ac:dyDescent="0.25">
      <c r="A787" s="20"/>
      <c r="B787" s="20"/>
      <c r="C787" s="20"/>
      <c r="D787" s="20"/>
      <c r="E787" s="20"/>
      <c r="F787" s="20"/>
      <c r="G787" s="20"/>
      <c r="H787" s="20"/>
      <c r="I787" s="20"/>
      <c r="J787" s="21"/>
      <c r="K787" s="21"/>
      <c r="L787" s="21"/>
      <c r="M787" s="21"/>
      <c r="N787" s="22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</row>
    <row r="788" spans="1:45" ht="12.75" customHeight="1" x14ac:dyDescent="0.25">
      <c r="A788" s="20"/>
      <c r="B788" s="20"/>
      <c r="C788" s="20"/>
      <c r="D788" s="20"/>
      <c r="E788" s="20"/>
      <c r="F788" s="20"/>
      <c r="G788" s="20"/>
      <c r="H788" s="20"/>
      <c r="I788" s="20"/>
      <c r="J788" s="21"/>
      <c r="K788" s="21"/>
      <c r="L788" s="21"/>
      <c r="M788" s="21"/>
      <c r="N788" s="22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</row>
    <row r="789" spans="1:45" ht="12.75" customHeight="1" x14ac:dyDescent="0.25">
      <c r="A789" s="20"/>
      <c r="B789" s="20"/>
      <c r="C789" s="20"/>
      <c r="D789" s="20"/>
      <c r="E789" s="20"/>
      <c r="F789" s="20"/>
      <c r="G789" s="20"/>
      <c r="H789" s="20"/>
      <c r="I789" s="20"/>
      <c r="J789" s="21"/>
      <c r="K789" s="21"/>
      <c r="L789" s="21"/>
      <c r="M789" s="21"/>
      <c r="N789" s="22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</row>
    <row r="790" spans="1:45" ht="12.75" customHeight="1" x14ac:dyDescent="0.25">
      <c r="A790" s="20"/>
      <c r="B790" s="20"/>
      <c r="C790" s="20"/>
      <c r="D790" s="20"/>
      <c r="E790" s="20"/>
      <c r="F790" s="20"/>
      <c r="G790" s="20"/>
      <c r="H790" s="20"/>
      <c r="I790" s="20"/>
      <c r="J790" s="21"/>
      <c r="K790" s="21"/>
      <c r="L790" s="21"/>
      <c r="M790" s="21"/>
      <c r="N790" s="22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</row>
    <row r="791" spans="1:45" ht="12.75" customHeight="1" x14ac:dyDescent="0.25">
      <c r="A791" s="20"/>
      <c r="B791" s="20"/>
      <c r="C791" s="20"/>
      <c r="D791" s="20"/>
      <c r="E791" s="20"/>
      <c r="F791" s="20"/>
      <c r="G791" s="20"/>
      <c r="H791" s="20"/>
      <c r="I791" s="20"/>
      <c r="J791" s="21"/>
      <c r="K791" s="21"/>
      <c r="L791" s="21"/>
      <c r="M791" s="21"/>
      <c r="N791" s="22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</row>
    <row r="792" spans="1:45" ht="12.75" customHeight="1" x14ac:dyDescent="0.25">
      <c r="A792" s="20"/>
      <c r="B792" s="20"/>
      <c r="C792" s="20"/>
      <c r="D792" s="20"/>
      <c r="E792" s="20"/>
      <c r="F792" s="20"/>
      <c r="G792" s="20"/>
      <c r="H792" s="20"/>
      <c r="I792" s="20"/>
      <c r="J792" s="21"/>
      <c r="K792" s="21"/>
      <c r="L792" s="21"/>
      <c r="M792" s="21"/>
      <c r="N792" s="22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</row>
    <row r="793" spans="1:45" ht="12.75" customHeight="1" x14ac:dyDescent="0.25">
      <c r="A793" s="20"/>
      <c r="B793" s="20"/>
      <c r="C793" s="20"/>
      <c r="D793" s="20"/>
      <c r="E793" s="20"/>
      <c r="F793" s="20"/>
      <c r="G793" s="20"/>
      <c r="H793" s="20"/>
      <c r="I793" s="20"/>
      <c r="J793" s="21"/>
      <c r="K793" s="21"/>
      <c r="L793" s="21"/>
      <c r="M793" s="21"/>
      <c r="N793" s="22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</row>
    <row r="794" spans="1:45" ht="12.75" customHeight="1" x14ac:dyDescent="0.25">
      <c r="A794" s="20"/>
      <c r="B794" s="20"/>
      <c r="C794" s="20"/>
      <c r="D794" s="20"/>
      <c r="E794" s="20"/>
      <c r="F794" s="20"/>
      <c r="G794" s="20"/>
      <c r="H794" s="20"/>
      <c r="I794" s="20"/>
      <c r="J794" s="21"/>
      <c r="K794" s="21"/>
      <c r="L794" s="21"/>
      <c r="M794" s="21"/>
      <c r="N794" s="22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</row>
    <row r="795" spans="1:45" ht="12.75" customHeight="1" x14ac:dyDescent="0.25">
      <c r="A795" s="20"/>
      <c r="B795" s="20"/>
      <c r="C795" s="20"/>
      <c r="D795" s="20"/>
      <c r="E795" s="20"/>
      <c r="F795" s="20"/>
      <c r="G795" s="20"/>
      <c r="H795" s="20"/>
      <c r="I795" s="20"/>
      <c r="J795" s="21"/>
      <c r="K795" s="21"/>
      <c r="L795" s="21"/>
      <c r="M795" s="21"/>
      <c r="N795" s="22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</row>
    <row r="796" spans="1:45" ht="12.75" customHeight="1" x14ac:dyDescent="0.25">
      <c r="A796" s="20"/>
      <c r="B796" s="20"/>
      <c r="C796" s="20"/>
      <c r="D796" s="20"/>
      <c r="E796" s="20"/>
      <c r="F796" s="20"/>
      <c r="G796" s="20"/>
      <c r="H796" s="20"/>
      <c r="I796" s="20"/>
      <c r="J796" s="21"/>
      <c r="K796" s="21"/>
      <c r="L796" s="21"/>
      <c r="M796" s="21"/>
      <c r="N796" s="22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</row>
    <row r="797" spans="1:45" ht="12.75" customHeight="1" x14ac:dyDescent="0.25">
      <c r="A797" s="20"/>
      <c r="B797" s="20"/>
      <c r="C797" s="20"/>
      <c r="D797" s="20"/>
      <c r="E797" s="20"/>
      <c r="F797" s="20"/>
      <c r="G797" s="20"/>
      <c r="H797" s="20"/>
      <c r="I797" s="20"/>
      <c r="J797" s="21"/>
      <c r="K797" s="21"/>
      <c r="L797" s="21"/>
      <c r="M797" s="21"/>
      <c r="N797" s="22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</row>
    <row r="798" spans="1:45" ht="12.75" customHeight="1" x14ac:dyDescent="0.25">
      <c r="A798" s="20"/>
      <c r="B798" s="20"/>
      <c r="C798" s="20"/>
      <c r="D798" s="20"/>
      <c r="E798" s="20"/>
      <c r="F798" s="20"/>
      <c r="G798" s="20"/>
      <c r="H798" s="20"/>
      <c r="I798" s="20"/>
      <c r="J798" s="21"/>
      <c r="K798" s="21"/>
      <c r="L798" s="21"/>
      <c r="M798" s="21"/>
      <c r="N798" s="22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</row>
    <row r="799" spans="1:45" ht="12.75" customHeight="1" x14ac:dyDescent="0.25">
      <c r="A799" s="20"/>
      <c r="B799" s="20"/>
      <c r="C799" s="20"/>
      <c r="D799" s="20"/>
      <c r="E799" s="20"/>
      <c r="F799" s="20"/>
      <c r="G799" s="20"/>
      <c r="H799" s="20"/>
      <c r="I799" s="20"/>
      <c r="J799" s="21"/>
      <c r="K799" s="21"/>
      <c r="L799" s="21"/>
      <c r="M799" s="21"/>
      <c r="N799" s="22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</row>
    <row r="800" spans="1:45" ht="12.75" customHeight="1" x14ac:dyDescent="0.25">
      <c r="A800" s="20"/>
      <c r="B800" s="20"/>
      <c r="C800" s="20"/>
      <c r="D800" s="20"/>
      <c r="E800" s="20"/>
      <c r="F800" s="20"/>
      <c r="G800" s="20"/>
      <c r="H800" s="20"/>
      <c r="I800" s="20"/>
      <c r="J800" s="21"/>
      <c r="K800" s="21"/>
      <c r="L800" s="21"/>
      <c r="M800" s="21"/>
      <c r="N800" s="22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</row>
    <row r="801" spans="1:45" ht="12.75" customHeight="1" x14ac:dyDescent="0.25">
      <c r="A801" s="20"/>
      <c r="B801" s="20"/>
      <c r="C801" s="20"/>
      <c r="D801" s="20"/>
      <c r="E801" s="20"/>
      <c r="F801" s="20"/>
      <c r="G801" s="20"/>
      <c r="H801" s="20"/>
      <c r="I801" s="20"/>
      <c r="J801" s="21"/>
      <c r="K801" s="21"/>
      <c r="L801" s="21"/>
      <c r="M801" s="21"/>
      <c r="N801" s="22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</row>
    <row r="802" spans="1:45" ht="12.75" customHeight="1" x14ac:dyDescent="0.25">
      <c r="A802" s="20"/>
      <c r="B802" s="20"/>
      <c r="C802" s="20"/>
      <c r="D802" s="20"/>
      <c r="E802" s="20"/>
      <c r="F802" s="20"/>
      <c r="G802" s="20"/>
      <c r="H802" s="20"/>
      <c r="I802" s="20"/>
      <c r="J802" s="21"/>
      <c r="K802" s="21"/>
      <c r="L802" s="21"/>
      <c r="M802" s="21"/>
      <c r="N802" s="22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</row>
    <row r="803" spans="1:45" ht="12.75" customHeight="1" x14ac:dyDescent="0.25">
      <c r="A803" s="20"/>
      <c r="B803" s="20"/>
      <c r="C803" s="20"/>
      <c r="D803" s="20"/>
      <c r="E803" s="20"/>
      <c r="F803" s="20"/>
      <c r="G803" s="20"/>
      <c r="H803" s="20"/>
      <c r="I803" s="20"/>
      <c r="J803" s="21"/>
      <c r="K803" s="21"/>
      <c r="L803" s="21"/>
      <c r="M803" s="21"/>
      <c r="N803" s="22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</row>
    <row r="804" spans="1:45" ht="12.75" customHeight="1" x14ac:dyDescent="0.25">
      <c r="A804" s="20"/>
      <c r="B804" s="20"/>
      <c r="C804" s="20"/>
      <c r="D804" s="20"/>
      <c r="E804" s="20"/>
      <c r="F804" s="20"/>
      <c r="G804" s="20"/>
      <c r="H804" s="20"/>
      <c r="I804" s="20"/>
      <c r="J804" s="21"/>
      <c r="K804" s="21"/>
      <c r="L804" s="21"/>
      <c r="M804" s="21"/>
      <c r="N804" s="22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</row>
    <row r="805" spans="1:45" ht="12.75" customHeight="1" x14ac:dyDescent="0.25">
      <c r="A805" s="20"/>
      <c r="B805" s="20"/>
      <c r="C805" s="20"/>
      <c r="D805" s="20"/>
      <c r="E805" s="20"/>
      <c r="F805" s="20"/>
      <c r="G805" s="20"/>
      <c r="H805" s="20"/>
      <c r="I805" s="20"/>
      <c r="J805" s="21"/>
      <c r="K805" s="21"/>
      <c r="L805" s="21"/>
      <c r="M805" s="21"/>
      <c r="N805" s="22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</row>
    <row r="806" spans="1:45" ht="12.75" customHeight="1" x14ac:dyDescent="0.25">
      <c r="A806" s="20"/>
      <c r="B806" s="20"/>
      <c r="C806" s="20"/>
      <c r="D806" s="20"/>
      <c r="E806" s="20"/>
      <c r="F806" s="20"/>
      <c r="G806" s="20"/>
      <c r="H806" s="20"/>
      <c r="I806" s="20"/>
      <c r="J806" s="21"/>
      <c r="K806" s="21"/>
      <c r="L806" s="21"/>
      <c r="M806" s="21"/>
      <c r="N806" s="22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</row>
    <row r="807" spans="1:45" ht="12.75" customHeight="1" x14ac:dyDescent="0.25">
      <c r="A807" s="20"/>
      <c r="B807" s="20"/>
      <c r="C807" s="20"/>
      <c r="D807" s="20"/>
      <c r="E807" s="20"/>
      <c r="F807" s="20"/>
      <c r="G807" s="20"/>
      <c r="H807" s="20"/>
      <c r="I807" s="20"/>
      <c r="J807" s="21"/>
      <c r="K807" s="21"/>
      <c r="L807" s="21"/>
      <c r="M807" s="21"/>
      <c r="N807" s="22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</row>
    <row r="808" spans="1:45" ht="12.75" customHeight="1" x14ac:dyDescent="0.25">
      <c r="A808" s="20"/>
      <c r="B808" s="20"/>
      <c r="C808" s="20"/>
      <c r="D808" s="20"/>
      <c r="E808" s="20"/>
      <c r="F808" s="20"/>
      <c r="G808" s="20"/>
      <c r="H808" s="20"/>
      <c r="I808" s="20"/>
      <c r="J808" s="21"/>
      <c r="K808" s="21"/>
      <c r="L808" s="21"/>
      <c r="M808" s="21"/>
      <c r="N808" s="22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</row>
    <row r="809" spans="1:45" ht="12.75" customHeight="1" x14ac:dyDescent="0.25">
      <c r="A809" s="20"/>
      <c r="B809" s="20"/>
      <c r="C809" s="20"/>
      <c r="D809" s="20"/>
      <c r="E809" s="20"/>
      <c r="F809" s="20"/>
      <c r="G809" s="20"/>
      <c r="H809" s="20"/>
      <c r="I809" s="20"/>
      <c r="J809" s="21"/>
      <c r="K809" s="21"/>
      <c r="L809" s="21"/>
      <c r="M809" s="21"/>
      <c r="N809" s="22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</row>
    <row r="810" spans="1:45" ht="12.75" customHeight="1" x14ac:dyDescent="0.25">
      <c r="A810" s="20"/>
      <c r="B810" s="20"/>
      <c r="C810" s="20"/>
      <c r="D810" s="20"/>
      <c r="E810" s="20"/>
      <c r="F810" s="20"/>
      <c r="G810" s="20"/>
      <c r="H810" s="20"/>
      <c r="I810" s="20"/>
      <c r="J810" s="21"/>
      <c r="K810" s="21"/>
      <c r="L810" s="21"/>
      <c r="M810" s="21"/>
      <c r="N810" s="22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</row>
    <row r="811" spans="1:45" ht="12.75" customHeight="1" x14ac:dyDescent="0.25">
      <c r="A811" s="20"/>
      <c r="B811" s="20"/>
      <c r="C811" s="20"/>
      <c r="D811" s="20"/>
      <c r="E811" s="20"/>
      <c r="F811" s="20"/>
      <c r="G811" s="20"/>
      <c r="H811" s="20"/>
      <c r="I811" s="20"/>
      <c r="J811" s="21"/>
      <c r="K811" s="21"/>
      <c r="L811" s="21"/>
      <c r="M811" s="21"/>
      <c r="N811" s="22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</row>
    <row r="812" spans="1:45" ht="12.75" customHeight="1" x14ac:dyDescent="0.25">
      <c r="A812" s="20"/>
      <c r="B812" s="20"/>
      <c r="C812" s="20"/>
      <c r="D812" s="20"/>
      <c r="E812" s="20"/>
      <c r="F812" s="20"/>
      <c r="G812" s="20"/>
      <c r="H812" s="20"/>
      <c r="I812" s="20"/>
      <c r="J812" s="21"/>
      <c r="K812" s="21"/>
      <c r="L812" s="21"/>
      <c r="M812" s="21"/>
      <c r="N812" s="22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</row>
    <row r="813" spans="1:45" ht="12.75" customHeight="1" x14ac:dyDescent="0.25">
      <c r="A813" s="20"/>
      <c r="B813" s="20"/>
      <c r="C813" s="20"/>
      <c r="D813" s="20"/>
      <c r="E813" s="20"/>
      <c r="F813" s="20"/>
      <c r="G813" s="20"/>
      <c r="H813" s="20"/>
      <c r="I813" s="20"/>
      <c r="J813" s="21"/>
      <c r="K813" s="21"/>
      <c r="L813" s="21"/>
      <c r="M813" s="21"/>
      <c r="N813" s="22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</row>
    <row r="814" spans="1:45" ht="12.75" customHeight="1" x14ac:dyDescent="0.25">
      <c r="A814" s="20"/>
      <c r="B814" s="20"/>
      <c r="C814" s="20"/>
      <c r="D814" s="20"/>
      <c r="E814" s="20"/>
      <c r="F814" s="20"/>
      <c r="G814" s="20"/>
      <c r="H814" s="20"/>
      <c r="I814" s="20"/>
      <c r="J814" s="21"/>
      <c r="K814" s="21"/>
      <c r="L814" s="21"/>
      <c r="M814" s="21"/>
      <c r="N814" s="22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</row>
    <row r="815" spans="1:45" ht="12.75" customHeight="1" x14ac:dyDescent="0.25">
      <c r="A815" s="20"/>
      <c r="B815" s="20"/>
      <c r="C815" s="20"/>
      <c r="D815" s="20"/>
      <c r="E815" s="20"/>
      <c r="F815" s="20"/>
      <c r="G815" s="20"/>
      <c r="H815" s="20"/>
      <c r="I815" s="20"/>
      <c r="J815" s="21"/>
      <c r="K815" s="21"/>
      <c r="L815" s="21"/>
      <c r="M815" s="21"/>
      <c r="N815" s="22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</row>
    <row r="816" spans="1:45" ht="12.75" customHeight="1" x14ac:dyDescent="0.25">
      <c r="A816" s="20"/>
      <c r="B816" s="20"/>
      <c r="C816" s="20"/>
      <c r="D816" s="20"/>
      <c r="E816" s="20"/>
      <c r="F816" s="20"/>
      <c r="G816" s="20"/>
      <c r="H816" s="20"/>
      <c r="I816" s="20"/>
      <c r="J816" s="21"/>
      <c r="K816" s="21"/>
      <c r="L816" s="21"/>
      <c r="M816" s="21"/>
      <c r="N816" s="22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</row>
    <row r="817" spans="1:45" ht="12.75" customHeight="1" x14ac:dyDescent="0.25">
      <c r="A817" s="20"/>
      <c r="B817" s="20"/>
      <c r="C817" s="20"/>
      <c r="D817" s="20"/>
      <c r="E817" s="20"/>
      <c r="F817" s="20"/>
      <c r="G817" s="20"/>
      <c r="H817" s="20"/>
      <c r="I817" s="20"/>
      <c r="J817" s="21"/>
      <c r="K817" s="21"/>
      <c r="L817" s="21"/>
      <c r="M817" s="21"/>
      <c r="N817" s="22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</row>
    <row r="818" spans="1:45" ht="12.75" customHeight="1" x14ac:dyDescent="0.25">
      <c r="A818" s="20"/>
      <c r="B818" s="20"/>
      <c r="C818" s="20"/>
      <c r="D818" s="20"/>
      <c r="E818" s="20"/>
      <c r="F818" s="20"/>
      <c r="G818" s="20"/>
      <c r="H818" s="20"/>
      <c r="I818" s="20"/>
      <c r="J818" s="21"/>
      <c r="K818" s="21"/>
      <c r="L818" s="21"/>
      <c r="M818" s="21"/>
      <c r="N818" s="22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</row>
    <row r="819" spans="1:45" ht="12.75" customHeight="1" x14ac:dyDescent="0.25">
      <c r="A819" s="20"/>
      <c r="B819" s="20"/>
      <c r="C819" s="20"/>
      <c r="D819" s="20"/>
      <c r="E819" s="20"/>
      <c r="F819" s="20"/>
      <c r="G819" s="20"/>
      <c r="H819" s="20"/>
      <c r="I819" s="20"/>
      <c r="J819" s="21"/>
      <c r="K819" s="21"/>
      <c r="L819" s="21"/>
      <c r="M819" s="21"/>
      <c r="N819" s="22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</row>
    <row r="820" spans="1:45" ht="12.75" customHeight="1" x14ac:dyDescent="0.25">
      <c r="A820" s="20"/>
      <c r="B820" s="20"/>
      <c r="C820" s="20"/>
      <c r="D820" s="20"/>
      <c r="E820" s="20"/>
      <c r="F820" s="20"/>
      <c r="G820" s="20"/>
      <c r="H820" s="20"/>
      <c r="I820" s="20"/>
      <c r="J820" s="21"/>
      <c r="K820" s="21"/>
      <c r="L820" s="21"/>
      <c r="M820" s="21"/>
      <c r="N820" s="22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</row>
    <row r="821" spans="1:45" ht="12.75" customHeight="1" x14ac:dyDescent="0.25">
      <c r="A821" s="20"/>
      <c r="B821" s="20"/>
      <c r="C821" s="20"/>
      <c r="D821" s="20"/>
      <c r="E821" s="20"/>
      <c r="F821" s="20"/>
      <c r="G821" s="20"/>
      <c r="H821" s="20"/>
      <c r="I821" s="20"/>
      <c r="J821" s="21"/>
      <c r="K821" s="21"/>
      <c r="L821" s="21"/>
      <c r="M821" s="21"/>
      <c r="N821" s="22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</row>
    <row r="822" spans="1:45" ht="12.75" customHeight="1" x14ac:dyDescent="0.25">
      <c r="A822" s="20"/>
      <c r="B822" s="20"/>
      <c r="C822" s="20"/>
      <c r="D822" s="20"/>
      <c r="E822" s="20"/>
      <c r="F822" s="20"/>
      <c r="G822" s="20"/>
      <c r="H822" s="20"/>
      <c r="I822" s="20"/>
      <c r="J822" s="21"/>
      <c r="K822" s="21"/>
      <c r="L822" s="21"/>
      <c r="M822" s="21"/>
      <c r="N822" s="22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</row>
    <row r="823" spans="1:45" ht="12.75" customHeight="1" x14ac:dyDescent="0.25">
      <c r="A823" s="20"/>
      <c r="B823" s="20"/>
      <c r="C823" s="20"/>
      <c r="D823" s="20"/>
      <c r="E823" s="20"/>
      <c r="F823" s="20"/>
      <c r="G823" s="20"/>
      <c r="H823" s="20"/>
      <c r="I823" s="20"/>
      <c r="J823" s="21"/>
      <c r="K823" s="21"/>
      <c r="L823" s="21"/>
      <c r="M823" s="21"/>
      <c r="N823" s="22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</row>
    <row r="824" spans="1:45" ht="12.75" customHeight="1" x14ac:dyDescent="0.25">
      <c r="A824" s="20"/>
      <c r="B824" s="20"/>
      <c r="C824" s="20"/>
      <c r="D824" s="20"/>
      <c r="E824" s="20"/>
      <c r="F824" s="20"/>
      <c r="G824" s="20"/>
      <c r="H824" s="20"/>
      <c r="I824" s="20"/>
      <c r="J824" s="21"/>
      <c r="K824" s="21"/>
      <c r="L824" s="21"/>
      <c r="M824" s="21"/>
      <c r="N824" s="22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</row>
    <row r="825" spans="1:45" ht="12.75" customHeight="1" x14ac:dyDescent="0.25">
      <c r="A825" s="20"/>
      <c r="B825" s="20"/>
      <c r="C825" s="20"/>
      <c r="D825" s="20"/>
      <c r="E825" s="20"/>
      <c r="F825" s="20"/>
      <c r="G825" s="20"/>
      <c r="H825" s="20"/>
      <c r="I825" s="20"/>
      <c r="J825" s="21"/>
      <c r="K825" s="21"/>
      <c r="L825" s="21"/>
      <c r="M825" s="21"/>
      <c r="N825" s="22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</row>
    <row r="826" spans="1:45" ht="12.75" customHeight="1" x14ac:dyDescent="0.25">
      <c r="A826" s="20"/>
      <c r="B826" s="20"/>
      <c r="C826" s="20"/>
      <c r="D826" s="20"/>
      <c r="E826" s="20"/>
      <c r="F826" s="20"/>
      <c r="G826" s="20"/>
      <c r="H826" s="20"/>
      <c r="I826" s="20"/>
      <c r="J826" s="21"/>
      <c r="K826" s="21"/>
      <c r="L826" s="21"/>
      <c r="M826" s="21"/>
      <c r="N826" s="22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</row>
    <row r="827" spans="1:45" ht="12.75" customHeight="1" x14ac:dyDescent="0.25">
      <c r="A827" s="20"/>
      <c r="B827" s="20"/>
      <c r="C827" s="20"/>
      <c r="D827" s="20"/>
      <c r="E827" s="20"/>
      <c r="F827" s="20"/>
      <c r="G827" s="20"/>
      <c r="H827" s="20"/>
      <c r="I827" s="20"/>
      <c r="J827" s="21"/>
      <c r="K827" s="21"/>
      <c r="L827" s="21"/>
      <c r="M827" s="21"/>
      <c r="N827" s="22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</row>
    <row r="828" spans="1:45" ht="12.75" customHeight="1" x14ac:dyDescent="0.25">
      <c r="A828" s="20"/>
      <c r="B828" s="20"/>
      <c r="C828" s="20"/>
      <c r="D828" s="20"/>
      <c r="E828" s="20"/>
      <c r="F828" s="20"/>
      <c r="G828" s="20"/>
      <c r="H828" s="20"/>
      <c r="I828" s="20"/>
      <c r="J828" s="21"/>
      <c r="K828" s="21"/>
      <c r="L828" s="21"/>
      <c r="M828" s="21"/>
      <c r="N828" s="22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</row>
    <row r="829" spans="1:45" ht="12.75" customHeight="1" x14ac:dyDescent="0.25">
      <c r="A829" s="20"/>
      <c r="B829" s="20"/>
      <c r="C829" s="20"/>
      <c r="D829" s="20"/>
      <c r="E829" s="20"/>
      <c r="F829" s="20"/>
      <c r="G829" s="20"/>
      <c r="H829" s="20"/>
      <c r="I829" s="20"/>
      <c r="J829" s="21"/>
      <c r="K829" s="21"/>
      <c r="L829" s="21"/>
      <c r="M829" s="21"/>
      <c r="N829" s="22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</row>
    <row r="830" spans="1:45" ht="12.75" customHeight="1" x14ac:dyDescent="0.25">
      <c r="A830" s="20"/>
      <c r="B830" s="20"/>
      <c r="C830" s="20"/>
      <c r="D830" s="20"/>
      <c r="E830" s="20"/>
      <c r="F830" s="20"/>
      <c r="G830" s="20"/>
      <c r="H830" s="20"/>
      <c r="I830" s="20"/>
      <c r="J830" s="21"/>
      <c r="K830" s="21"/>
      <c r="L830" s="21"/>
      <c r="M830" s="21"/>
      <c r="N830" s="22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</row>
    <row r="831" spans="1:45" ht="12.75" customHeight="1" x14ac:dyDescent="0.25">
      <c r="A831" s="20"/>
      <c r="B831" s="20"/>
      <c r="C831" s="20"/>
      <c r="D831" s="20"/>
      <c r="E831" s="20"/>
      <c r="F831" s="20"/>
      <c r="G831" s="20"/>
      <c r="H831" s="20"/>
      <c r="I831" s="20"/>
      <c r="J831" s="21"/>
      <c r="K831" s="21"/>
      <c r="L831" s="21"/>
      <c r="M831" s="21"/>
      <c r="N831" s="22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</row>
    <row r="832" spans="1:45" ht="12.75" customHeight="1" x14ac:dyDescent="0.25">
      <c r="A832" s="20"/>
      <c r="B832" s="20"/>
      <c r="C832" s="20"/>
      <c r="D832" s="20"/>
      <c r="E832" s="20"/>
      <c r="F832" s="20"/>
      <c r="G832" s="20"/>
      <c r="H832" s="20"/>
      <c r="I832" s="20"/>
      <c r="J832" s="21"/>
      <c r="K832" s="21"/>
      <c r="L832" s="21"/>
      <c r="M832" s="21"/>
      <c r="N832" s="22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</row>
    <row r="833" spans="1:45" ht="12.75" customHeight="1" x14ac:dyDescent="0.25">
      <c r="A833" s="20"/>
      <c r="B833" s="20"/>
      <c r="C833" s="20"/>
      <c r="D833" s="20"/>
      <c r="E833" s="20"/>
      <c r="F833" s="20"/>
      <c r="G833" s="20"/>
      <c r="H833" s="20"/>
      <c r="I833" s="20"/>
      <c r="J833" s="21"/>
      <c r="K833" s="21"/>
      <c r="L833" s="21"/>
      <c r="M833" s="21"/>
      <c r="N833" s="22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</row>
    <row r="834" spans="1:45" ht="12.75" customHeight="1" x14ac:dyDescent="0.25">
      <c r="A834" s="20"/>
      <c r="B834" s="20"/>
      <c r="C834" s="20"/>
      <c r="D834" s="20"/>
      <c r="E834" s="20"/>
      <c r="F834" s="20"/>
      <c r="G834" s="20"/>
      <c r="H834" s="20"/>
      <c r="I834" s="20"/>
      <c r="J834" s="21"/>
      <c r="K834" s="21"/>
      <c r="L834" s="21"/>
      <c r="M834" s="21"/>
      <c r="N834" s="22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</row>
    <row r="835" spans="1:45" ht="12.75" customHeight="1" x14ac:dyDescent="0.25">
      <c r="A835" s="20"/>
      <c r="B835" s="20"/>
      <c r="C835" s="20"/>
      <c r="D835" s="20"/>
      <c r="E835" s="20"/>
      <c r="F835" s="20"/>
      <c r="G835" s="20"/>
      <c r="H835" s="20"/>
      <c r="I835" s="20"/>
      <c r="J835" s="21"/>
      <c r="K835" s="21"/>
      <c r="L835" s="21"/>
      <c r="M835" s="21"/>
      <c r="N835" s="22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</row>
    <row r="836" spans="1:45" ht="12.75" customHeight="1" x14ac:dyDescent="0.25">
      <c r="A836" s="20"/>
      <c r="B836" s="20"/>
      <c r="C836" s="20"/>
      <c r="D836" s="20"/>
      <c r="E836" s="20"/>
      <c r="F836" s="20"/>
      <c r="G836" s="20"/>
      <c r="H836" s="20"/>
      <c r="I836" s="20"/>
      <c r="J836" s="21"/>
      <c r="K836" s="21"/>
      <c r="L836" s="21"/>
      <c r="M836" s="21"/>
      <c r="N836" s="22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</row>
    <row r="837" spans="1:45" ht="12.75" customHeight="1" x14ac:dyDescent="0.25">
      <c r="A837" s="20"/>
      <c r="B837" s="20"/>
      <c r="C837" s="20"/>
      <c r="D837" s="20"/>
      <c r="E837" s="20"/>
      <c r="F837" s="20"/>
      <c r="G837" s="20"/>
      <c r="H837" s="20"/>
      <c r="I837" s="20"/>
      <c r="J837" s="21"/>
      <c r="K837" s="21"/>
      <c r="L837" s="21"/>
      <c r="M837" s="21"/>
      <c r="N837" s="22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</row>
    <row r="838" spans="1:45" ht="12.75" customHeight="1" x14ac:dyDescent="0.25">
      <c r="A838" s="20"/>
      <c r="B838" s="20"/>
      <c r="C838" s="20"/>
      <c r="D838" s="20"/>
      <c r="E838" s="20"/>
      <c r="F838" s="20"/>
      <c r="G838" s="20"/>
      <c r="H838" s="20"/>
      <c r="I838" s="20"/>
      <c r="J838" s="21"/>
      <c r="K838" s="21"/>
      <c r="L838" s="21"/>
      <c r="M838" s="21"/>
      <c r="N838" s="22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</row>
    <row r="839" spans="1:45" ht="12.75" customHeight="1" x14ac:dyDescent="0.25">
      <c r="A839" s="20"/>
      <c r="B839" s="20"/>
      <c r="C839" s="20"/>
      <c r="D839" s="20"/>
      <c r="E839" s="20"/>
      <c r="F839" s="20"/>
      <c r="G839" s="20"/>
      <c r="H839" s="20"/>
      <c r="I839" s="20"/>
      <c r="J839" s="21"/>
      <c r="K839" s="21"/>
      <c r="L839" s="21"/>
      <c r="M839" s="21"/>
      <c r="N839" s="22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</row>
    <row r="840" spans="1:45" ht="12.75" customHeight="1" x14ac:dyDescent="0.25">
      <c r="A840" s="20"/>
      <c r="B840" s="20"/>
      <c r="C840" s="20"/>
      <c r="D840" s="20"/>
      <c r="E840" s="20"/>
      <c r="F840" s="20"/>
      <c r="G840" s="20"/>
      <c r="H840" s="20"/>
      <c r="I840" s="20"/>
      <c r="J840" s="21"/>
      <c r="K840" s="21"/>
      <c r="L840" s="21"/>
      <c r="M840" s="21"/>
      <c r="N840" s="22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</row>
    <row r="841" spans="1:45" ht="12.75" customHeight="1" x14ac:dyDescent="0.25">
      <c r="A841" s="20"/>
      <c r="B841" s="20"/>
      <c r="C841" s="20"/>
      <c r="D841" s="20"/>
      <c r="E841" s="20"/>
      <c r="F841" s="20"/>
      <c r="G841" s="20"/>
      <c r="H841" s="20"/>
      <c r="I841" s="20"/>
      <c r="J841" s="21"/>
      <c r="K841" s="21"/>
      <c r="L841" s="21"/>
      <c r="M841" s="21"/>
      <c r="N841" s="22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</row>
    <row r="842" spans="1:45" ht="12.75" customHeight="1" x14ac:dyDescent="0.25">
      <c r="A842" s="20"/>
      <c r="B842" s="20"/>
      <c r="C842" s="20"/>
      <c r="D842" s="20"/>
      <c r="E842" s="20"/>
      <c r="F842" s="20"/>
      <c r="G842" s="20"/>
      <c r="H842" s="20"/>
      <c r="I842" s="20"/>
      <c r="J842" s="21"/>
      <c r="K842" s="21"/>
      <c r="L842" s="21"/>
      <c r="M842" s="21"/>
      <c r="N842" s="22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</row>
    <row r="843" spans="1:45" ht="12.75" customHeight="1" x14ac:dyDescent="0.25">
      <c r="A843" s="20"/>
      <c r="B843" s="20"/>
      <c r="C843" s="20"/>
      <c r="D843" s="20"/>
      <c r="E843" s="20"/>
      <c r="F843" s="20"/>
      <c r="G843" s="20"/>
      <c r="H843" s="20"/>
      <c r="I843" s="20"/>
      <c r="J843" s="21"/>
      <c r="K843" s="21"/>
      <c r="L843" s="21"/>
      <c r="M843" s="21"/>
      <c r="N843" s="22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</row>
    <row r="844" spans="1:45" ht="12.75" customHeight="1" x14ac:dyDescent="0.25">
      <c r="A844" s="20"/>
      <c r="B844" s="20"/>
      <c r="C844" s="20"/>
      <c r="D844" s="20"/>
      <c r="E844" s="20"/>
      <c r="F844" s="20"/>
      <c r="G844" s="20"/>
      <c r="H844" s="20"/>
      <c r="I844" s="20"/>
      <c r="J844" s="21"/>
      <c r="K844" s="21"/>
      <c r="L844" s="21"/>
      <c r="M844" s="21"/>
      <c r="N844" s="22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</row>
    <row r="845" spans="1:45" ht="12.75" customHeight="1" x14ac:dyDescent="0.25">
      <c r="A845" s="20"/>
      <c r="B845" s="20"/>
      <c r="C845" s="20"/>
      <c r="D845" s="20"/>
      <c r="E845" s="20"/>
      <c r="F845" s="20"/>
      <c r="G845" s="20"/>
      <c r="H845" s="20"/>
      <c r="I845" s="20"/>
      <c r="J845" s="21"/>
      <c r="K845" s="21"/>
      <c r="L845" s="21"/>
      <c r="M845" s="21"/>
      <c r="N845" s="22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</row>
    <row r="846" spans="1:45" ht="12.75" customHeight="1" x14ac:dyDescent="0.25">
      <c r="A846" s="20"/>
      <c r="B846" s="20"/>
      <c r="C846" s="20"/>
      <c r="D846" s="20"/>
      <c r="E846" s="20"/>
      <c r="F846" s="20"/>
      <c r="G846" s="20"/>
      <c r="H846" s="20"/>
      <c r="I846" s="20"/>
      <c r="J846" s="21"/>
      <c r="K846" s="21"/>
      <c r="L846" s="21"/>
      <c r="M846" s="21"/>
      <c r="N846" s="22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</row>
    <row r="847" spans="1:45" ht="12.75" customHeight="1" x14ac:dyDescent="0.25">
      <c r="A847" s="20"/>
      <c r="B847" s="20"/>
      <c r="C847" s="20"/>
      <c r="D847" s="20"/>
      <c r="E847" s="20"/>
      <c r="F847" s="20"/>
      <c r="G847" s="20"/>
      <c r="H847" s="20"/>
      <c r="I847" s="20"/>
      <c r="J847" s="21"/>
      <c r="K847" s="21"/>
      <c r="L847" s="21"/>
      <c r="M847" s="21"/>
      <c r="N847" s="22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</row>
    <row r="848" spans="1:45" ht="12.75" customHeight="1" x14ac:dyDescent="0.25">
      <c r="A848" s="20"/>
      <c r="B848" s="20"/>
      <c r="C848" s="20"/>
      <c r="D848" s="20"/>
      <c r="E848" s="20"/>
      <c r="F848" s="20"/>
      <c r="G848" s="20"/>
      <c r="H848" s="20"/>
      <c r="I848" s="20"/>
      <c r="J848" s="21"/>
      <c r="K848" s="21"/>
      <c r="L848" s="21"/>
      <c r="M848" s="21"/>
      <c r="N848" s="22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</row>
    <row r="849" spans="1:45" ht="12.75" customHeight="1" x14ac:dyDescent="0.25">
      <c r="A849" s="20"/>
      <c r="B849" s="20"/>
      <c r="C849" s="20"/>
      <c r="D849" s="20"/>
      <c r="E849" s="20"/>
      <c r="F849" s="20"/>
      <c r="G849" s="20"/>
      <c r="H849" s="20"/>
      <c r="I849" s="20"/>
      <c r="J849" s="21"/>
      <c r="K849" s="21"/>
      <c r="L849" s="21"/>
      <c r="M849" s="21"/>
      <c r="N849" s="22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</row>
    <row r="850" spans="1:45" ht="12.75" customHeight="1" x14ac:dyDescent="0.25">
      <c r="A850" s="20"/>
      <c r="B850" s="20"/>
      <c r="C850" s="20"/>
      <c r="D850" s="20"/>
      <c r="E850" s="20"/>
      <c r="F850" s="20"/>
      <c r="G850" s="20"/>
      <c r="H850" s="20"/>
      <c r="I850" s="20"/>
      <c r="J850" s="21"/>
      <c r="K850" s="21"/>
      <c r="L850" s="21"/>
      <c r="M850" s="21"/>
      <c r="N850" s="22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</row>
    <row r="851" spans="1:45" ht="12.75" customHeight="1" x14ac:dyDescent="0.25">
      <c r="A851" s="20"/>
      <c r="B851" s="20"/>
      <c r="C851" s="20"/>
      <c r="D851" s="20"/>
      <c r="E851" s="20"/>
      <c r="F851" s="20"/>
      <c r="G851" s="20"/>
      <c r="H851" s="20"/>
      <c r="I851" s="20"/>
      <c r="J851" s="21"/>
      <c r="K851" s="21"/>
      <c r="L851" s="21"/>
      <c r="M851" s="21"/>
      <c r="N851" s="22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</row>
    <row r="852" spans="1:45" ht="12.75" customHeight="1" x14ac:dyDescent="0.25">
      <c r="A852" s="20"/>
      <c r="B852" s="20"/>
      <c r="C852" s="20"/>
      <c r="D852" s="20"/>
      <c r="E852" s="20"/>
      <c r="F852" s="20"/>
      <c r="G852" s="20"/>
      <c r="H852" s="20"/>
      <c r="I852" s="20"/>
      <c r="J852" s="21"/>
      <c r="K852" s="21"/>
      <c r="L852" s="21"/>
      <c r="M852" s="21"/>
      <c r="N852" s="22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</row>
    <row r="853" spans="1:45" ht="12.75" customHeight="1" x14ac:dyDescent="0.25">
      <c r="A853" s="20"/>
      <c r="B853" s="20"/>
      <c r="C853" s="20"/>
      <c r="D853" s="20"/>
      <c r="E853" s="20"/>
      <c r="F853" s="20"/>
      <c r="G853" s="20"/>
      <c r="H853" s="20"/>
      <c r="I853" s="20"/>
      <c r="J853" s="21"/>
      <c r="K853" s="21"/>
      <c r="L853" s="21"/>
      <c r="M853" s="21"/>
      <c r="N853" s="22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</row>
    <row r="854" spans="1:45" ht="12.75" customHeight="1" x14ac:dyDescent="0.25">
      <c r="A854" s="20"/>
      <c r="B854" s="20"/>
      <c r="C854" s="20"/>
      <c r="D854" s="20"/>
      <c r="E854" s="20"/>
      <c r="F854" s="20"/>
      <c r="G854" s="20"/>
      <c r="H854" s="20"/>
      <c r="I854" s="20"/>
      <c r="J854" s="21"/>
      <c r="K854" s="21"/>
      <c r="L854" s="21"/>
      <c r="M854" s="21"/>
      <c r="N854" s="22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</row>
    <row r="855" spans="1:45" ht="12.75" customHeight="1" x14ac:dyDescent="0.25">
      <c r="A855" s="20"/>
      <c r="B855" s="20"/>
      <c r="C855" s="20"/>
      <c r="D855" s="20"/>
      <c r="E855" s="20"/>
      <c r="F855" s="20"/>
      <c r="G855" s="20"/>
      <c r="H855" s="20"/>
      <c r="I855" s="20"/>
      <c r="J855" s="21"/>
      <c r="K855" s="21"/>
      <c r="L855" s="21"/>
      <c r="M855" s="21"/>
      <c r="N855" s="22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</row>
    <row r="856" spans="1:45" ht="12.75" customHeight="1" x14ac:dyDescent="0.25">
      <c r="A856" s="20"/>
      <c r="B856" s="20"/>
      <c r="C856" s="20"/>
      <c r="D856" s="20"/>
      <c r="E856" s="20"/>
      <c r="F856" s="20"/>
      <c r="G856" s="20"/>
      <c r="H856" s="20"/>
      <c r="I856" s="20"/>
      <c r="J856" s="21"/>
      <c r="K856" s="21"/>
      <c r="L856" s="21"/>
      <c r="M856" s="21"/>
      <c r="N856" s="22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</row>
    <row r="857" spans="1:45" ht="12.75" customHeight="1" x14ac:dyDescent="0.25">
      <c r="A857" s="20"/>
      <c r="B857" s="20"/>
      <c r="C857" s="20"/>
      <c r="D857" s="20"/>
      <c r="E857" s="20"/>
      <c r="F857" s="20"/>
      <c r="G857" s="20"/>
      <c r="H857" s="20"/>
      <c r="I857" s="20"/>
      <c r="J857" s="21"/>
      <c r="K857" s="21"/>
      <c r="L857" s="21"/>
      <c r="M857" s="21"/>
      <c r="N857" s="22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</row>
    <row r="858" spans="1:45" ht="12.75" customHeight="1" x14ac:dyDescent="0.25">
      <c r="A858" s="20"/>
      <c r="B858" s="20"/>
      <c r="C858" s="20"/>
      <c r="D858" s="20"/>
      <c r="E858" s="20"/>
      <c r="F858" s="20"/>
      <c r="G858" s="20"/>
      <c r="H858" s="20"/>
      <c r="I858" s="20"/>
      <c r="J858" s="21"/>
      <c r="K858" s="21"/>
      <c r="L858" s="21"/>
      <c r="M858" s="21"/>
      <c r="N858" s="22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</row>
    <row r="859" spans="1:45" ht="12.75" customHeight="1" x14ac:dyDescent="0.25">
      <c r="A859" s="20"/>
      <c r="B859" s="20"/>
      <c r="C859" s="20"/>
      <c r="D859" s="20"/>
      <c r="E859" s="20"/>
      <c r="F859" s="20"/>
      <c r="G859" s="20"/>
      <c r="H859" s="20"/>
      <c r="I859" s="20"/>
      <c r="J859" s="21"/>
      <c r="K859" s="21"/>
      <c r="L859" s="21"/>
      <c r="M859" s="21"/>
      <c r="N859" s="22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</row>
    <row r="860" spans="1:45" ht="12.75" customHeight="1" x14ac:dyDescent="0.25">
      <c r="A860" s="20"/>
      <c r="B860" s="20"/>
      <c r="C860" s="20"/>
      <c r="D860" s="20"/>
      <c r="E860" s="20"/>
      <c r="F860" s="20"/>
      <c r="G860" s="20"/>
      <c r="H860" s="20"/>
      <c r="I860" s="20"/>
      <c r="J860" s="21"/>
      <c r="K860" s="21"/>
      <c r="L860" s="21"/>
      <c r="M860" s="21"/>
      <c r="N860" s="22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</row>
    <row r="861" spans="1:45" ht="12.75" customHeight="1" x14ac:dyDescent="0.25">
      <c r="A861" s="20"/>
      <c r="B861" s="20"/>
      <c r="C861" s="20"/>
      <c r="D861" s="20"/>
      <c r="E861" s="20"/>
      <c r="F861" s="20"/>
      <c r="G861" s="20"/>
      <c r="H861" s="20"/>
      <c r="I861" s="20"/>
      <c r="J861" s="21"/>
      <c r="K861" s="21"/>
      <c r="L861" s="21"/>
      <c r="M861" s="21"/>
      <c r="N861" s="22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</row>
    <row r="862" spans="1:45" ht="12.75" customHeight="1" x14ac:dyDescent="0.25">
      <c r="A862" s="20"/>
      <c r="B862" s="20"/>
      <c r="C862" s="20"/>
      <c r="D862" s="20"/>
      <c r="E862" s="20"/>
      <c r="F862" s="20"/>
      <c r="G862" s="20"/>
      <c r="H862" s="20"/>
      <c r="I862" s="20"/>
      <c r="J862" s="21"/>
      <c r="K862" s="21"/>
      <c r="L862" s="21"/>
      <c r="M862" s="21"/>
      <c r="N862" s="22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</row>
    <row r="863" spans="1:45" ht="12.75" customHeight="1" x14ac:dyDescent="0.25">
      <c r="A863" s="20"/>
      <c r="B863" s="20"/>
      <c r="C863" s="20"/>
      <c r="D863" s="20"/>
      <c r="E863" s="20"/>
      <c r="F863" s="20"/>
      <c r="G863" s="20"/>
      <c r="H863" s="20"/>
      <c r="I863" s="20"/>
      <c r="J863" s="21"/>
      <c r="K863" s="21"/>
      <c r="L863" s="21"/>
      <c r="M863" s="21"/>
      <c r="N863" s="22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</row>
    <row r="864" spans="1:45" ht="12.75" customHeight="1" x14ac:dyDescent="0.25">
      <c r="A864" s="20"/>
      <c r="B864" s="20"/>
      <c r="C864" s="20"/>
      <c r="D864" s="20"/>
      <c r="E864" s="20"/>
      <c r="F864" s="20"/>
      <c r="G864" s="20"/>
      <c r="H864" s="20"/>
      <c r="I864" s="20"/>
      <c r="J864" s="21"/>
      <c r="K864" s="21"/>
      <c r="L864" s="21"/>
      <c r="M864" s="21"/>
      <c r="N864" s="22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</row>
    <row r="865" spans="1:45" ht="12.75" customHeight="1" x14ac:dyDescent="0.25">
      <c r="A865" s="20"/>
      <c r="B865" s="20"/>
      <c r="C865" s="20"/>
      <c r="D865" s="20"/>
      <c r="E865" s="20"/>
      <c r="F865" s="20"/>
      <c r="G865" s="20"/>
      <c r="H865" s="20"/>
      <c r="I865" s="20"/>
      <c r="J865" s="21"/>
      <c r="K865" s="21"/>
      <c r="L865" s="21"/>
      <c r="M865" s="21"/>
      <c r="N865" s="22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</row>
    <row r="866" spans="1:45" ht="12.75" customHeight="1" x14ac:dyDescent="0.25">
      <c r="A866" s="20"/>
      <c r="B866" s="20"/>
      <c r="C866" s="20"/>
      <c r="D866" s="20"/>
      <c r="E866" s="20"/>
      <c r="F866" s="20"/>
      <c r="G866" s="20"/>
      <c r="H866" s="20"/>
      <c r="I866" s="20"/>
      <c r="J866" s="21"/>
      <c r="K866" s="21"/>
      <c r="L866" s="21"/>
      <c r="M866" s="21"/>
      <c r="N866" s="22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</row>
    <row r="867" spans="1:45" ht="12.75" customHeight="1" x14ac:dyDescent="0.25">
      <c r="A867" s="20"/>
      <c r="B867" s="20"/>
      <c r="C867" s="20"/>
      <c r="D867" s="20"/>
      <c r="E867" s="20"/>
      <c r="F867" s="20"/>
      <c r="G867" s="20"/>
      <c r="H867" s="20"/>
      <c r="I867" s="20"/>
      <c r="J867" s="21"/>
      <c r="K867" s="21"/>
      <c r="L867" s="21"/>
      <c r="M867" s="21"/>
      <c r="N867" s="22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</row>
    <row r="868" spans="1:45" ht="12.75" customHeight="1" x14ac:dyDescent="0.25">
      <c r="A868" s="20"/>
      <c r="B868" s="20"/>
      <c r="C868" s="20"/>
      <c r="D868" s="20"/>
      <c r="E868" s="20"/>
      <c r="F868" s="20"/>
      <c r="G868" s="20"/>
      <c r="H868" s="20"/>
      <c r="I868" s="20"/>
      <c r="J868" s="21"/>
      <c r="K868" s="21"/>
      <c r="L868" s="21"/>
      <c r="M868" s="21"/>
      <c r="N868" s="22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</row>
    <row r="869" spans="1:45" ht="12.75" customHeight="1" x14ac:dyDescent="0.25">
      <c r="A869" s="20"/>
      <c r="B869" s="20"/>
      <c r="C869" s="20"/>
      <c r="D869" s="20"/>
      <c r="E869" s="20"/>
      <c r="F869" s="20"/>
      <c r="G869" s="20"/>
      <c r="H869" s="20"/>
      <c r="I869" s="20"/>
      <c r="J869" s="21"/>
      <c r="K869" s="21"/>
      <c r="L869" s="21"/>
      <c r="M869" s="21"/>
      <c r="N869" s="22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</row>
    <row r="870" spans="1:45" ht="12.75" customHeight="1" x14ac:dyDescent="0.25">
      <c r="A870" s="20"/>
      <c r="B870" s="20"/>
      <c r="C870" s="20"/>
      <c r="D870" s="20"/>
      <c r="E870" s="20"/>
      <c r="F870" s="20"/>
      <c r="G870" s="20"/>
      <c r="H870" s="20"/>
      <c r="I870" s="20"/>
      <c r="J870" s="21"/>
      <c r="K870" s="21"/>
      <c r="L870" s="21"/>
      <c r="M870" s="21"/>
      <c r="N870" s="22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</row>
    <row r="871" spans="1:45" ht="12.75" customHeight="1" x14ac:dyDescent="0.25">
      <c r="A871" s="20"/>
      <c r="B871" s="20"/>
      <c r="C871" s="20"/>
      <c r="D871" s="20"/>
      <c r="E871" s="20"/>
      <c r="F871" s="20"/>
      <c r="G871" s="20"/>
      <c r="H871" s="20"/>
      <c r="I871" s="20"/>
      <c r="J871" s="21"/>
      <c r="K871" s="21"/>
      <c r="L871" s="21"/>
      <c r="M871" s="21"/>
      <c r="N871" s="22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</row>
    <row r="872" spans="1:45" ht="12.75" customHeight="1" x14ac:dyDescent="0.25">
      <c r="A872" s="20"/>
      <c r="B872" s="20"/>
      <c r="C872" s="20"/>
      <c r="D872" s="20"/>
      <c r="E872" s="20"/>
      <c r="F872" s="20"/>
      <c r="G872" s="20"/>
      <c r="H872" s="20"/>
      <c r="I872" s="20"/>
      <c r="J872" s="21"/>
      <c r="K872" s="21"/>
      <c r="L872" s="21"/>
      <c r="M872" s="21"/>
      <c r="N872" s="22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</row>
    <row r="873" spans="1:45" ht="12.75" customHeight="1" x14ac:dyDescent="0.25">
      <c r="A873" s="20"/>
      <c r="B873" s="20"/>
      <c r="C873" s="20"/>
      <c r="D873" s="20"/>
      <c r="E873" s="20"/>
      <c r="F873" s="20"/>
      <c r="G873" s="20"/>
      <c r="H873" s="20"/>
      <c r="I873" s="20"/>
      <c r="J873" s="21"/>
      <c r="K873" s="21"/>
      <c r="L873" s="21"/>
      <c r="M873" s="21"/>
      <c r="N873" s="22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</row>
    <row r="874" spans="1:45" ht="12.75" customHeight="1" x14ac:dyDescent="0.25">
      <c r="A874" s="20"/>
      <c r="B874" s="20"/>
      <c r="C874" s="20"/>
      <c r="D874" s="20"/>
      <c r="E874" s="20"/>
      <c r="F874" s="20"/>
      <c r="G874" s="20"/>
      <c r="H874" s="20"/>
      <c r="I874" s="20"/>
      <c r="J874" s="21"/>
      <c r="K874" s="21"/>
      <c r="L874" s="21"/>
      <c r="M874" s="21"/>
      <c r="N874" s="22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</row>
    <row r="875" spans="1:45" ht="12.75" customHeight="1" x14ac:dyDescent="0.25">
      <c r="A875" s="20"/>
      <c r="B875" s="20"/>
      <c r="C875" s="20"/>
      <c r="D875" s="20"/>
      <c r="E875" s="20"/>
      <c r="F875" s="20"/>
      <c r="G875" s="20"/>
      <c r="H875" s="20"/>
      <c r="I875" s="20"/>
      <c r="J875" s="21"/>
      <c r="K875" s="21"/>
      <c r="L875" s="21"/>
      <c r="M875" s="21"/>
      <c r="N875" s="22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</row>
    <row r="876" spans="1:45" ht="12.75" customHeight="1" x14ac:dyDescent="0.25">
      <c r="A876" s="20"/>
      <c r="B876" s="20"/>
      <c r="C876" s="20"/>
      <c r="D876" s="20"/>
      <c r="E876" s="20"/>
      <c r="F876" s="20"/>
      <c r="G876" s="20"/>
      <c r="H876" s="20"/>
      <c r="I876" s="20"/>
      <c r="J876" s="21"/>
      <c r="K876" s="21"/>
      <c r="L876" s="21"/>
      <c r="M876" s="21"/>
      <c r="N876" s="22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</row>
    <row r="877" spans="1:45" ht="12.75" customHeight="1" x14ac:dyDescent="0.25">
      <c r="A877" s="20"/>
      <c r="B877" s="20"/>
      <c r="C877" s="20"/>
      <c r="D877" s="20"/>
      <c r="E877" s="20"/>
      <c r="F877" s="20"/>
      <c r="G877" s="20"/>
      <c r="H877" s="20"/>
      <c r="I877" s="20"/>
      <c r="J877" s="21"/>
      <c r="K877" s="21"/>
      <c r="L877" s="21"/>
      <c r="M877" s="21"/>
      <c r="N877" s="22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</row>
    <row r="878" spans="1:45" ht="12.75" customHeight="1" x14ac:dyDescent="0.25">
      <c r="A878" s="20"/>
      <c r="B878" s="20"/>
      <c r="C878" s="20"/>
      <c r="D878" s="20"/>
      <c r="E878" s="20"/>
      <c r="F878" s="20"/>
      <c r="G878" s="20"/>
      <c r="H878" s="20"/>
      <c r="I878" s="20"/>
      <c r="J878" s="21"/>
      <c r="K878" s="21"/>
      <c r="L878" s="21"/>
      <c r="M878" s="21"/>
      <c r="N878" s="22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</row>
    <row r="879" spans="1:45" ht="12.75" customHeight="1" x14ac:dyDescent="0.25">
      <c r="A879" s="20"/>
      <c r="B879" s="20"/>
      <c r="C879" s="20"/>
      <c r="D879" s="20"/>
      <c r="E879" s="20"/>
      <c r="F879" s="20"/>
      <c r="G879" s="20"/>
      <c r="H879" s="20"/>
      <c r="I879" s="20"/>
      <c r="J879" s="21"/>
      <c r="K879" s="21"/>
      <c r="L879" s="21"/>
      <c r="M879" s="21"/>
      <c r="N879" s="22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</row>
    <row r="880" spans="1:45" ht="12.75" customHeight="1" x14ac:dyDescent="0.25">
      <c r="A880" s="20"/>
      <c r="B880" s="20"/>
      <c r="C880" s="20"/>
      <c r="D880" s="20"/>
      <c r="E880" s="20"/>
      <c r="F880" s="20"/>
      <c r="G880" s="20"/>
      <c r="H880" s="20"/>
      <c r="I880" s="20"/>
      <c r="J880" s="21"/>
      <c r="K880" s="21"/>
      <c r="L880" s="21"/>
      <c r="M880" s="21"/>
      <c r="N880" s="22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</row>
    <row r="881" spans="1:45" ht="12.75" customHeight="1" x14ac:dyDescent="0.25">
      <c r="A881" s="20"/>
      <c r="B881" s="20"/>
      <c r="C881" s="20"/>
      <c r="D881" s="20"/>
      <c r="E881" s="20"/>
      <c r="F881" s="20"/>
      <c r="G881" s="20"/>
      <c r="H881" s="20"/>
      <c r="I881" s="20"/>
      <c r="J881" s="21"/>
      <c r="K881" s="21"/>
      <c r="L881" s="21"/>
      <c r="M881" s="21"/>
      <c r="N881" s="22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</row>
    <row r="882" spans="1:45" ht="12.75" customHeight="1" x14ac:dyDescent="0.25">
      <c r="A882" s="20"/>
      <c r="B882" s="20"/>
      <c r="C882" s="20"/>
      <c r="D882" s="20"/>
      <c r="E882" s="20"/>
      <c r="F882" s="20"/>
      <c r="G882" s="20"/>
      <c r="H882" s="20"/>
      <c r="I882" s="20"/>
      <c r="J882" s="21"/>
      <c r="K882" s="21"/>
      <c r="L882" s="21"/>
      <c r="M882" s="21"/>
      <c r="N882" s="22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</row>
    <row r="883" spans="1:45" ht="12.75" customHeight="1" x14ac:dyDescent="0.25">
      <c r="A883" s="20"/>
      <c r="B883" s="20"/>
      <c r="C883" s="20"/>
      <c r="D883" s="20"/>
      <c r="E883" s="20"/>
      <c r="F883" s="20"/>
      <c r="G883" s="20"/>
      <c r="H883" s="20"/>
      <c r="I883" s="20"/>
      <c r="J883" s="21"/>
      <c r="K883" s="21"/>
      <c r="L883" s="21"/>
      <c r="M883" s="21"/>
      <c r="N883" s="22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</row>
    <row r="884" spans="1:45" ht="12.75" customHeight="1" x14ac:dyDescent="0.25">
      <c r="A884" s="20"/>
      <c r="B884" s="20"/>
      <c r="C884" s="20"/>
      <c r="D884" s="20"/>
      <c r="E884" s="20"/>
      <c r="F884" s="20"/>
      <c r="G884" s="20"/>
      <c r="H884" s="20"/>
      <c r="I884" s="20"/>
      <c r="J884" s="21"/>
      <c r="K884" s="21"/>
      <c r="L884" s="21"/>
      <c r="M884" s="21"/>
      <c r="N884" s="22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</row>
    <row r="885" spans="1:45" ht="12.75" customHeight="1" x14ac:dyDescent="0.25">
      <c r="A885" s="20"/>
      <c r="B885" s="20"/>
      <c r="C885" s="20"/>
      <c r="D885" s="20"/>
      <c r="E885" s="20"/>
      <c r="F885" s="20"/>
      <c r="G885" s="20"/>
      <c r="H885" s="20"/>
      <c r="I885" s="20"/>
      <c r="J885" s="21"/>
      <c r="K885" s="21"/>
      <c r="L885" s="21"/>
      <c r="M885" s="21"/>
      <c r="N885" s="22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</row>
    <row r="886" spans="1:45" ht="12.75" customHeight="1" x14ac:dyDescent="0.25">
      <c r="A886" s="20"/>
      <c r="B886" s="20"/>
      <c r="C886" s="20"/>
      <c r="D886" s="20"/>
      <c r="E886" s="20"/>
      <c r="F886" s="20"/>
      <c r="G886" s="20"/>
      <c r="H886" s="20"/>
      <c r="I886" s="20"/>
      <c r="J886" s="21"/>
      <c r="K886" s="21"/>
      <c r="L886" s="21"/>
      <c r="M886" s="21"/>
      <c r="N886" s="22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</row>
    <row r="887" spans="1:45" ht="12.75" customHeight="1" x14ac:dyDescent="0.25">
      <c r="A887" s="20"/>
      <c r="B887" s="20"/>
      <c r="C887" s="20"/>
      <c r="D887" s="20"/>
      <c r="E887" s="20"/>
      <c r="F887" s="20"/>
      <c r="G887" s="20"/>
      <c r="H887" s="20"/>
      <c r="I887" s="20"/>
      <c r="J887" s="21"/>
      <c r="K887" s="21"/>
      <c r="L887" s="21"/>
      <c r="M887" s="21"/>
      <c r="N887" s="22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</row>
    <row r="888" spans="1:45" ht="12.75" customHeight="1" x14ac:dyDescent="0.25">
      <c r="A888" s="20"/>
      <c r="B888" s="20"/>
      <c r="C888" s="20"/>
      <c r="D888" s="20"/>
      <c r="E888" s="20"/>
      <c r="F888" s="20"/>
      <c r="G888" s="20"/>
      <c r="H888" s="20"/>
      <c r="I888" s="20"/>
      <c r="J888" s="21"/>
      <c r="K888" s="21"/>
      <c r="L888" s="21"/>
      <c r="M888" s="21"/>
      <c r="N888" s="22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</row>
    <row r="889" spans="1:45" ht="12.75" customHeight="1" x14ac:dyDescent="0.25">
      <c r="A889" s="20"/>
      <c r="B889" s="20"/>
      <c r="C889" s="20"/>
      <c r="D889" s="20"/>
      <c r="E889" s="20"/>
      <c r="F889" s="20"/>
      <c r="G889" s="20"/>
      <c r="H889" s="20"/>
      <c r="I889" s="20"/>
      <c r="J889" s="21"/>
      <c r="K889" s="21"/>
      <c r="L889" s="21"/>
      <c r="M889" s="21"/>
      <c r="N889" s="22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</row>
    <row r="890" spans="1:45" ht="12.75" customHeight="1" x14ac:dyDescent="0.25">
      <c r="A890" s="20"/>
      <c r="B890" s="20"/>
      <c r="C890" s="20"/>
      <c r="D890" s="20"/>
      <c r="E890" s="20"/>
      <c r="F890" s="20"/>
      <c r="G890" s="20"/>
      <c r="H890" s="20"/>
      <c r="I890" s="20"/>
      <c r="J890" s="21"/>
      <c r="K890" s="21"/>
      <c r="L890" s="21"/>
      <c r="M890" s="21"/>
      <c r="N890" s="22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</row>
    <row r="891" spans="1:45" ht="12.75" customHeight="1" x14ac:dyDescent="0.25">
      <c r="A891" s="20"/>
      <c r="B891" s="20"/>
      <c r="C891" s="20"/>
      <c r="D891" s="20"/>
      <c r="E891" s="20"/>
      <c r="F891" s="20"/>
      <c r="G891" s="20"/>
      <c r="H891" s="20"/>
      <c r="I891" s="20"/>
      <c r="J891" s="21"/>
      <c r="K891" s="21"/>
      <c r="L891" s="21"/>
      <c r="M891" s="21"/>
      <c r="N891" s="22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</row>
    <row r="892" spans="1:45" ht="12.75" customHeight="1" x14ac:dyDescent="0.25">
      <c r="A892" s="20"/>
      <c r="B892" s="20"/>
      <c r="C892" s="20"/>
      <c r="D892" s="20"/>
      <c r="E892" s="20"/>
      <c r="F892" s="20"/>
      <c r="G892" s="20"/>
      <c r="H892" s="20"/>
      <c r="I892" s="20"/>
      <c r="J892" s="21"/>
      <c r="K892" s="21"/>
      <c r="L892" s="21"/>
      <c r="M892" s="21"/>
      <c r="N892" s="22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</row>
    <row r="893" spans="1:45" ht="12.75" customHeight="1" x14ac:dyDescent="0.25">
      <c r="A893" s="20"/>
      <c r="B893" s="20"/>
      <c r="C893" s="20"/>
      <c r="D893" s="20"/>
      <c r="E893" s="20"/>
      <c r="F893" s="20"/>
      <c r="G893" s="20"/>
      <c r="H893" s="20"/>
      <c r="I893" s="20"/>
      <c r="J893" s="21"/>
      <c r="K893" s="21"/>
      <c r="L893" s="21"/>
      <c r="M893" s="21"/>
      <c r="N893" s="22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</row>
    <row r="894" spans="1:45" ht="12.75" customHeight="1" x14ac:dyDescent="0.25">
      <c r="A894" s="20"/>
      <c r="B894" s="20"/>
      <c r="C894" s="20"/>
      <c r="D894" s="20"/>
      <c r="E894" s="20"/>
      <c r="F894" s="20"/>
      <c r="G894" s="20"/>
      <c r="H894" s="20"/>
      <c r="I894" s="20"/>
      <c r="J894" s="21"/>
      <c r="K894" s="21"/>
      <c r="L894" s="21"/>
      <c r="M894" s="21"/>
      <c r="N894" s="22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</row>
    <row r="895" spans="1:45" ht="12.75" customHeight="1" x14ac:dyDescent="0.25">
      <c r="A895" s="20"/>
      <c r="B895" s="20"/>
      <c r="C895" s="20"/>
      <c r="D895" s="20"/>
      <c r="E895" s="20"/>
      <c r="F895" s="20"/>
      <c r="G895" s="20"/>
      <c r="H895" s="20"/>
      <c r="I895" s="20"/>
      <c r="J895" s="21"/>
      <c r="K895" s="21"/>
      <c r="L895" s="21"/>
      <c r="M895" s="21"/>
      <c r="N895" s="22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</row>
    <row r="896" spans="1:45" ht="12.75" customHeight="1" x14ac:dyDescent="0.25">
      <c r="A896" s="20"/>
      <c r="B896" s="20"/>
      <c r="C896" s="20"/>
      <c r="D896" s="20"/>
      <c r="E896" s="20"/>
      <c r="F896" s="20"/>
      <c r="G896" s="20"/>
      <c r="H896" s="20"/>
      <c r="I896" s="20"/>
      <c r="J896" s="21"/>
      <c r="K896" s="21"/>
      <c r="L896" s="21"/>
      <c r="M896" s="21"/>
      <c r="N896" s="22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</row>
    <row r="897" spans="1:45" ht="12.75" customHeight="1" x14ac:dyDescent="0.25">
      <c r="A897" s="20"/>
      <c r="B897" s="20"/>
      <c r="C897" s="20"/>
      <c r="D897" s="20"/>
      <c r="E897" s="20"/>
      <c r="F897" s="20"/>
      <c r="G897" s="20"/>
      <c r="H897" s="20"/>
      <c r="I897" s="20"/>
      <c r="J897" s="21"/>
      <c r="K897" s="21"/>
      <c r="L897" s="21"/>
      <c r="M897" s="21"/>
      <c r="N897" s="22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</row>
    <row r="898" spans="1:45" ht="12.75" customHeight="1" x14ac:dyDescent="0.25">
      <c r="A898" s="20"/>
      <c r="B898" s="20"/>
      <c r="C898" s="20"/>
      <c r="D898" s="20"/>
      <c r="E898" s="20"/>
      <c r="F898" s="20"/>
      <c r="G898" s="20"/>
      <c r="H898" s="20"/>
      <c r="I898" s="20"/>
      <c r="J898" s="21"/>
      <c r="K898" s="21"/>
      <c r="L898" s="21"/>
      <c r="M898" s="21"/>
      <c r="N898" s="22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</row>
    <row r="899" spans="1:45" ht="12.75" customHeight="1" x14ac:dyDescent="0.25">
      <c r="A899" s="20"/>
      <c r="B899" s="20"/>
      <c r="C899" s="20"/>
      <c r="D899" s="20"/>
      <c r="E899" s="20"/>
      <c r="F899" s="20"/>
      <c r="G899" s="20"/>
      <c r="H899" s="20"/>
      <c r="I899" s="20"/>
      <c r="J899" s="21"/>
      <c r="K899" s="21"/>
      <c r="L899" s="21"/>
      <c r="M899" s="21"/>
      <c r="N899" s="22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</row>
    <row r="900" spans="1:45" ht="12.75" customHeight="1" x14ac:dyDescent="0.25">
      <c r="A900" s="20"/>
      <c r="B900" s="20"/>
      <c r="C900" s="20"/>
      <c r="D900" s="20"/>
      <c r="E900" s="20"/>
      <c r="F900" s="20"/>
      <c r="G900" s="20"/>
      <c r="H900" s="20"/>
      <c r="I900" s="20"/>
      <c r="J900" s="21"/>
      <c r="K900" s="21"/>
      <c r="L900" s="21"/>
      <c r="M900" s="21"/>
      <c r="N900" s="22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</row>
    <row r="901" spans="1:45" ht="12.75" customHeight="1" x14ac:dyDescent="0.25">
      <c r="A901" s="20"/>
      <c r="B901" s="20"/>
      <c r="C901" s="20"/>
      <c r="D901" s="20"/>
      <c r="E901" s="20"/>
      <c r="F901" s="20"/>
      <c r="G901" s="20"/>
      <c r="H901" s="20"/>
      <c r="I901" s="20"/>
      <c r="J901" s="21"/>
      <c r="K901" s="21"/>
      <c r="L901" s="21"/>
      <c r="M901" s="21"/>
      <c r="N901" s="22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</row>
    <row r="902" spans="1:45" ht="12.75" customHeight="1" x14ac:dyDescent="0.25">
      <c r="A902" s="20"/>
      <c r="B902" s="20"/>
      <c r="C902" s="20"/>
      <c r="D902" s="20"/>
      <c r="E902" s="20"/>
      <c r="F902" s="20"/>
      <c r="G902" s="20"/>
      <c r="H902" s="20"/>
      <c r="I902" s="20"/>
      <c r="J902" s="21"/>
      <c r="K902" s="21"/>
      <c r="L902" s="21"/>
      <c r="M902" s="21"/>
      <c r="N902" s="22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</row>
    <row r="903" spans="1:45" ht="12.75" customHeight="1" x14ac:dyDescent="0.25">
      <c r="A903" s="20"/>
      <c r="B903" s="20"/>
      <c r="C903" s="20"/>
      <c r="D903" s="20"/>
      <c r="E903" s="20"/>
      <c r="F903" s="20"/>
      <c r="G903" s="20"/>
      <c r="H903" s="20"/>
      <c r="I903" s="20"/>
      <c r="J903" s="21"/>
      <c r="K903" s="21"/>
      <c r="L903" s="21"/>
      <c r="M903" s="21"/>
      <c r="N903" s="22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</row>
    <row r="904" spans="1:45" ht="12.75" customHeight="1" x14ac:dyDescent="0.25">
      <c r="A904" s="20"/>
      <c r="B904" s="20"/>
      <c r="C904" s="20"/>
      <c r="D904" s="20"/>
      <c r="E904" s="20"/>
      <c r="F904" s="20"/>
      <c r="G904" s="20"/>
      <c r="H904" s="20"/>
      <c r="I904" s="20"/>
      <c r="J904" s="21"/>
      <c r="K904" s="21"/>
      <c r="L904" s="21"/>
      <c r="M904" s="21"/>
      <c r="N904" s="22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</row>
    <row r="905" spans="1:45" ht="12.75" customHeight="1" x14ac:dyDescent="0.25">
      <c r="A905" s="20"/>
      <c r="B905" s="20"/>
      <c r="C905" s="20"/>
      <c r="D905" s="20"/>
      <c r="E905" s="20"/>
      <c r="F905" s="20"/>
      <c r="G905" s="20"/>
      <c r="H905" s="20"/>
      <c r="I905" s="20"/>
      <c r="J905" s="21"/>
      <c r="K905" s="21"/>
      <c r="L905" s="21"/>
      <c r="M905" s="21"/>
      <c r="N905" s="22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</row>
    <row r="906" spans="1:45" ht="12.75" customHeight="1" x14ac:dyDescent="0.25">
      <c r="A906" s="20"/>
      <c r="B906" s="20"/>
      <c r="C906" s="20"/>
      <c r="D906" s="20"/>
      <c r="E906" s="20"/>
      <c r="F906" s="20"/>
      <c r="G906" s="20"/>
      <c r="H906" s="20"/>
      <c r="I906" s="20"/>
      <c r="J906" s="21"/>
      <c r="K906" s="21"/>
      <c r="L906" s="21"/>
      <c r="M906" s="21"/>
      <c r="N906" s="22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</row>
    <row r="907" spans="1:45" ht="12.75" customHeight="1" x14ac:dyDescent="0.25">
      <c r="A907" s="20"/>
      <c r="B907" s="20"/>
      <c r="C907" s="20"/>
      <c r="D907" s="20"/>
      <c r="E907" s="20"/>
      <c r="F907" s="20"/>
      <c r="G907" s="20"/>
      <c r="H907" s="20"/>
      <c r="I907" s="20"/>
      <c r="J907" s="21"/>
      <c r="K907" s="21"/>
      <c r="L907" s="21"/>
      <c r="M907" s="21"/>
      <c r="N907" s="22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</row>
    <row r="908" spans="1:45" ht="12.75" customHeight="1" x14ac:dyDescent="0.25">
      <c r="A908" s="20"/>
      <c r="B908" s="20"/>
      <c r="C908" s="20"/>
      <c r="D908" s="20"/>
      <c r="E908" s="20"/>
      <c r="F908" s="20"/>
      <c r="G908" s="20"/>
      <c r="H908" s="20"/>
      <c r="I908" s="20"/>
      <c r="J908" s="21"/>
      <c r="K908" s="21"/>
      <c r="L908" s="21"/>
      <c r="M908" s="21"/>
      <c r="N908" s="22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</row>
    <row r="909" spans="1:45" ht="12.75" customHeight="1" x14ac:dyDescent="0.25">
      <c r="A909" s="20"/>
      <c r="B909" s="20"/>
      <c r="C909" s="20"/>
      <c r="D909" s="20"/>
      <c r="E909" s="20"/>
      <c r="F909" s="20"/>
      <c r="G909" s="20"/>
      <c r="H909" s="20"/>
      <c r="I909" s="20"/>
      <c r="J909" s="21"/>
      <c r="K909" s="21"/>
      <c r="L909" s="21"/>
      <c r="M909" s="21"/>
      <c r="N909" s="22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</row>
    <row r="910" spans="1:45" ht="12.75" customHeight="1" x14ac:dyDescent="0.25">
      <c r="A910" s="20"/>
      <c r="B910" s="20"/>
      <c r="C910" s="20"/>
      <c r="D910" s="20"/>
      <c r="E910" s="20"/>
      <c r="F910" s="20"/>
      <c r="G910" s="20"/>
      <c r="H910" s="20"/>
      <c r="I910" s="20"/>
      <c r="J910" s="21"/>
      <c r="K910" s="21"/>
      <c r="L910" s="21"/>
      <c r="M910" s="21"/>
      <c r="N910" s="22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</row>
    <row r="911" spans="1:45" ht="12.75" customHeight="1" x14ac:dyDescent="0.25">
      <c r="A911" s="20"/>
      <c r="B911" s="20"/>
      <c r="C911" s="20"/>
      <c r="D911" s="20"/>
      <c r="E911" s="20"/>
      <c r="F911" s="20"/>
      <c r="G911" s="20"/>
      <c r="H911" s="20"/>
      <c r="I911" s="20"/>
      <c r="J911" s="21"/>
      <c r="K911" s="21"/>
      <c r="L911" s="21"/>
      <c r="M911" s="21"/>
      <c r="N911" s="22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</row>
    <row r="912" spans="1:45" ht="12.75" customHeight="1" x14ac:dyDescent="0.25">
      <c r="A912" s="20"/>
      <c r="B912" s="20"/>
      <c r="C912" s="20"/>
      <c r="D912" s="20"/>
      <c r="E912" s="20"/>
      <c r="F912" s="20"/>
      <c r="G912" s="20"/>
      <c r="H912" s="20"/>
      <c r="I912" s="20"/>
      <c r="J912" s="21"/>
      <c r="K912" s="21"/>
      <c r="L912" s="21"/>
      <c r="M912" s="21"/>
      <c r="N912" s="22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</row>
    <row r="913" spans="1:45" ht="12.75" customHeight="1" x14ac:dyDescent="0.25">
      <c r="A913" s="20"/>
      <c r="B913" s="20"/>
      <c r="C913" s="20"/>
      <c r="D913" s="20"/>
      <c r="E913" s="20"/>
      <c r="F913" s="20"/>
      <c r="G913" s="20"/>
      <c r="H913" s="20"/>
      <c r="I913" s="20"/>
      <c r="J913" s="21"/>
      <c r="K913" s="21"/>
      <c r="L913" s="21"/>
      <c r="M913" s="21"/>
      <c r="N913" s="22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</row>
    <row r="914" spans="1:45" ht="12.75" customHeight="1" x14ac:dyDescent="0.25">
      <c r="A914" s="20"/>
      <c r="B914" s="20"/>
      <c r="C914" s="20"/>
      <c r="D914" s="20"/>
      <c r="E914" s="20"/>
      <c r="F914" s="20"/>
      <c r="G914" s="20"/>
      <c r="H914" s="20"/>
      <c r="I914" s="20"/>
      <c r="J914" s="21"/>
      <c r="K914" s="21"/>
      <c r="L914" s="21"/>
      <c r="M914" s="21"/>
      <c r="N914" s="22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</row>
    <row r="915" spans="1:45" ht="12.75" customHeight="1" x14ac:dyDescent="0.25">
      <c r="A915" s="20"/>
      <c r="B915" s="20"/>
      <c r="C915" s="20"/>
      <c r="D915" s="20"/>
      <c r="E915" s="20"/>
      <c r="F915" s="20"/>
      <c r="G915" s="20"/>
      <c r="H915" s="20"/>
      <c r="I915" s="20"/>
      <c r="J915" s="21"/>
      <c r="K915" s="21"/>
      <c r="L915" s="21"/>
      <c r="M915" s="21"/>
      <c r="N915" s="22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</row>
    <row r="916" spans="1:45" ht="12.75" customHeight="1" x14ac:dyDescent="0.25">
      <c r="A916" s="20"/>
      <c r="B916" s="20"/>
      <c r="C916" s="20"/>
      <c r="D916" s="20"/>
      <c r="E916" s="20"/>
      <c r="F916" s="20"/>
      <c r="G916" s="20"/>
      <c r="H916" s="20"/>
      <c r="I916" s="20"/>
      <c r="J916" s="21"/>
      <c r="K916" s="21"/>
      <c r="L916" s="21"/>
      <c r="M916" s="21"/>
      <c r="N916" s="22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</row>
    <row r="917" spans="1:45" ht="12.75" customHeight="1" x14ac:dyDescent="0.25">
      <c r="A917" s="20"/>
      <c r="B917" s="20"/>
      <c r="C917" s="20"/>
      <c r="D917" s="20"/>
      <c r="E917" s="20"/>
      <c r="F917" s="20"/>
      <c r="G917" s="20"/>
      <c r="H917" s="20"/>
      <c r="I917" s="20"/>
      <c r="J917" s="21"/>
      <c r="K917" s="21"/>
      <c r="L917" s="21"/>
      <c r="M917" s="21"/>
      <c r="N917" s="22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</row>
    <row r="918" spans="1:45" ht="12.75" customHeight="1" x14ac:dyDescent="0.25">
      <c r="A918" s="20"/>
      <c r="B918" s="20"/>
      <c r="C918" s="20"/>
      <c r="D918" s="20"/>
      <c r="E918" s="20"/>
      <c r="F918" s="20"/>
      <c r="G918" s="20"/>
      <c r="H918" s="20"/>
      <c r="I918" s="20"/>
      <c r="J918" s="21"/>
      <c r="K918" s="21"/>
      <c r="L918" s="21"/>
      <c r="M918" s="21"/>
      <c r="N918" s="22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</row>
    <row r="919" spans="1:45" ht="12.75" customHeight="1" x14ac:dyDescent="0.25">
      <c r="A919" s="20"/>
      <c r="B919" s="20"/>
      <c r="C919" s="20"/>
      <c r="D919" s="20"/>
      <c r="E919" s="20"/>
      <c r="F919" s="20"/>
      <c r="G919" s="20"/>
      <c r="H919" s="20"/>
      <c r="I919" s="20"/>
      <c r="J919" s="21"/>
      <c r="K919" s="21"/>
      <c r="L919" s="21"/>
      <c r="M919" s="21"/>
      <c r="N919" s="22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</row>
    <row r="920" spans="1:45" ht="12.75" customHeight="1" x14ac:dyDescent="0.25">
      <c r="A920" s="20"/>
      <c r="B920" s="20"/>
      <c r="C920" s="20"/>
      <c r="D920" s="20"/>
      <c r="E920" s="20"/>
      <c r="F920" s="20"/>
      <c r="G920" s="20"/>
      <c r="H920" s="20"/>
      <c r="I920" s="20"/>
      <c r="J920" s="21"/>
      <c r="K920" s="21"/>
      <c r="L920" s="21"/>
      <c r="M920" s="21"/>
      <c r="N920" s="22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</row>
    <row r="921" spans="1:45" ht="12.75" customHeight="1" x14ac:dyDescent="0.25">
      <c r="A921" s="20"/>
      <c r="B921" s="20"/>
      <c r="C921" s="20"/>
      <c r="D921" s="20"/>
      <c r="E921" s="20"/>
      <c r="F921" s="20"/>
      <c r="G921" s="20"/>
      <c r="H921" s="20"/>
      <c r="I921" s="20"/>
      <c r="J921" s="21"/>
      <c r="K921" s="21"/>
      <c r="L921" s="21"/>
      <c r="M921" s="21"/>
      <c r="N921" s="22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</row>
    <row r="922" spans="1:45" ht="12.75" customHeight="1" x14ac:dyDescent="0.25">
      <c r="A922" s="20"/>
      <c r="B922" s="20"/>
      <c r="C922" s="20"/>
      <c r="D922" s="20"/>
      <c r="E922" s="20"/>
      <c r="F922" s="20"/>
      <c r="G922" s="20"/>
      <c r="H922" s="20"/>
      <c r="I922" s="20"/>
      <c r="J922" s="21"/>
      <c r="K922" s="21"/>
      <c r="L922" s="21"/>
      <c r="M922" s="21"/>
      <c r="N922" s="22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</row>
    <row r="923" spans="1:45" ht="12.75" customHeight="1" x14ac:dyDescent="0.25">
      <c r="A923" s="20"/>
      <c r="B923" s="20"/>
      <c r="C923" s="20"/>
      <c r="D923" s="20"/>
      <c r="E923" s="20"/>
      <c r="F923" s="20"/>
      <c r="G923" s="20"/>
      <c r="H923" s="20"/>
      <c r="I923" s="20"/>
      <c r="J923" s="21"/>
      <c r="K923" s="21"/>
      <c r="L923" s="21"/>
      <c r="M923" s="21"/>
      <c r="N923" s="22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</row>
    <row r="924" spans="1:45" ht="12.75" customHeight="1" x14ac:dyDescent="0.25">
      <c r="A924" s="20"/>
      <c r="B924" s="20"/>
      <c r="C924" s="20"/>
      <c r="D924" s="20"/>
      <c r="E924" s="20"/>
      <c r="F924" s="20"/>
      <c r="G924" s="20"/>
      <c r="H924" s="20"/>
      <c r="I924" s="20"/>
      <c r="J924" s="21"/>
      <c r="K924" s="21"/>
      <c r="L924" s="21"/>
      <c r="M924" s="21"/>
      <c r="N924" s="22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</row>
    <row r="925" spans="1:45" ht="12.75" customHeight="1" x14ac:dyDescent="0.25">
      <c r="A925" s="20"/>
      <c r="B925" s="20"/>
      <c r="C925" s="20"/>
      <c r="D925" s="20"/>
      <c r="E925" s="20"/>
      <c r="F925" s="20"/>
      <c r="G925" s="20"/>
      <c r="H925" s="20"/>
      <c r="I925" s="20"/>
      <c r="J925" s="21"/>
      <c r="K925" s="21"/>
      <c r="L925" s="21"/>
      <c r="M925" s="21"/>
      <c r="N925" s="22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</row>
    <row r="926" spans="1:45" ht="12.75" customHeight="1" x14ac:dyDescent="0.25">
      <c r="A926" s="20"/>
      <c r="B926" s="20"/>
      <c r="C926" s="20"/>
      <c r="D926" s="20"/>
      <c r="E926" s="20"/>
      <c r="F926" s="20"/>
      <c r="G926" s="20"/>
      <c r="H926" s="20"/>
      <c r="I926" s="20"/>
      <c r="J926" s="21"/>
      <c r="K926" s="21"/>
      <c r="L926" s="21"/>
      <c r="M926" s="21"/>
      <c r="N926" s="22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</row>
    <row r="927" spans="1:45" ht="12.75" customHeight="1" x14ac:dyDescent="0.25">
      <c r="A927" s="20"/>
      <c r="B927" s="20"/>
      <c r="C927" s="20"/>
      <c r="D927" s="20"/>
      <c r="E927" s="20"/>
      <c r="F927" s="20"/>
      <c r="G927" s="20"/>
      <c r="H927" s="20"/>
      <c r="I927" s="20"/>
      <c r="J927" s="21"/>
      <c r="K927" s="21"/>
      <c r="L927" s="21"/>
      <c r="M927" s="21"/>
      <c r="N927" s="22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</row>
    <row r="928" spans="1:45" ht="12.75" customHeight="1" x14ac:dyDescent="0.25">
      <c r="A928" s="20"/>
      <c r="B928" s="20"/>
      <c r="C928" s="20"/>
      <c r="D928" s="20"/>
      <c r="E928" s="20"/>
      <c r="F928" s="20"/>
      <c r="G928" s="20"/>
      <c r="H928" s="20"/>
      <c r="I928" s="20"/>
      <c r="J928" s="21"/>
      <c r="K928" s="21"/>
      <c r="L928" s="21"/>
      <c r="M928" s="21"/>
      <c r="N928" s="22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</row>
    <row r="929" spans="1:45" ht="12.75" customHeight="1" x14ac:dyDescent="0.25">
      <c r="A929" s="20"/>
      <c r="B929" s="20"/>
      <c r="C929" s="20"/>
      <c r="D929" s="20"/>
      <c r="E929" s="20"/>
      <c r="F929" s="20"/>
      <c r="G929" s="20"/>
      <c r="H929" s="20"/>
      <c r="I929" s="20"/>
      <c r="J929" s="21"/>
      <c r="K929" s="21"/>
      <c r="L929" s="21"/>
      <c r="M929" s="21"/>
      <c r="N929" s="22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</row>
    <row r="930" spans="1:45" ht="12.75" customHeight="1" x14ac:dyDescent="0.25">
      <c r="A930" s="20"/>
      <c r="B930" s="20"/>
      <c r="C930" s="20"/>
      <c r="D930" s="20"/>
      <c r="E930" s="20"/>
      <c r="F930" s="20"/>
      <c r="G930" s="20"/>
      <c r="H930" s="20"/>
      <c r="I930" s="20"/>
      <c r="J930" s="21"/>
      <c r="K930" s="21"/>
      <c r="L930" s="21"/>
      <c r="M930" s="21"/>
      <c r="N930" s="22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</row>
    <row r="931" spans="1:45" ht="12.75" customHeight="1" x14ac:dyDescent="0.25">
      <c r="A931" s="20"/>
      <c r="B931" s="20"/>
      <c r="C931" s="20"/>
      <c r="D931" s="20"/>
      <c r="E931" s="20"/>
      <c r="F931" s="20"/>
      <c r="G931" s="20"/>
      <c r="H931" s="20"/>
      <c r="I931" s="20"/>
      <c r="J931" s="21"/>
      <c r="K931" s="21"/>
      <c r="L931" s="21"/>
      <c r="M931" s="21"/>
      <c r="N931" s="22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</row>
    <row r="932" spans="1:45" ht="12.75" customHeight="1" x14ac:dyDescent="0.25">
      <c r="A932" s="20"/>
      <c r="B932" s="20"/>
      <c r="C932" s="20"/>
      <c r="D932" s="20"/>
      <c r="E932" s="20"/>
      <c r="F932" s="20"/>
      <c r="G932" s="20"/>
      <c r="H932" s="20"/>
      <c r="I932" s="20"/>
      <c r="J932" s="21"/>
      <c r="K932" s="21"/>
      <c r="L932" s="21"/>
      <c r="M932" s="21"/>
      <c r="N932" s="22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</row>
    <row r="933" spans="1:45" ht="12.75" customHeight="1" x14ac:dyDescent="0.25">
      <c r="A933" s="20"/>
      <c r="B933" s="20"/>
      <c r="C933" s="20"/>
      <c r="D933" s="20"/>
      <c r="E933" s="20"/>
      <c r="F933" s="20"/>
      <c r="G933" s="20"/>
      <c r="H933" s="20"/>
      <c r="I933" s="20"/>
      <c r="J933" s="21"/>
      <c r="K933" s="21"/>
      <c r="L933" s="21"/>
      <c r="M933" s="21"/>
      <c r="N933" s="22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</row>
    <row r="934" spans="1:45" ht="12.75" customHeight="1" x14ac:dyDescent="0.25">
      <c r="A934" s="20"/>
      <c r="B934" s="20"/>
      <c r="C934" s="20"/>
      <c r="D934" s="20"/>
      <c r="E934" s="20"/>
      <c r="F934" s="20"/>
      <c r="G934" s="20"/>
      <c r="H934" s="20"/>
      <c r="I934" s="20"/>
      <c r="J934" s="21"/>
      <c r="K934" s="21"/>
      <c r="L934" s="21"/>
      <c r="M934" s="21"/>
      <c r="N934" s="22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</row>
    <row r="935" spans="1:45" ht="12.75" customHeight="1" x14ac:dyDescent="0.25">
      <c r="A935" s="20"/>
      <c r="B935" s="20"/>
      <c r="C935" s="20"/>
      <c r="D935" s="20"/>
      <c r="E935" s="20"/>
      <c r="F935" s="20"/>
      <c r="G935" s="20"/>
      <c r="H935" s="20"/>
      <c r="I935" s="20"/>
      <c r="J935" s="21"/>
      <c r="K935" s="21"/>
      <c r="L935" s="21"/>
      <c r="M935" s="21"/>
      <c r="N935" s="22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</row>
    <row r="936" spans="1:45" ht="12.75" customHeight="1" x14ac:dyDescent="0.25">
      <c r="A936" s="20"/>
      <c r="B936" s="20"/>
      <c r="C936" s="20"/>
      <c r="D936" s="20"/>
      <c r="E936" s="20"/>
      <c r="F936" s="20"/>
      <c r="G936" s="20"/>
      <c r="H936" s="20"/>
      <c r="I936" s="20"/>
      <c r="J936" s="21"/>
      <c r="K936" s="21"/>
      <c r="L936" s="21"/>
      <c r="M936" s="21"/>
      <c r="N936" s="22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</row>
    <row r="937" spans="1:45" ht="12.75" customHeight="1" x14ac:dyDescent="0.25">
      <c r="A937" s="20"/>
      <c r="B937" s="20"/>
      <c r="C937" s="20"/>
      <c r="D937" s="20"/>
      <c r="E937" s="20"/>
      <c r="F937" s="20"/>
      <c r="G937" s="20"/>
      <c r="H937" s="20"/>
      <c r="I937" s="20"/>
      <c r="J937" s="21"/>
      <c r="K937" s="21"/>
      <c r="L937" s="21"/>
      <c r="M937" s="21"/>
      <c r="N937" s="22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</row>
    <row r="938" spans="1:45" ht="12.75" customHeight="1" x14ac:dyDescent="0.25">
      <c r="A938" s="20"/>
      <c r="B938" s="20"/>
      <c r="C938" s="20"/>
      <c r="D938" s="20"/>
      <c r="E938" s="20"/>
      <c r="F938" s="20"/>
      <c r="G938" s="20"/>
      <c r="H938" s="20"/>
      <c r="I938" s="20"/>
      <c r="J938" s="21"/>
      <c r="K938" s="21"/>
      <c r="L938" s="21"/>
      <c r="M938" s="21"/>
      <c r="N938" s="22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</row>
    <row r="939" spans="1:45" ht="12.75" customHeight="1" x14ac:dyDescent="0.25">
      <c r="A939" s="20"/>
      <c r="B939" s="20"/>
      <c r="C939" s="20"/>
      <c r="D939" s="20"/>
      <c r="E939" s="20"/>
      <c r="F939" s="20"/>
      <c r="G939" s="20"/>
      <c r="H939" s="20"/>
      <c r="I939" s="20"/>
      <c r="J939" s="21"/>
      <c r="K939" s="21"/>
      <c r="L939" s="21"/>
      <c r="M939" s="21"/>
      <c r="N939" s="22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</row>
    <row r="940" spans="1:45" ht="12.75" customHeight="1" x14ac:dyDescent="0.25">
      <c r="A940" s="20"/>
      <c r="B940" s="20"/>
      <c r="C940" s="20"/>
      <c r="D940" s="20"/>
      <c r="E940" s="20"/>
      <c r="F940" s="20"/>
      <c r="G940" s="20"/>
      <c r="H940" s="20"/>
      <c r="I940" s="20"/>
      <c r="J940" s="21"/>
      <c r="K940" s="21"/>
      <c r="L940" s="21"/>
      <c r="M940" s="21"/>
      <c r="N940" s="22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</row>
    <row r="941" spans="1:45" ht="12.75" customHeight="1" x14ac:dyDescent="0.25">
      <c r="A941" s="20"/>
      <c r="B941" s="20"/>
      <c r="C941" s="20"/>
      <c r="D941" s="20"/>
      <c r="E941" s="20"/>
      <c r="F941" s="20"/>
      <c r="G941" s="20"/>
      <c r="H941" s="20"/>
      <c r="I941" s="20"/>
      <c r="J941" s="21"/>
      <c r="K941" s="21"/>
      <c r="L941" s="21"/>
      <c r="M941" s="21"/>
      <c r="N941" s="22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</row>
    <row r="942" spans="1:45" ht="12.75" customHeight="1" x14ac:dyDescent="0.25">
      <c r="A942" s="20"/>
      <c r="B942" s="20"/>
      <c r="C942" s="20"/>
      <c r="D942" s="20"/>
      <c r="E942" s="20"/>
      <c r="F942" s="20"/>
      <c r="G942" s="20"/>
      <c r="H942" s="20"/>
      <c r="I942" s="20"/>
      <c r="J942" s="21"/>
      <c r="K942" s="21"/>
      <c r="L942" s="21"/>
      <c r="M942" s="21"/>
      <c r="N942" s="22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</row>
    <row r="943" spans="1:45" ht="12.75" customHeight="1" x14ac:dyDescent="0.25">
      <c r="A943" s="20"/>
      <c r="B943" s="20"/>
      <c r="C943" s="20"/>
      <c r="D943" s="20"/>
      <c r="E943" s="20"/>
      <c r="F943" s="20"/>
      <c r="G943" s="20"/>
      <c r="H943" s="20"/>
      <c r="I943" s="20"/>
      <c r="J943" s="21"/>
      <c r="K943" s="21"/>
      <c r="L943" s="21"/>
      <c r="M943" s="21"/>
      <c r="N943" s="22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</row>
    <row r="944" spans="1:45" ht="12.75" customHeight="1" x14ac:dyDescent="0.25">
      <c r="A944" s="20"/>
      <c r="B944" s="20"/>
      <c r="C944" s="20"/>
      <c r="D944" s="20"/>
      <c r="E944" s="20"/>
      <c r="F944" s="20"/>
      <c r="G944" s="20"/>
      <c r="H944" s="20"/>
      <c r="I944" s="20"/>
      <c r="J944" s="21"/>
      <c r="K944" s="21"/>
      <c r="L944" s="21"/>
      <c r="M944" s="21"/>
      <c r="N944" s="22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</row>
    <row r="945" spans="1:45" ht="12.75" customHeight="1" x14ac:dyDescent="0.25">
      <c r="A945" s="20"/>
      <c r="B945" s="20"/>
      <c r="C945" s="20"/>
      <c r="D945" s="20"/>
      <c r="E945" s="20"/>
      <c r="F945" s="20"/>
      <c r="G945" s="20"/>
      <c r="H945" s="20"/>
      <c r="I945" s="20"/>
      <c r="J945" s="21"/>
      <c r="K945" s="21"/>
      <c r="L945" s="21"/>
      <c r="M945" s="21"/>
      <c r="N945" s="22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</row>
    <row r="946" spans="1:45" ht="12.75" customHeight="1" x14ac:dyDescent="0.25">
      <c r="A946" s="20"/>
      <c r="B946" s="20"/>
      <c r="C946" s="20"/>
      <c r="D946" s="20"/>
      <c r="E946" s="20"/>
      <c r="F946" s="20"/>
      <c r="G946" s="20"/>
      <c r="H946" s="20"/>
      <c r="I946" s="20"/>
      <c r="J946" s="21"/>
      <c r="K946" s="21"/>
      <c r="L946" s="21"/>
      <c r="M946" s="21"/>
      <c r="N946" s="22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</row>
    <row r="947" spans="1:45" ht="12.75" customHeight="1" x14ac:dyDescent="0.25">
      <c r="A947" s="20"/>
      <c r="B947" s="20"/>
      <c r="C947" s="20"/>
      <c r="D947" s="20"/>
      <c r="E947" s="20"/>
      <c r="F947" s="20"/>
      <c r="G947" s="20"/>
      <c r="H947" s="20"/>
      <c r="I947" s="20"/>
      <c r="J947" s="21"/>
      <c r="K947" s="21"/>
      <c r="L947" s="21"/>
      <c r="M947" s="21"/>
      <c r="N947" s="22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</row>
    <row r="948" spans="1:45" ht="12.75" customHeight="1" x14ac:dyDescent="0.25">
      <c r="A948" s="20"/>
      <c r="B948" s="20"/>
      <c r="C948" s="20"/>
      <c r="D948" s="20"/>
      <c r="E948" s="20"/>
      <c r="F948" s="20"/>
      <c r="G948" s="20"/>
      <c r="H948" s="20"/>
      <c r="I948" s="20"/>
      <c r="J948" s="21"/>
      <c r="K948" s="21"/>
      <c r="L948" s="21"/>
      <c r="M948" s="21"/>
      <c r="N948" s="22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</row>
    <row r="949" spans="1:45" ht="12.75" customHeight="1" x14ac:dyDescent="0.25">
      <c r="A949" s="20"/>
      <c r="B949" s="20"/>
      <c r="C949" s="20"/>
      <c r="D949" s="20"/>
      <c r="E949" s="20"/>
      <c r="F949" s="20"/>
      <c r="G949" s="20"/>
      <c r="H949" s="20"/>
      <c r="I949" s="20"/>
      <c r="J949" s="21"/>
      <c r="K949" s="21"/>
      <c r="L949" s="21"/>
      <c r="M949" s="21"/>
      <c r="N949" s="22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</row>
    <row r="950" spans="1:45" ht="12.75" customHeight="1" x14ac:dyDescent="0.25">
      <c r="A950" s="20"/>
      <c r="B950" s="20"/>
      <c r="C950" s="20"/>
      <c r="D950" s="20"/>
      <c r="E950" s="20"/>
      <c r="F950" s="20"/>
      <c r="G950" s="20"/>
      <c r="H950" s="20"/>
      <c r="I950" s="20"/>
      <c r="J950" s="21"/>
      <c r="K950" s="21"/>
      <c r="L950" s="21"/>
      <c r="M950" s="21"/>
      <c r="N950" s="22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</row>
    <row r="951" spans="1:45" ht="12.75" customHeight="1" x14ac:dyDescent="0.25">
      <c r="A951" s="20"/>
      <c r="B951" s="20"/>
      <c r="C951" s="20"/>
      <c r="D951" s="20"/>
      <c r="E951" s="20"/>
      <c r="F951" s="20"/>
      <c r="G951" s="20"/>
      <c r="H951" s="20"/>
      <c r="I951" s="20"/>
      <c r="J951" s="21"/>
      <c r="K951" s="21"/>
      <c r="L951" s="21"/>
      <c r="M951" s="21"/>
      <c r="N951" s="22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</row>
    <row r="952" spans="1:45" ht="12.75" customHeight="1" x14ac:dyDescent="0.25">
      <c r="A952" s="20"/>
      <c r="B952" s="20"/>
      <c r="C952" s="20"/>
      <c r="D952" s="20"/>
      <c r="E952" s="20"/>
      <c r="F952" s="20"/>
      <c r="G952" s="20"/>
      <c r="H952" s="20"/>
      <c r="I952" s="20"/>
      <c r="J952" s="21"/>
      <c r="K952" s="21"/>
      <c r="L952" s="21"/>
      <c r="M952" s="21"/>
      <c r="N952" s="22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</row>
    <row r="953" spans="1:45" ht="12.75" customHeight="1" x14ac:dyDescent="0.25">
      <c r="A953" s="20"/>
      <c r="B953" s="20"/>
      <c r="C953" s="20"/>
      <c r="D953" s="20"/>
      <c r="E953" s="20"/>
      <c r="F953" s="20"/>
      <c r="G953" s="20"/>
      <c r="H953" s="20"/>
      <c r="I953" s="20"/>
      <c r="J953" s="21"/>
      <c r="K953" s="21"/>
      <c r="L953" s="21"/>
      <c r="M953" s="21"/>
      <c r="N953" s="22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</row>
    <row r="954" spans="1:45" ht="12.75" customHeight="1" x14ac:dyDescent="0.25">
      <c r="A954" s="20"/>
      <c r="B954" s="20"/>
      <c r="C954" s="20"/>
      <c r="D954" s="20"/>
      <c r="E954" s="20"/>
      <c r="F954" s="20"/>
      <c r="G954" s="20"/>
      <c r="H954" s="20"/>
      <c r="I954" s="20"/>
      <c r="J954" s="21"/>
      <c r="K954" s="21"/>
      <c r="L954" s="21"/>
      <c r="M954" s="21"/>
      <c r="N954" s="22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</row>
    <row r="955" spans="1:45" ht="12.75" customHeight="1" x14ac:dyDescent="0.25">
      <c r="A955" s="20"/>
      <c r="B955" s="20"/>
      <c r="C955" s="20"/>
      <c r="D955" s="20"/>
      <c r="E955" s="20"/>
      <c r="F955" s="20"/>
      <c r="G955" s="20"/>
      <c r="H955" s="20"/>
      <c r="I955" s="20"/>
      <c r="J955" s="21"/>
      <c r="K955" s="21"/>
      <c r="L955" s="21"/>
      <c r="M955" s="21"/>
      <c r="N955" s="22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</row>
    <row r="956" spans="1:45" ht="12.75" customHeight="1" x14ac:dyDescent="0.25">
      <c r="A956" s="20"/>
      <c r="B956" s="20"/>
      <c r="C956" s="20"/>
      <c r="D956" s="20"/>
      <c r="E956" s="20"/>
      <c r="F956" s="20"/>
      <c r="G956" s="20"/>
      <c r="H956" s="20"/>
      <c r="I956" s="20"/>
      <c r="J956" s="21"/>
      <c r="K956" s="21"/>
      <c r="L956" s="21"/>
      <c r="M956" s="21"/>
      <c r="N956" s="22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</row>
    <row r="957" spans="1:45" ht="12.75" customHeight="1" x14ac:dyDescent="0.25">
      <c r="A957" s="20"/>
      <c r="B957" s="20"/>
      <c r="C957" s="20"/>
      <c r="D957" s="20"/>
      <c r="E957" s="20"/>
      <c r="F957" s="20"/>
      <c r="G957" s="20"/>
      <c r="H957" s="20"/>
      <c r="I957" s="20"/>
      <c r="J957" s="21"/>
      <c r="K957" s="21"/>
      <c r="L957" s="21"/>
      <c r="M957" s="21"/>
      <c r="N957" s="22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</row>
    <row r="958" spans="1:45" ht="12.75" customHeight="1" x14ac:dyDescent="0.25">
      <c r="A958" s="20"/>
      <c r="B958" s="20"/>
      <c r="C958" s="20"/>
      <c r="D958" s="20"/>
      <c r="E958" s="20"/>
      <c r="F958" s="20"/>
      <c r="G958" s="20"/>
      <c r="H958" s="20"/>
      <c r="I958" s="20"/>
      <c r="J958" s="21"/>
      <c r="K958" s="21"/>
      <c r="L958" s="21"/>
      <c r="M958" s="21"/>
      <c r="N958" s="22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</row>
    <row r="959" spans="1:45" ht="12.75" customHeight="1" x14ac:dyDescent="0.25">
      <c r="A959" s="20"/>
      <c r="B959" s="20"/>
      <c r="C959" s="20"/>
      <c r="D959" s="20"/>
      <c r="E959" s="20"/>
      <c r="F959" s="20"/>
      <c r="G959" s="20"/>
      <c r="H959" s="20"/>
      <c r="I959" s="20"/>
      <c r="J959" s="21"/>
      <c r="K959" s="21"/>
      <c r="L959" s="21"/>
      <c r="M959" s="21"/>
      <c r="N959" s="22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</row>
    <row r="960" spans="1:45" ht="12.75" customHeight="1" x14ac:dyDescent="0.25">
      <c r="A960" s="20"/>
      <c r="B960" s="20"/>
      <c r="C960" s="20"/>
      <c r="D960" s="20"/>
      <c r="E960" s="20"/>
      <c r="F960" s="20"/>
      <c r="G960" s="20"/>
      <c r="H960" s="20"/>
      <c r="I960" s="20"/>
      <c r="J960" s="21"/>
      <c r="K960" s="21"/>
      <c r="L960" s="21"/>
      <c r="M960" s="21"/>
      <c r="N960" s="22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</row>
    <row r="961" spans="1:45" ht="12.75" customHeight="1" x14ac:dyDescent="0.25">
      <c r="A961" s="20"/>
      <c r="B961" s="20"/>
      <c r="C961" s="20"/>
      <c r="D961" s="20"/>
      <c r="E961" s="20"/>
      <c r="F961" s="20"/>
      <c r="G961" s="20"/>
      <c r="H961" s="20"/>
      <c r="I961" s="20"/>
      <c r="J961" s="21"/>
      <c r="K961" s="21"/>
      <c r="L961" s="21"/>
      <c r="M961" s="21"/>
      <c r="N961" s="22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</row>
    <row r="962" spans="1:45" ht="12.75" customHeight="1" x14ac:dyDescent="0.25">
      <c r="A962" s="20"/>
      <c r="B962" s="20"/>
      <c r="C962" s="20"/>
      <c r="D962" s="20"/>
      <c r="E962" s="20"/>
      <c r="F962" s="20"/>
      <c r="G962" s="20"/>
      <c r="H962" s="20"/>
      <c r="I962" s="20"/>
      <c r="J962" s="21"/>
      <c r="K962" s="21"/>
      <c r="L962" s="21"/>
      <c r="M962" s="21"/>
      <c r="N962" s="22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</row>
    <row r="963" spans="1:45" ht="12.75" customHeight="1" x14ac:dyDescent="0.25">
      <c r="A963" s="20"/>
      <c r="B963" s="20"/>
      <c r="C963" s="20"/>
      <c r="D963" s="20"/>
      <c r="E963" s="20"/>
      <c r="F963" s="20"/>
      <c r="G963" s="20"/>
      <c r="H963" s="20"/>
      <c r="I963" s="20"/>
      <c r="J963" s="21"/>
      <c r="K963" s="21"/>
      <c r="L963" s="21"/>
      <c r="M963" s="21"/>
      <c r="N963" s="22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</row>
    <row r="964" spans="1:45" ht="12.75" customHeight="1" x14ac:dyDescent="0.25">
      <c r="A964" s="20"/>
      <c r="B964" s="20"/>
      <c r="C964" s="20"/>
      <c r="D964" s="20"/>
      <c r="E964" s="20"/>
      <c r="F964" s="20"/>
      <c r="G964" s="20"/>
      <c r="H964" s="20"/>
      <c r="I964" s="20"/>
      <c r="J964" s="21"/>
      <c r="K964" s="21"/>
      <c r="L964" s="21"/>
      <c r="M964" s="21"/>
      <c r="N964" s="22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</row>
    <row r="965" spans="1:45" ht="12.75" customHeight="1" x14ac:dyDescent="0.25">
      <c r="A965" s="20"/>
      <c r="B965" s="20"/>
      <c r="C965" s="20"/>
      <c r="D965" s="20"/>
      <c r="E965" s="20"/>
      <c r="F965" s="20"/>
      <c r="G965" s="20"/>
      <c r="H965" s="20"/>
      <c r="I965" s="20"/>
      <c r="J965" s="21"/>
      <c r="K965" s="21"/>
      <c r="L965" s="21"/>
      <c r="M965" s="21"/>
      <c r="N965" s="22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</row>
    <row r="966" spans="1:45" ht="12.75" customHeight="1" x14ac:dyDescent="0.25">
      <c r="A966" s="20"/>
      <c r="B966" s="20"/>
      <c r="C966" s="20"/>
      <c r="D966" s="20"/>
      <c r="E966" s="20"/>
      <c r="F966" s="20"/>
      <c r="G966" s="20"/>
      <c r="H966" s="20"/>
      <c r="I966" s="20"/>
      <c r="J966" s="21"/>
      <c r="K966" s="21"/>
      <c r="L966" s="21"/>
      <c r="M966" s="21"/>
      <c r="N966" s="22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</row>
    <row r="967" spans="1:45" ht="12.75" customHeight="1" x14ac:dyDescent="0.25">
      <c r="A967" s="20"/>
      <c r="B967" s="20"/>
      <c r="C967" s="20"/>
      <c r="D967" s="20"/>
      <c r="E967" s="20"/>
      <c r="F967" s="20"/>
      <c r="G967" s="20"/>
      <c r="H967" s="20"/>
      <c r="I967" s="20"/>
      <c r="J967" s="21"/>
      <c r="K967" s="21"/>
      <c r="L967" s="21"/>
      <c r="M967" s="21"/>
      <c r="N967" s="22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</row>
    <row r="968" spans="1:45" ht="12.75" customHeight="1" x14ac:dyDescent="0.25">
      <c r="A968" s="20"/>
      <c r="B968" s="20"/>
      <c r="C968" s="20"/>
      <c r="D968" s="20"/>
      <c r="E968" s="20"/>
      <c r="F968" s="20"/>
      <c r="G968" s="20"/>
      <c r="H968" s="20"/>
      <c r="I968" s="20"/>
      <c r="J968" s="21"/>
      <c r="K968" s="21"/>
      <c r="L968" s="21"/>
      <c r="M968" s="21"/>
      <c r="N968" s="22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</row>
    <row r="969" spans="1:45" ht="12.75" customHeight="1" x14ac:dyDescent="0.25">
      <c r="A969" s="20"/>
      <c r="B969" s="20"/>
      <c r="C969" s="20"/>
      <c r="D969" s="20"/>
      <c r="E969" s="20"/>
      <c r="F969" s="20"/>
      <c r="G969" s="20"/>
      <c r="H969" s="20"/>
      <c r="I969" s="20"/>
      <c r="J969" s="21"/>
      <c r="K969" s="21"/>
      <c r="L969" s="21"/>
      <c r="M969" s="21"/>
      <c r="N969" s="22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</row>
    <row r="970" spans="1:45" ht="12.75" customHeight="1" x14ac:dyDescent="0.25">
      <c r="A970" s="20"/>
      <c r="B970" s="20"/>
      <c r="C970" s="20"/>
      <c r="D970" s="20"/>
      <c r="E970" s="20"/>
      <c r="F970" s="20"/>
      <c r="G970" s="20"/>
      <c r="H970" s="20"/>
      <c r="I970" s="20"/>
      <c r="J970" s="21"/>
      <c r="K970" s="21"/>
      <c r="L970" s="21"/>
      <c r="M970" s="21"/>
      <c r="N970" s="22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</row>
    <row r="971" spans="1:45" ht="12.75" customHeight="1" x14ac:dyDescent="0.25">
      <c r="A971" s="20"/>
      <c r="B971" s="20"/>
      <c r="C971" s="20"/>
      <c r="D971" s="20"/>
      <c r="E971" s="20"/>
      <c r="F971" s="20"/>
      <c r="G971" s="20"/>
      <c r="H971" s="20"/>
      <c r="I971" s="20"/>
      <c r="J971" s="21"/>
      <c r="K971" s="21"/>
      <c r="L971" s="21"/>
      <c r="M971" s="21"/>
      <c r="N971" s="22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</row>
    <row r="972" spans="1:45" ht="12.75" customHeight="1" x14ac:dyDescent="0.25">
      <c r="A972" s="20"/>
      <c r="B972" s="20"/>
      <c r="C972" s="20"/>
      <c r="D972" s="20"/>
      <c r="E972" s="20"/>
      <c r="F972" s="20"/>
      <c r="G972" s="20"/>
      <c r="H972" s="20"/>
      <c r="I972" s="20"/>
      <c r="J972" s="21"/>
      <c r="K972" s="21"/>
      <c r="L972" s="21"/>
      <c r="M972" s="21"/>
      <c r="N972" s="22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</row>
    <row r="973" spans="1:45" ht="12.75" customHeight="1" x14ac:dyDescent="0.25">
      <c r="A973" s="20"/>
      <c r="B973" s="20"/>
      <c r="C973" s="20"/>
      <c r="D973" s="20"/>
      <c r="E973" s="20"/>
      <c r="F973" s="20"/>
      <c r="G973" s="20"/>
      <c r="H973" s="20"/>
      <c r="I973" s="20"/>
      <c r="J973" s="21"/>
      <c r="K973" s="21"/>
      <c r="L973" s="21"/>
      <c r="M973" s="21"/>
      <c r="N973" s="22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</row>
    <row r="974" spans="1:45" ht="12.75" customHeight="1" x14ac:dyDescent="0.25">
      <c r="A974" s="20"/>
      <c r="B974" s="20"/>
      <c r="C974" s="20"/>
      <c r="D974" s="20"/>
      <c r="E974" s="20"/>
      <c r="F974" s="20"/>
      <c r="G974" s="20"/>
      <c r="H974" s="20"/>
      <c r="I974" s="20"/>
      <c r="J974" s="21"/>
      <c r="K974" s="21"/>
      <c r="L974" s="21"/>
      <c r="M974" s="21"/>
      <c r="N974" s="22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</row>
    <row r="975" spans="1:45" ht="12.75" customHeight="1" x14ac:dyDescent="0.25">
      <c r="A975" s="20"/>
      <c r="B975" s="20"/>
      <c r="C975" s="20"/>
      <c r="D975" s="20"/>
      <c r="E975" s="20"/>
      <c r="F975" s="20"/>
      <c r="G975" s="20"/>
      <c r="H975" s="20"/>
      <c r="I975" s="20"/>
      <c r="J975" s="21"/>
      <c r="K975" s="21"/>
      <c r="L975" s="21"/>
      <c r="M975" s="21"/>
      <c r="N975" s="22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</row>
    <row r="976" spans="1:45" ht="12.75" customHeight="1" x14ac:dyDescent="0.25">
      <c r="A976" s="20"/>
      <c r="B976" s="20"/>
      <c r="C976" s="20"/>
      <c r="D976" s="20"/>
      <c r="E976" s="20"/>
      <c r="F976" s="20"/>
      <c r="G976" s="20"/>
      <c r="H976" s="20"/>
      <c r="I976" s="20"/>
      <c r="J976" s="21"/>
      <c r="K976" s="21"/>
      <c r="L976" s="21"/>
      <c r="M976" s="21"/>
      <c r="N976" s="22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</row>
    <row r="977" spans="1:45" ht="12.75" customHeight="1" x14ac:dyDescent="0.25">
      <c r="A977" s="20"/>
      <c r="B977" s="20"/>
      <c r="C977" s="20"/>
      <c r="D977" s="20"/>
      <c r="E977" s="20"/>
      <c r="F977" s="20"/>
      <c r="G977" s="20"/>
      <c r="H977" s="20"/>
      <c r="I977" s="20"/>
      <c r="J977" s="21"/>
      <c r="K977" s="21"/>
      <c r="L977" s="21"/>
      <c r="M977" s="21"/>
      <c r="N977" s="22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</row>
    <row r="978" spans="1:45" ht="12.75" customHeight="1" x14ac:dyDescent="0.25">
      <c r="A978" s="20"/>
      <c r="B978" s="20"/>
      <c r="C978" s="20"/>
      <c r="D978" s="20"/>
      <c r="E978" s="20"/>
      <c r="F978" s="20"/>
      <c r="G978" s="20"/>
      <c r="H978" s="20"/>
      <c r="I978" s="20"/>
      <c r="J978" s="21"/>
      <c r="K978" s="21"/>
      <c r="L978" s="21"/>
      <c r="M978" s="21"/>
      <c r="N978" s="22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</row>
    <row r="979" spans="1:45" ht="12.75" customHeight="1" x14ac:dyDescent="0.25">
      <c r="A979" s="20"/>
      <c r="B979" s="20"/>
      <c r="C979" s="20"/>
      <c r="D979" s="20"/>
      <c r="E979" s="20"/>
      <c r="F979" s="20"/>
      <c r="G979" s="20"/>
      <c r="H979" s="20"/>
      <c r="I979" s="20"/>
      <c r="J979" s="21"/>
      <c r="K979" s="21"/>
      <c r="L979" s="21"/>
      <c r="M979" s="21"/>
      <c r="N979" s="22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</row>
    <row r="980" spans="1:45" ht="12.75" customHeight="1" x14ac:dyDescent="0.25">
      <c r="A980" s="20"/>
      <c r="B980" s="20"/>
      <c r="C980" s="20"/>
      <c r="D980" s="20"/>
      <c r="E980" s="20"/>
      <c r="F980" s="20"/>
      <c r="G980" s="20"/>
      <c r="H980" s="20"/>
      <c r="I980" s="20"/>
      <c r="J980" s="21"/>
      <c r="K980" s="21"/>
      <c r="L980" s="21"/>
      <c r="M980" s="21"/>
      <c r="N980" s="22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</row>
    <row r="981" spans="1:45" ht="12.75" customHeight="1" x14ac:dyDescent="0.25">
      <c r="A981" s="20"/>
      <c r="B981" s="20"/>
      <c r="C981" s="20"/>
      <c r="D981" s="20"/>
      <c r="E981" s="20"/>
      <c r="F981" s="20"/>
      <c r="G981" s="20"/>
      <c r="H981" s="20"/>
      <c r="I981" s="20"/>
      <c r="J981" s="21"/>
      <c r="K981" s="21"/>
      <c r="L981" s="21"/>
      <c r="M981" s="21"/>
      <c r="N981" s="22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</row>
    <row r="982" spans="1:45" ht="12.75" customHeight="1" x14ac:dyDescent="0.25">
      <c r="A982" s="20"/>
      <c r="B982" s="20"/>
      <c r="C982" s="20"/>
      <c r="D982" s="20"/>
      <c r="E982" s="20"/>
      <c r="F982" s="20"/>
      <c r="G982" s="20"/>
      <c r="H982" s="20"/>
      <c r="I982" s="20"/>
      <c r="J982" s="21"/>
      <c r="K982" s="21"/>
      <c r="L982" s="21"/>
      <c r="M982" s="21"/>
      <c r="N982" s="22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</row>
    <row r="983" spans="1:45" ht="12.75" customHeight="1" x14ac:dyDescent="0.25">
      <c r="A983" s="20"/>
      <c r="B983" s="20"/>
      <c r="C983" s="20"/>
      <c r="D983" s="20"/>
      <c r="E983" s="20"/>
      <c r="F983" s="20"/>
      <c r="G983" s="20"/>
      <c r="H983" s="20"/>
      <c r="I983" s="20"/>
      <c r="J983" s="21"/>
      <c r="K983" s="21"/>
      <c r="L983" s="21"/>
      <c r="M983" s="21"/>
      <c r="N983" s="22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</row>
    <row r="984" spans="1:45" ht="12.75" customHeight="1" x14ac:dyDescent="0.25">
      <c r="A984" s="20"/>
      <c r="B984" s="20"/>
      <c r="C984" s="20"/>
      <c r="D984" s="20"/>
      <c r="E984" s="20"/>
      <c r="F984" s="20"/>
      <c r="G984" s="20"/>
      <c r="H984" s="20"/>
      <c r="I984" s="20"/>
      <c r="J984" s="21"/>
      <c r="K984" s="21"/>
      <c r="L984" s="21"/>
      <c r="M984" s="21"/>
      <c r="N984" s="22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</row>
    <row r="985" spans="1:45" ht="12.75" customHeight="1" x14ac:dyDescent="0.25">
      <c r="A985" s="20"/>
      <c r="B985" s="20"/>
      <c r="C985" s="20"/>
      <c r="D985" s="20"/>
      <c r="E985" s="20"/>
      <c r="F985" s="20"/>
      <c r="G985" s="20"/>
      <c r="H985" s="20"/>
      <c r="I985" s="20"/>
      <c r="J985" s="21"/>
      <c r="K985" s="21"/>
      <c r="L985" s="21"/>
      <c r="M985" s="21"/>
      <c r="N985" s="22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</row>
    <row r="986" spans="1:45" ht="12.75" customHeight="1" x14ac:dyDescent="0.25">
      <c r="A986" s="20"/>
      <c r="B986" s="20"/>
      <c r="C986" s="20"/>
      <c r="D986" s="20"/>
      <c r="E986" s="20"/>
      <c r="F986" s="20"/>
      <c r="G986" s="20"/>
      <c r="H986" s="20"/>
      <c r="I986" s="20"/>
      <c r="J986" s="21"/>
      <c r="K986" s="21"/>
      <c r="L986" s="21"/>
      <c r="M986" s="21"/>
      <c r="N986" s="22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</row>
    <row r="987" spans="1:45" ht="12.75" customHeight="1" x14ac:dyDescent="0.25">
      <c r="A987" s="20"/>
      <c r="B987" s="20"/>
      <c r="C987" s="20"/>
      <c r="D987" s="20"/>
      <c r="E987" s="20"/>
      <c r="F987" s="20"/>
      <c r="G987" s="20"/>
      <c r="H987" s="20"/>
      <c r="I987" s="20"/>
      <c r="J987" s="21"/>
      <c r="K987" s="21"/>
      <c r="L987" s="21"/>
      <c r="M987" s="21"/>
      <c r="N987" s="22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</row>
    <row r="988" spans="1:45" ht="12.75" customHeight="1" x14ac:dyDescent="0.25">
      <c r="A988" s="20"/>
      <c r="B988" s="20"/>
      <c r="C988" s="20"/>
      <c r="D988" s="20"/>
      <c r="E988" s="20"/>
      <c r="F988" s="20"/>
      <c r="G988" s="20"/>
      <c r="H988" s="20"/>
      <c r="I988" s="20"/>
      <c r="J988" s="21"/>
      <c r="K988" s="21"/>
      <c r="L988" s="21"/>
      <c r="M988" s="21"/>
      <c r="N988" s="22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</row>
    <row r="989" spans="1:45" ht="12.75" customHeight="1" x14ac:dyDescent="0.25">
      <c r="A989" s="20"/>
      <c r="B989" s="20"/>
      <c r="C989" s="20"/>
      <c r="D989" s="20"/>
      <c r="E989" s="20"/>
      <c r="F989" s="20"/>
      <c r="G989" s="20"/>
      <c r="H989" s="20"/>
      <c r="I989" s="20"/>
      <c r="J989" s="21"/>
      <c r="K989" s="21"/>
      <c r="L989" s="21"/>
      <c r="M989" s="21"/>
      <c r="N989" s="22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</row>
    <row r="990" spans="1:45" ht="12.75" customHeight="1" x14ac:dyDescent="0.25">
      <c r="A990" s="20"/>
      <c r="B990" s="20"/>
      <c r="C990" s="20"/>
      <c r="D990" s="20"/>
      <c r="E990" s="20"/>
      <c r="F990" s="20"/>
      <c r="G990" s="20"/>
      <c r="H990" s="20"/>
      <c r="I990" s="20"/>
      <c r="J990" s="21"/>
      <c r="K990" s="21"/>
      <c r="L990" s="21"/>
      <c r="M990" s="21"/>
      <c r="N990" s="22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</row>
    <row r="991" spans="1:45" ht="12.75" customHeight="1" x14ac:dyDescent="0.25">
      <c r="A991" s="20"/>
      <c r="B991" s="20"/>
      <c r="C991" s="20"/>
      <c r="D991" s="20"/>
      <c r="E991" s="20"/>
      <c r="F991" s="20"/>
      <c r="G991" s="20"/>
      <c r="H991" s="20"/>
      <c r="I991" s="20"/>
      <c r="J991" s="21"/>
      <c r="K991" s="21"/>
      <c r="L991" s="21"/>
      <c r="M991" s="21"/>
      <c r="N991" s="22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</row>
    <row r="992" spans="1:45" ht="12.75" customHeight="1" x14ac:dyDescent="0.25">
      <c r="A992" s="20"/>
      <c r="B992" s="20"/>
      <c r="C992" s="20"/>
      <c r="D992" s="20"/>
      <c r="E992" s="20"/>
      <c r="F992" s="20"/>
      <c r="G992" s="20"/>
      <c r="H992" s="20"/>
      <c r="I992" s="20"/>
      <c r="J992" s="21"/>
      <c r="K992" s="21"/>
      <c r="L992" s="21"/>
      <c r="M992" s="21"/>
      <c r="N992" s="22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</row>
    <row r="993" spans="1:45" ht="12.75" customHeight="1" x14ac:dyDescent="0.25">
      <c r="A993" s="20"/>
      <c r="B993" s="20"/>
      <c r="C993" s="20"/>
      <c r="D993" s="20"/>
      <c r="E993" s="20"/>
      <c r="F993" s="20"/>
      <c r="G993" s="20"/>
      <c r="H993" s="20"/>
      <c r="I993" s="20"/>
      <c r="J993" s="21"/>
      <c r="K993" s="21"/>
      <c r="L993" s="21"/>
      <c r="M993" s="21"/>
      <c r="N993" s="22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</row>
    <row r="994" spans="1:45" ht="12.75" customHeight="1" x14ac:dyDescent="0.25">
      <c r="A994" s="20"/>
      <c r="B994" s="20"/>
      <c r="C994" s="20"/>
      <c r="D994" s="20"/>
      <c r="E994" s="20"/>
      <c r="F994" s="20"/>
      <c r="G994" s="20"/>
      <c r="H994" s="20"/>
      <c r="I994" s="20"/>
      <c r="J994" s="21"/>
      <c r="K994" s="21"/>
      <c r="L994" s="21"/>
      <c r="M994" s="21"/>
      <c r="N994" s="22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</row>
    <row r="995" spans="1:45" ht="12.75" customHeight="1" x14ac:dyDescent="0.25">
      <c r="A995" s="20"/>
      <c r="B995" s="20"/>
      <c r="C995" s="20"/>
      <c r="D995" s="20"/>
      <c r="E995" s="20"/>
      <c r="F995" s="20"/>
      <c r="G995" s="20"/>
      <c r="H995" s="20"/>
      <c r="I995" s="20"/>
      <c r="J995" s="21"/>
      <c r="K995" s="21"/>
      <c r="L995" s="21"/>
      <c r="M995" s="21"/>
      <c r="N995" s="22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</row>
    <row r="996" spans="1:45" ht="12.75" customHeight="1" x14ac:dyDescent="0.25">
      <c r="A996" s="20"/>
      <c r="B996" s="20"/>
      <c r="C996" s="20"/>
      <c r="D996" s="20"/>
      <c r="E996" s="20"/>
      <c r="F996" s="20"/>
      <c r="G996" s="20"/>
      <c r="H996" s="20"/>
      <c r="I996" s="20"/>
      <c r="J996" s="21"/>
      <c r="K996" s="21"/>
      <c r="L996" s="21"/>
      <c r="M996" s="21"/>
      <c r="N996" s="22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</row>
    <row r="997" spans="1:45" ht="12.75" customHeight="1" x14ac:dyDescent="0.25">
      <c r="A997" s="20"/>
      <c r="B997" s="20"/>
      <c r="C997" s="20"/>
      <c r="D997" s="20"/>
      <c r="E997" s="20"/>
      <c r="F997" s="20"/>
      <c r="G997" s="20"/>
      <c r="H997" s="20"/>
      <c r="I997" s="20"/>
      <c r="J997" s="21"/>
      <c r="K997" s="21"/>
      <c r="L997" s="21"/>
      <c r="M997" s="21"/>
      <c r="N997" s="22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</row>
    <row r="998" spans="1:45" ht="12.75" customHeight="1" x14ac:dyDescent="0.25">
      <c r="A998" s="20"/>
      <c r="B998" s="20"/>
      <c r="C998" s="20"/>
      <c r="D998" s="20"/>
      <c r="E998" s="20"/>
      <c r="F998" s="20"/>
      <c r="G998" s="20"/>
      <c r="H998" s="20"/>
      <c r="I998" s="20"/>
      <c r="J998" s="21"/>
      <c r="K998" s="21"/>
      <c r="L998" s="21"/>
      <c r="M998" s="21"/>
      <c r="N998" s="22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</row>
    <row r="999" spans="1:45" ht="12.75" customHeight="1" x14ac:dyDescent="0.25">
      <c r="A999" s="20"/>
      <c r="B999" s="20"/>
      <c r="C999" s="20"/>
      <c r="D999" s="20"/>
      <c r="E999" s="20"/>
      <c r="F999" s="20"/>
      <c r="G999" s="20"/>
      <c r="H999" s="20"/>
      <c r="I999" s="20"/>
      <c r="J999" s="21"/>
      <c r="K999" s="21"/>
      <c r="L999" s="21"/>
      <c r="M999" s="21"/>
      <c r="N999" s="22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</row>
    <row r="1000" spans="1:45" ht="12.75" customHeight="1" x14ac:dyDescent="0.25">
      <c r="A1000" s="20"/>
      <c r="B1000" s="20"/>
      <c r="C1000" s="20"/>
      <c r="D1000" s="20"/>
      <c r="E1000" s="20"/>
      <c r="F1000" s="20"/>
      <c r="G1000" s="20"/>
      <c r="H1000" s="20"/>
      <c r="I1000" s="20"/>
      <c r="J1000" s="21"/>
      <c r="K1000" s="21"/>
      <c r="L1000" s="21"/>
      <c r="M1000" s="21"/>
      <c r="N1000" s="22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</row>
  </sheetData>
  <mergeCells count="16">
    <mergeCell ref="D107:J107"/>
    <mergeCell ref="B123:L123"/>
    <mergeCell ref="B140:E140"/>
    <mergeCell ref="G140:I140"/>
    <mergeCell ref="F2:G2"/>
    <mergeCell ref="D7:D9"/>
    <mergeCell ref="E41:F41"/>
    <mergeCell ref="G41:N41"/>
    <mergeCell ref="K42:M42"/>
    <mergeCell ref="E46:E48"/>
    <mergeCell ref="F46:F48"/>
    <mergeCell ref="G46:G48"/>
    <mergeCell ref="H46:H48"/>
    <mergeCell ref="I46:I48"/>
    <mergeCell ref="J46:J48"/>
    <mergeCell ref="B106:L106"/>
  </mergeCells>
  <pageMargins left="0.7" right="0.7" top="1.1865942028985508" bottom="0.75" header="0" footer="0"/>
  <pageSetup orientation="portrait"/>
  <headerFooter>
    <oddHeader>&amp;C002060Balance Energético Colombia &amp;A</oddHeader>
    <oddFooter>&amp;C&amp;F</oddFooter>
  </headerFooter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000"/>
  <sheetViews>
    <sheetView showGridLines="0" topLeftCell="A35" workbookViewId="0">
      <selection activeCell="F58" sqref="F58"/>
    </sheetView>
  </sheetViews>
  <sheetFormatPr baseColWidth="10" defaultColWidth="14.42578125" defaultRowHeight="15" customHeight="1" x14ac:dyDescent="0.25"/>
  <cols>
    <col min="1" max="2" width="10.7109375" customWidth="1"/>
    <col min="3" max="3" width="11.85546875" customWidth="1"/>
    <col min="4" max="4" width="14.42578125" customWidth="1"/>
    <col min="5" max="8" width="10.7109375" customWidth="1"/>
    <col min="9" max="9" width="13.85546875" customWidth="1"/>
    <col min="10" max="10" width="15.28515625" customWidth="1"/>
    <col min="11" max="11" width="34.5703125" customWidth="1"/>
    <col min="12" max="12" width="10.7109375" customWidth="1"/>
    <col min="13" max="13" width="15.5703125" customWidth="1"/>
    <col min="14" max="17" width="10.7109375" customWidth="1"/>
    <col min="18" max="18" width="12.28515625" customWidth="1"/>
    <col min="19" max="19" width="10.7109375" customWidth="1"/>
    <col min="20" max="20" width="14.85546875" customWidth="1"/>
    <col min="21" max="41" width="10.7109375" customWidth="1"/>
  </cols>
  <sheetData>
    <row r="1" spans="1:41" x14ac:dyDescent="0.25">
      <c r="Q1" s="202"/>
      <c r="R1" s="202">
        <v>9.47817E-4</v>
      </c>
      <c r="S1" s="202" t="s">
        <v>844</v>
      </c>
      <c r="T1" s="202"/>
      <c r="U1" s="202"/>
      <c r="V1" s="202"/>
      <c r="W1" s="202"/>
    </row>
    <row r="2" spans="1:41" x14ac:dyDescent="0.25">
      <c r="Q2" s="202"/>
      <c r="R2" s="202">
        <f>+R1/(1000000)</f>
        <v>9.4781700000000002E-10</v>
      </c>
      <c r="S2" s="202" t="s">
        <v>845</v>
      </c>
      <c r="T2" s="202"/>
      <c r="U2" s="202"/>
      <c r="V2" s="202"/>
      <c r="W2" s="202"/>
    </row>
    <row r="3" spans="1:41" x14ac:dyDescent="0.25">
      <c r="Q3" s="202"/>
      <c r="R3" s="202">
        <f>+R2*1000000000000000</f>
        <v>947817</v>
      </c>
      <c r="S3" s="202" t="s">
        <v>846</v>
      </c>
      <c r="T3" s="202">
        <f>1/R3</f>
        <v>1.0550559865459262E-6</v>
      </c>
      <c r="U3" s="202" t="s">
        <v>847</v>
      </c>
      <c r="V3" s="202"/>
      <c r="W3" s="202"/>
    </row>
    <row r="4" spans="1:41" x14ac:dyDescent="0.25">
      <c r="I4" s="15" t="s">
        <v>310</v>
      </c>
      <c r="J4" s="1"/>
      <c r="K4" s="1"/>
      <c r="L4" s="1"/>
      <c r="M4" s="1"/>
      <c r="Q4" s="202"/>
      <c r="R4" s="202"/>
      <c r="S4" s="202"/>
      <c r="T4" s="202"/>
      <c r="U4" s="202"/>
      <c r="V4" s="202"/>
      <c r="W4" s="202"/>
    </row>
    <row r="5" spans="1:41" x14ac:dyDescent="0.25">
      <c r="I5" s="8" t="s">
        <v>311</v>
      </c>
      <c r="J5" s="8" t="s">
        <v>312</v>
      </c>
      <c r="K5" s="8" t="s">
        <v>313</v>
      </c>
      <c r="L5" s="8" t="s">
        <v>314</v>
      </c>
      <c r="M5" s="8" t="s">
        <v>315</v>
      </c>
      <c r="Q5" s="202"/>
      <c r="R5" s="202">
        <v>1.0550559999999999E-6</v>
      </c>
      <c r="S5" s="202" t="s">
        <v>848</v>
      </c>
      <c r="T5" s="202"/>
      <c r="U5" s="202"/>
      <c r="V5" s="202"/>
      <c r="W5" s="202"/>
    </row>
    <row r="6" spans="1:41" ht="23.25" x14ac:dyDescent="0.25">
      <c r="A6" s="5"/>
      <c r="B6" s="5"/>
      <c r="C6" s="5"/>
      <c r="D6" s="5"/>
      <c r="E6" s="5"/>
      <c r="F6" s="5"/>
      <c r="G6" s="5"/>
      <c r="H6" s="5"/>
      <c r="I6" s="10" t="s">
        <v>319</v>
      </c>
      <c r="J6" s="10" t="s">
        <v>320</v>
      </c>
      <c r="K6" s="10" t="s">
        <v>321</v>
      </c>
      <c r="L6" s="10" t="s">
        <v>322</v>
      </c>
      <c r="M6" s="10" t="s">
        <v>323</v>
      </c>
      <c r="N6" s="5"/>
      <c r="O6" s="5"/>
      <c r="P6" s="5"/>
      <c r="Q6" s="203"/>
      <c r="R6" s="203"/>
      <c r="S6" s="203"/>
      <c r="T6" s="203"/>
      <c r="U6" s="203"/>
      <c r="V6" s="203"/>
      <c r="W6" s="203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spans="1:41" x14ac:dyDescent="0.25">
      <c r="I7" s="10" t="s">
        <v>327</v>
      </c>
      <c r="J7" s="10"/>
      <c r="K7" s="10"/>
      <c r="L7" s="10"/>
      <c r="M7" s="10"/>
      <c r="Q7" s="202"/>
      <c r="R7" s="202" t="s">
        <v>849</v>
      </c>
      <c r="S7" s="202" t="s">
        <v>850</v>
      </c>
      <c r="T7" s="202" t="s">
        <v>851</v>
      </c>
      <c r="U7" s="202"/>
      <c r="V7" s="202" t="s">
        <v>851</v>
      </c>
      <c r="W7" s="202" t="s">
        <v>849</v>
      </c>
    </row>
    <row r="8" spans="1:41" x14ac:dyDescent="0.25">
      <c r="I8" s="12" t="s">
        <v>301</v>
      </c>
      <c r="J8" s="12" t="str">
        <f t="array" ref="J8:J18">+$I$8&amp;"-"&amp;COMM!$O$20:$O$30</f>
        <v>EXP-GSL</v>
      </c>
      <c r="K8" s="12" t="str">
        <f t="array" ref="K8:K18">"Exportacion de "&amp;COMM!$P$20:$P$30</f>
        <v>Exportacion de Gasolina</v>
      </c>
      <c r="L8" s="12" t="s">
        <v>59</v>
      </c>
      <c r="M8" s="12" t="s">
        <v>328</v>
      </c>
      <c r="Q8" s="202" t="s">
        <v>852</v>
      </c>
      <c r="R8" s="202">
        <v>14.26</v>
      </c>
      <c r="S8" s="202">
        <f t="shared" ref="S8:S18" si="0">+R8*1000000</f>
        <v>14260000</v>
      </c>
      <c r="T8" s="204">
        <f t="shared" ref="T8:T18" si="1">+S8*$R$5</f>
        <v>15.04509856</v>
      </c>
      <c r="U8" s="202" t="s">
        <v>60</v>
      </c>
      <c r="V8" s="202">
        <v>22.15</v>
      </c>
      <c r="W8" s="202"/>
    </row>
    <row r="9" spans="1:41" x14ac:dyDescent="0.25">
      <c r="J9" s="12" t="str">
        <v>EXP-DSL</v>
      </c>
      <c r="K9" s="12" t="str">
        <v>Exportacion de Diesel</v>
      </c>
      <c r="L9" s="12" t="s">
        <v>59</v>
      </c>
      <c r="M9" s="12" t="s">
        <v>328</v>
      </c>
      <c r="Q9" s="202" t="s">
        <v>853</v>
      </c>
      <c r="R9" s="202">
        <v>16.96</v>
      </c>
      <c r="S9" s="202">
        <f t="shared" si="0"/>
        <v>16960000</v>
      </c>
      <c r="T9" s="204">
        <f t="shared" si="1"/>
        <v>17.893749759999999</v>
      </c>
      <c r="U9" s="202" t="s">
        <v>63</v>
      </c>
      <c r="V9" s="202">
        <v>22.06</v>
      </c>
      <c r="W9" s="202"/>
    </row>
    <row r="10" spans="1:41" x14ac:dyDescent="0.25">
      <c r="J10" s="12" t="str">
        <v>EXP-KER</v>
      </c>
      <c r="K10" s="12" t="str">
        <v>Exportacion de Keroseno-Jet</v>
      </c>
      <c r="L10" s="12" t="s">
        <v>59</v>
      </c>
      <c r="M10" s="12" t="s">
        <v>328</v>
      </c>
      <c r="Q10" s="202" t="s">
        <v>854</v>
      </c>
      <c r="R10" s="202">
        <v>11.91</v>
      </c>
      <c r="S10" s="202">
        <f t="shared" si="0"/>
        <v>11910000</v>
      </c>
      <c r="T10" s="204">
        <f t="shared" si="1"/>
        <v>12.56571696</v>
      </c>
      <c r="U10" s="202" t="s">
        <v>855</v>
      </c>
      <c r="V10" s="202">
        <v>14.64</v>
      </c>
      <c r="W10" s="202"/>
    </row>
    <row r="11" spans="1:41" x14ac:dyDescent="0.25">
      <c r="J11" s="12" t="str">
        <v>EXP-LPG</v>
      </c>
      <c r="K11" s="12" t="str">
        <v>Exportacion de LPG</v>
      </c>
      <c r="L11" s="12" t="s">
        <v>59</v>
      </c>
      <c r="M11" s="12" t="s">
        <v>328</v>
      </c>
      <c r="Q11" s="202" t="s">
        <v>856</v>
      </c>
      <c r="R11" s="202">
        <v>6.34</v>
      </c>
      <c r="S11" s="202">
        <f t="shared" si="0"/>
        <v>6340000</v>
      </c>
      <c r="T11" s="204">
        <f t="shared" si="1"/>
        <v>6.6890550399999995</v>
      </c>
      <c r="U11" s="202" t="s">
        <v>22</v>
      </c>
      <c r="V11" s="202">
        <v>18.52</v>
      </c>
      <c r="W11" s="202"/>
    </row>
    <row r="12" spans="1:41" x14ac:dyDescent="0.25">
      <c r="J12" s="12" t="str">
        <v>EXP-HFO</v>
      </c>
      <c r="K12" s="12" t="str">
        <v>Exportacion de Combustoleo</v>
      </c>
      <c r="L12" s="12" t="s">
        <v>59</v>
      </c>
      <c r="M12" s="12" t="s">
        <v>328</v>
      </c>
      <c r="Q12" s="202" t="s">
        <v>857</v>
      </c>
      <c r="R12" s="202">
        <v>8.2100000000000009</v>
      </c>
      <c r="S12" s="202">
        <f t="shared" si="0"/>
        <v>8210000.0000000009</v>
      </c>
      <c r="T12" s="204">
        <f t="shared" si="1"/>
        <v>8.6620097600000001</v>
      </c>
      <c r="U12" s="202" t="s">
        <v>858</v>
      </c>
      <c r="V12" s="202">
        <v>9.75</v>
      </c>
      <c r="W12" s="202"/>
    </row>
    <row r="13" spans="1:41" x14ac:dyDescent="0.25">
      <c r="J13" s="12" t="str">
        <v>EXP-ETH</v>
      </c>
      <c r="K13" s="12" t="str">
        <v>Exportacion de Etanol</v>
      </c>
      <c r="L13" s="12" t="s">
        <v>59</v>
      </c>
      <c r="M13" s="12" t="s">
        <v>328</v>
      </c>
      <c r="Q13" s="202" t="s">
        <v>859</v>
      </c>
      <c r="R13" s="202">
        <v>26</v>
      </c>
      <c r="S13" s="202">
        <f t="shared" si="0"/>
        <v>26000000</v>
      </c>
      <c r="T13" s="204">
        <f t="shared" si="1"/>
        <v>27.431455999999997</v>
      </c>
      <c r="U13" s="202" t="s">
        <v>860</v>
      </c>
      <c r="V13" s="202"/>
      <c r="W13" s="202"/>
    </row>
    <row r="14" spans="1:41" x14ac:dyDescent="0.25">
      <c r="J14" s="12" t="str">
        <v>EXP-BDSL</v>
      </c>
      <c r="K14" s="12" t="str">
        <v>Exportacion de Biodiesel</v>
      </c>
      <c r="L14" s="12" t="s">
        <v>59</v>
      </c>
      <c r="M14" s="12" t="s">
        <v>328</v>
      </c>
      <c r="Q14" s="202" t="s">
        <v>861</v>
      </c>
      <c r="R14" s="202">
        <v>29</v>
      </c>
      <c r="S14" s="202">
        <f t="shared" si="0"/>
        <v>29000000</v>
      </c>
      <c r="T14" s="204">
        <f t="shared" si="1"/>
        <v>30.596623999999998</v>
      </c>
      <c r="U14" s="202" t="s">
        <v>74</v>
      </c>
      <c r="V14" s="202"/>
      <c r="W14" s="202"/>
    </row>
    <row r="15" spans="1:41" x14ac:dyDescent="0.25">
      <c r="J15" s="12" t="str">
        <v>EXP-GAS</v>
      </c>
      <c r="K15" s="12" t="str">
        <v>Exportacion de Gasolina natural</v>
      </c>
      <c r="L15" s="12" t="s">
        <v>59</v>
      </c>
      <c r="M15" s="12" t="s">
        <v>328</v>
      </c>
      <c r="Q15" s="202" t="s">
        <v>862</v>
      </c>
      <c r="R15" s="202">
        <v>5.6</v>
      </c>
      <c r="S15" s="202">
        <f t="shared" si="0"/>
        <v>5600000</v>
      </c>
      <c r="T15" s="204">
        <f t="shared" si="1"/>
        <v>5.9083135999999996</v>
      </c>
      <c r="U15" s="202" t="s">
        <v>863</v>
      </c>
      <c r="V15" s="202">
        <v>5.03</v>
      </c>
      <c r="W15" s="202"/>
    </row>
    <row r="16" spans="1:41" x14ac:dyDescent="0.25">
      <c r="J16" s="12" t="str">
        <v>EXP-LOIL</v>
      </c>
      <c r="K16" s="12" t="str">
        <v>Exportacion de Petroleo liviano</v>
      </c>
      <c r="L16" s="12" t="s">
        <v>59</v>
      </c>
      <c r="M16" s="12" t="s">
        <v>328</v>
      </c>
      <c r="Q16" s="202" t="s">
        <v>864</v>
      </c>
      <c r="R16" s="202">
        <v>7.26</v>
      </c>
      <c r="S16" s="202">
        <f t="shared" si="0"/>
        <v>7260000</v>
      </c>
      <c r="T16" s="204">
        <f t="shared" si="1"/>
        <v>7.6597065599999992</v>
      </c>
      <c r="U16" s="202" t="s">
        <v>865</v>
      </c>
      <c r="V16" s="202"/>
      <c r="W16" s="202"/>
    </row>
    <row r="17" spans="2:23" x14ac:dyDescent="0.25">
      <c r="J17" s="12" t="str">
        <v>EXP-MOIL</v>
      </c>
      <c r="K17" s="12" t="str">
        <v>Exportacion de Petroleo mediano</v>
      </c>
      <c r="L17" s="12" t="s">
        <v>59</v>
      </c>
      <c r="M17" s="12" t="s">
        <v>328</v>
      </c>
      <c r="Q17" s="202" t="s">
        <v>866</v>
      </c>
      <c r="R17" s="202">
        <f>+R18+(R16-R18)/2</f>
        <v>7.01</v>
      </c>
      <c r="S17" s="202">
        <f t="shared" si="0"/>
        <v>7010000</v>
      </c>
      <c r="T17" s="204">
        <f t="shared" si="1"/>
        <v>7.3959425599999991</v>
      </c>
      <c r="U17" s="202"/>
      <c r="V17" s="202"/>
      <c r="W17" s="202"/>
    </row>
    <row r="18" spans="2:23" x14ac:dyDescent="0.25">
      <c r="J18" s="12" t="str">
        <v>EXP-HOIL</v>
      </c>
      <c r="K18" s="12" t="str">
        <v>Exportacion de Petroleo pesado</v>
      </c>
      <c r="L18" s="12" t="s">
        <v>59</v>
      </c>
      <c r="M18" s="12" t="s">
        <v>328</v>
      </c>
      <c r="Q18" s="202" t="s">
        <v>867</v>
      </c>
      <c r="R18" s="202">
        <v>6.76</v>
      </c>
      <c r="S18" s="202">
        <f t="shared" si="0"/>
        <v>6760000</v>
      </c>
      <c r="T18" s="204">
        <f t="shared" si="1"/>
        <v>7.1321785599999998</v>
      </c>
      <c r="U18" s="202"/>
      <c r="V18" s="202"/>
      <c r="W18" s="202"/>
    </row>
    <row r="19" spans="2:23" x14ac:dyDescent="0.25">
      <c r="J19" s="12" t="s">
        <v>868</v>
      </c>
      <c r="K19" s="12" t="s">
        <v>869</v>
      </c>
      <c r="L19" s="12" t="s">
        <v>59</v>
      </c>
      <c r="M19" s="12" t="s">
        <v>328</v>
      </c>
      <c r="Q19" s="202"/>
      <c r="R19" s="202"/>
      <c r="S19" s="202"/>
      <c r="T19" s="202"/>
      <c r="U19" s="202"/>
      <c r="V19" s="202"/>
      <c r="W19" s="202"/>
    </row>
    <row r="20" spans="2:23" x14ac:dyDescent="0.25">
      <c r="J20" s="12" t="s">
        <v>870</v>
      </c>
      <c r="K20" s="12" t="s">
        <v>871</v>
      </c>
      <c r="L20" s="12" t="s">
        <v>59</v>
      </c>
      <c r="M20" s="12" t="s">
        <v>328</v>
      </c>
      <c r="Q20" s="202"/>
      <c r="R20" s="202"/>
      <c r="S20" s="202"/>
      <c r="T20" s="202"/>
      <c r="U20" s="202"/>
      <c r="V20" s="202"/>
      <c r="W20" s="202"/>
    </row>
    <row r="21" spans="2:23" ht="15.75" customHeight="1" x14ac:dyDescent="0.25">
      <c r="I21" s="12" t="s">
        <v>299</v>
      </c>
      <c r="J21" s="12" t="str">
        <f t="array" ref="J21:J31">+$I$21&amp;"-"&amp;COMM!$O$20:$O$30</f>
        <v>IMP-GSL</v>
      </c>
      <c r="K21" s="12" t="str">
        <f t="array" ref="K21:K31">"Importacion de "&amp;COMM!$P$20:$P$30</f>
        <v>Importacion de Gasolina</v>
      </c>
      <c r="L21" s="12" t="s">
        <v>59</v>
      </c>
      <c r="M21" s="12" t="s">
        <v>328</v>
      </c>
    </row>
    <row r="22" spans="2:23" ht="15.75" customHeight="1" x14ac:dyDescent="0.25">
      <c r="J22" s="12" t="str">
        <v>IMP-DSL</v>
      </c>
      <c r="K22" s="12" t="str">
        <v>Importacion de Diesel</v>
      </c>
      <c r="L22" s="12" t="s">
        <v>59</v>
      </c>
      <c r="M22" s="12" t="s">
        <v>328</v>
      </c>
    </row>
    <row r="23" spans="2:23" ht="15.75" customHeight="1" x14ac:dyDescent="0.25">
      <c r="J23" s="12" t="str">
        <v>IMP-KER</v>
      </c>
      <c r="K23" s="12" t="str">
        <v>Importacion de Keroseno-Jet</v>
      </c>
      <c r="L23" s="12" t="s">
        <v>59</v>
      </c>
      <c r="M23" s="12" t="s">
        <v>328</v>
      </c>
    </row>
    <row r="24" spans="2:23" ht="15.75" customHeight="1" x14ac:dyDescent="0.25">
      <c r="J24" s="12" t="str">
        <v>IMP-LPG</v>
      </c>
      <c r="K24" s="12" t="str">
        <v>Importacion de LPG</v>
      </c>
      <c r="L24" s="12" t="s">
        <v>59</v>
      </c>
      <c r="M24" s="12" t="s">
        <v>328</v>
      </c>
    </row>
    <row r="25" spans="2:23" ht="15.75" customHeight="1" x14ac:dyDescent="0.25">
      <c r="J25" s="12" t="str">
        <v>IMP-HFO</v>
      </c>
      <c r="K25" s="12" t="str">
        <v>Importacion de Combustoleo</v>
      </c>
      <c r="L25" s="12" t="s">
        <v>59</v>
      </c>
      <c r="M25" s="12" t="s">
        <v>328</v>
      </c>
    </row>
    <row r="26" spans="2:23" ht="15.75" customHeight="1" x14ac:dyDescent="0.25">
      <c r="J26" s="12" t="str">
        <v>IMP-ETH</v>
      </c>
      <c r="K26" s="12" t="str">
        <v>Importacion de Etanol</v>
      </c>
      <c r="L26" s="12" t="s">
        <v>59</v>
      </c>
      <c r="M26" s="12" t="s">
        <v>328</v>
      </c>
    </row>
    <row r="27" spans="2:23" ht="15.75" customHeight="1" x14ac:dyDescent="0.25">
      <c r="J27" s="12" t="str">
        <v>IMP-BDSL</v>
      </c>
      <c r="K27" s="12" t="str">
        <v>Importacion de Biodiesel</v>
      </c>
      <c r="L27" s="12" t="s">
        <v>59</v>
      </c>
      <c r="M27" s="12" t="s">
        <v>328</v>
      </c>
    </row>
    <row r="28" spans="2:23" ht="15.75" customHeight="1" x14ac:dyDescent="0.25">
      <c r="J28" s="12" t="str">
        <v>IMP-GAS</v>
      </c>
      <c r="K28" s="12" t="str">
        <v>Importacion de Gasolina natural</v>
      </c>
      <c r="L28" s="12" t="s">
        <v>59</v>
      </c>
      <c r="M28" s="12" t="s">
        <v>328</v>
      </c>
    </row>
    <row r="29" spans="2:23" ht="15.75" customHeight="1" x14ac:dyDescent="0.25">
      <c r="J29" s="12" t="str">
        <v>IMP-LOIL</v>
      </c>
      <c r="K29" s="12" t="str">
        <v>Importacion de Petroleo liviano</v>
      </c>
      <c r="L29" s="12" t="s">
        <v>59</v>
      </c>
      <c r="M29" s="12" t="s">
        <v>328</v>
      </c>
    </row>
    <row r="30" spans="2:23" ht="15.75" customHeight="1" x14ac:dyDescent="0.25">
      <c r="J30" s="12" t="str">
        <v>IMP-MOIL</v>
      </c>
      <c r="K30" s="12" t="str">
        <v>Importacion de Petroleo mediano</v>
      </c>
      <c r="L30" s="12" t="s">
        <v>59</v>
      </c>
      <c r="M30" s="12" t="s">
        <v>328</v>
      </c>
    </row>
    <row r="31" spans="2:23" ht="15.75" customHeight="1" x14ac:dyDescent="0.25">
      <c r="J31" s="12" t="str">
        <v>IMP-HOIL</v>
      </c>
      <c r="K31" s="12" t="str">
        <v>Importacion de Petroleo pesado</v>
      </c>
      <c r="L31" s="12" t="s">
        <v>59</v>
      </c>
      <c r="M31" s="12" t="s">
        <v>328</v>
      </c>
    </row>
    <row r="32" spans="2:23" ht="15.75" customHeight="1" x14ac:dyDescent="0.25">
      <c r="B32" s="12" t="s">
        <v>872</v>
      </c>
      <c r="D32" s="12">
        <v>3299</v>
      </c>
      <c r="E32" s="12" t="s">
        <v>873</v>
      </c>
      <c r="J32" s="12" t="s">
        <v>874</v>
      </c>
      <c r="K32" s="12" t="s">
        <v>875</v>
      </c>
      <c r="L32" s="12" t="s">
        <v>59</v>
      </c>
      <c r="M32" s="12" t="s">
        <v>328</v>
      </c>
    </row>
    <row r="33" spans="2:23" ht="15.75" customHeight="1" x14ac:dyDescent="0.25">
      <c r="J33" s="12" t="s">
        <v>876</v>
      </c>
      <c r="K33" s="12" t="s">
        <v>877</v>
      </c>
      <c r="L33" s="12" t="s">
        <v>59</v>
      </c>
      <c r="M33" s="12" t="s">
        <v>328</v>
      </c>
    </row>
    <row r="34" spans="2:23" ht="15.75" customHeight="1" x14ac:dyDescent="0.25"/>
    <row r="35" spans="2:23" ht="15.75" customHeight="1" x14ac:dyDescent="0.25">
      <c r="D35" s="12">
        <v>287</v>
      </c>
      <c r="E35" s="12" t="s">
        <v>878</v>
      </c>
    </row>
    <row r="36" spans="2:23" ht="15.75" customHeight="1" x14ac:dyDescent="0.25">
      <c r="D36" s="205">
        <f>+D35/D32</f>
        <v>8.6996059411943008E-2</v>
      </c>
      <c r="E36" s="12" t="s">
        <v>879</v>
      </c>
      <c r="I36" s="206" t="s">
        <v>880</v>
      </c>
      <c r="J36" s="207"/>
      <c r="K36" s="207"/>
      <c r="L36" s="207"/>
      <c r="M36" s="206"/>
    </row>
    <row r="37" spans="2:23" ht="15.75" customHeight="1" x14ac:dyDescent="0.25">
      <c r="I37" s="208" t="s">
        <v>312</v>
      </c>
      <c r="J37" s="209" t="s">
        <v>881</v>
      </c>
      <c r="K37" s="208" t="s">
        <v>882</v>
      </c>
      <c r="L37" s="210" t="s">
        <v>883</v>
      </c>
      <c r="M37" s="210" t="s">
        <v>884</v>
      </c>
      <c r="N37" s="210" t="s">
        <v>885</v>
      </c>
      <c r="O37" s="210" t="s">
        <v>886</v>
      </c>
      <c r="P37" s="210" t="s">
        <v>887</v>
      </c>
      <c r="Q37" s="210" t="s">
        <v>888</v>
      </c>
      <c r="R37" s="210" t="s">
        <v>889</v>
      </c>
      <c r="S37" s="210" t="s">
        <v>890</v>
      </c>
    </row>
    <row r="38" spans="2:23" ht="15.75" customHeight="1" x14ac:dyDescent="0.25">
      <c r="I38" s="211" t="s">
        <v>891</v>
      </c>
      <c r="J38" s="211" t="s">
        <v>892</v>
      </c>
      <c r="K38" s="211" t="s">
        <v>893</v>
      </c>
      <c r="L38" s="212" t="s">
        <v>894</v>
      </c>
      <c r="M38" s="212" t="s">
        <v>894</v>
      </c>
      <c r="N38" s="212" t="s">
        <v>894</v>
      </c>
      <c r="O38" s="212" t="s">
        <v>894</v>
      </c>
      <c r="P38" s="212" t="s">
        <v>894</v>
      </c>
      <c r="Q38" s="212" t="s">
        <v>894</v>
      </c>
      <c r="R38" s="212" t="s">
        <v>894</v>
      </c>
      <c r="S38" s="212" t="s">
        <v>894</v>
      </c>
    </row>
    <row r="39" spans="2:23" ht="15.75" customHeight="1" x14ac:dyDescent="0.25">
      <c r="I39" s="211"/>
      <c r="J39" s="213"/>
      <c r="K39" s="213"/>
      <c r="L39" s="213" t="s">
        <v>895</v>
      </c>
      <c r="M39" s="213" t="s">
        <v>895</v>
      </c>
      <c r="N39" s="213" t="s">
        <v>895</v>
      </c>
      <c r="O39" s="213" t="s">
        <v>895</v>
      </c>
      <c r="P39" s="213" t="s">
        <v>895</v>
      </c>
      <c r="Q39" s="213" t="s">
        <v>895</v>
      </c>
      <c r="R39" s="213" t="s">
        <v>895</v>
      </c>
      <c r="S39" s="213" t="s">
        <v>895</v>
      </c>
    </row>
    <row r="40" spans="2:23" ht="15.75" customHeight="1" x14ac:dyDescent="0.25">
      <c r="I40" s="12" t="str">
        <f t="shared" ref="I40:I51" si="2">+J8</f>
        <v>EXP-GSL</v>
      </c>
      <c r="J40" s="214" t="str">
        <f t="shared" ref="J40:J45" si="3">+RIGHT(I40,3)</f>
        <v>GSL</v>
      </c>
      <c r="K40" s="214"/>
      <c r="L40" s="215">
        <f t="shared" ref="L40:S40" si="4">+J115</f>
        <v>20.996445954041999</v>
      </c>
      <c r="M40" s="215">
        <f t="shared" si="4"/>
        <v>20.795929580790002</v>
      </c>
      <c r="N40" s="215">
        <f t="shared" si="4"/>
        <v>20.716882590807003</v>
      </c>
      <c r="O40" s="215">
        <f t="shared" si="4"/>
        <v>22.202066334591002</v>
      </c>
      <c r="P40" s="215">
        <f t="shared" si="4"/>
        <v>23.568165402677998</v>
      </c>
      <c r="Q40" s="215">
        <f t="shared" si="4"/>
        <v>24.597135442035</v>
      </c>
      <c r="R40" s="215">
        <f t="shared" si="4"/>
        <v>25.886116327734001</v>
      </c>
      <c r="S40" s="215">
        <f t="shared" si="4"/>
        <v>27.153960894333</v>
      </c>
      <c r="T40" s="215"/>
      <c r="U40" s="215">
        <v>14.26</v>
      </c>
      <c r="V40" s="215"/>
      <c r="W40" s="215"/>
    </row>
    <row r="41" spans="2:23" ht="15.75" customHeight="1" x14ac:dyDescent="0.25">
      <c r="B41" s="216" t="s">
        <v>896</v>
      </c>
      <c r="C41" s="216"/>
      <c r="D41" s="216"/>
      <c r="E41" s="216">
        <v>0.125</v>
      </c>
      <c r="F41" s="216" t="s">
        <v>897</v>
      </c>
      <c r="I41" s="12" t="str">
        <f t="shared" si="2"/>
        <v>EXP-DSL</v>
      </c>
      <c r="J41" s="214" t="str">
        <f t="shared" si="3"/>
        <v>DSL</v>
      </c>
      <c r="K41" s="214"/>
      <c r="L41" s="215">
        <f t="shared" ref="L41:S41" si="5">+J116</f>
        <v>20.905026160941002</v>
      </c>
      <c r="M41" s="215">
        <f t="shared" si="5"/>
        <v>20.219447377232999</v>
      </c>
      <c r="N41" s="215">
        <f t="shared" si="5"/>
        <v>20.630671999937999</v>
      </c>
      <c r="O41" s="215">
        <f t="shared" si="5"/>
        <v>21.930071290101001</v>
      </c>
      <c r="P41" s="215">
        <f t="shared" si="5"/>
        <v>23.082531458571001</v>
      </c>
      <c r="Q41" s="215">
        <f t="shared" si="5"/>
        <v>23.875429665555</v>
      </c>
      <c r="R41" s="215">
        <f t="shared" si="5"/>
        <v>25.090517790116998</v>
      </c>
      <c r="S41" s="215">
        <f t="shared" si="5"/>
        <v>25.880965890156002</v>
      </c>
      <c r="T41" s="215"/>
      <c r="U41" s="215">
        <v>16.96</v>
      </c>
      <c r="V41" s="215"/>
      <c r="W41" s="215"/>
    </row>
    <row r="42" spans="2:23" ht="15.75" customHeight="1" x14ac:dyDescent="0.25">
      <c r="E42" s="12">
        <f>+E41*1000000</f>
        <v>125000</v>
      </c>
      <c r="F42" s="12" t="s">
        <v>898</v>
      </c>
      <c r="I42" s="12" t="str">
        <f t="shared" si="2"/>
        <v>EXP-KER</v>
      </c>
      <c r="J42" s="214" t="str">
        <f t="shared" si="3"/>
        <v>KER</v>
      </c>
      <c r="K42" s="214"/>
      <c r="L42" s="215">
        <f t="shared" ref="L42:S42" si="6">+J117</f>
        <v>13.877034192216</v>
      </c>
      <c r="M42" s="215">
        <f t="shared" si="6"/>
        <v>13.695434350650002</v>
      </c>
      <c r="N42" s="215">
        <f t="shared" si="6"/>
        <v>14.458260219857999</v>
      </c>
      <c r="O42" s="215">
        <f t="shared" si="6"/>
        <v>15.795199697939999</v>
      </c>
      <c r="P42" s="215">
        <f t="shared" si="6"/>
        <v>17.191836481949998</v>
      </c>
      <c r="Q42" s="215">
        <f t="shared" si="6"/>
        <v>18.196136740431001</v>
      </c>
      <c r="R42" s="215">
        <f t="shared" si="6"/>
        <v>19.62033319935</v>
      </c>
      <c r="S42" s="215">
        <f t="shared" si="6"/>
        <v>20.718097692200999</v>
      </c>
      <c r="T42" s="215"/>
      <c r="U42" s="215">
        <v>11.91</v>
      </c>
      <c r="V42" s="215"/>
      <c r="W42" s="215"/>
    </row>
    <row r="43" spans="2:23" ht="15.75" customHeight="1" x14ac:dyDescent="0.25">
      <c r="E43" s="12">
        <f>+E42/(1000000)</f>
        <v>0.125</v>
      </c>
      <c r="F43" s="12" t="s">
        <v>899</v>
      </c>
      <c r="I43" s="12" t="str">
        <f t="shared" si="2"/>
        <v>EXP-LPG</v>
      </c>
      <c r="J43" s="214" t="str">
        <f t="shared" si="3"/>
        <v>LPG</v>
      </c>
      <c r="K43" s="214"/>
      <c r="L43" s="215">
        <f t="shared" ref="L43:S43" si="7">+J118</f>
        <v>17.551047751146001</v>
      </c>
      <c r="M43" s="215">
        <f t="shared" si="7"/>
        <v>16.867144707893999</v>
      </c>
      <c r="N43" s="215">
        <f t="shared" si="7"/>
        <v>19.872932116751997</v>
      </c>
      <c r="O43" s="215">
        <f t="shared" si="7"/>
        <v>22.022557377326997</v>
      </c>
      <c r="P43" s="215">
        <f t="shared" si="7"/>
        <v>22.891725470484001</v>
      </c>
      <c r="Q43" s="215">
        <f t="shared" si="7"/>
        <v>24.412499742618003</v>
      </c>
      <c r="R43" s="215">
        <f t="shared" si="7"/>
        <v>25.877700660591003</v>
      </c>
      <c r="S43" s="215">
        <f t="shared" si="7"/>
        <v>27.425805235919999</v>
      </c>
      <c r="T43" s="215"/>
      <c r="U43" s="215">
        <v>6.34</v>
      </c>
      <c r="V43" s="215"/>
      <c r="W43" s="215"/>
    </row>
    <row r="44" spans="2:23" ht="15.75" customHeight="1" x14ac:dyDescent="0.25">
      <c r="E44" s="12">
        <f>+E43/0.0036</f>
        <v>34.722222222222221</v>
      </c>
      <c r="F44" s="12" t="s">
        <v>849</v>
      </c>
      <c r="I44" s="12" t="str">
        <f t="shared" si="2"/>
        <v>EXP-HFO</v>
      </c>
      <c r="J44" s="214" t="str">
        <f t="shared" si="3"/>
        <v>HFO</v>
      </c>
      <c r="K44" s="214"/>
      <c r="L44" s="215">
        <f t="shared" ref="L44:S44" si="8">+J119</f>
        <v>9.2415067298189992</v>
      </c>
      <c r="M44" s="215">
        <f t="shared" si="8"/>
        <v>9.6605963379900004</v>
      </c>
      <c r="N44" s="215">
        <f t="shared" si="8"/>
        <v>9.3615136314569991</v>
      </c>
      <c r="O44" s="215">
        <f t="shared" si="8"/>
        <v>10.777456499940001</v>
      </c>
      <c r="P44" s="215">
        <f t="shared" si="8"/>
        <v>12.03505800822</v>
      </c>
      <c r="Q44" s="215">
        <f t="shared" si="8"/>
        <v>13.376972577735</v>
      </c>
      <c r="R44" s="215">
        <f t="shared" si="8"/>
        <v>14.299692331392</v>
      </c>
      <c r="S44" s="215">
        <f t="shared" si="8"/>
        <v>15.089726235401999</v>
      </c>
      <c r="T44" s="215"/>
      <c r="U44" s="215">
        <v>8.2100000000000009</v>
      </c>
      <c r="V44" s="215"/>
      <c r="W44" s="215"/>
    </row>
    <row r="45" spans="2:23" ht="15.75" customHeight="1" x14ac:dyDescent="0.25">
      <c r="I45" s="12" t="str">
        <f t="shared" si="2"/>
        <v>EXP-ETH</v>
      </c>
      <c r="J45" s="214" t="str">
        <f t="shared" si="3"/>
        <v>ETH</v>
      </c>
      <c r="K45" s="214"/>
      <c r="L45" s="215">
        <f t="shared" ref="L45:S45" si="9">+J120</f>
        <v>15.484369752577541</v>
      </c>
      <c r="M45" s="215">
        <f t="shared" si="9"/>
        <v>15.076841521470868</v>
      </c>
      <c r="N45" s="215">
        <f t="shared" si="9"/>
        <v>16.842423718223472</v>
      </c>
      <c r="O45" s="215">
        <f t="shared" si="9"/>
        <v>19.600166238545455</v>
      </c>
      <c r="P45" s="215">
        <f t="shared" si="9"/>
        <v>19.747825616593868</v>
      </c>
      <c r="Q45" s="215">
        <f t="shared" si="9"/>
        <v>20.304548193105546</v>
      </c>
      <c r="R45" s="215">
        <f t="shared" si="9"/>
        <v>21.409220503499576</v>
      </c>
      <c r="S45" s="215">
        <f t="shared" si="9"/>
        <v>24.151142776321418</v>
      </c>
      <c r="T45" s="215"/>
      <c r="U45" s="215">
        <v>26</v>
      </c>
      <c r="V45" s="215"/>
      <c r="W45" s="215"/>
    </row>
    <row r="46" spans="2:23" ht="15.75" customHeight="1" x14ac:dyDescent="0.25">
      <c r="I46" s="12" t="str">
        <f t="shared" si="2"/>
        <v>EXP-BDSL</v>
      </c>
      <c r="J46" s="214" t="str">
        <f>+RIGHT(I46,4)</f>
        <v>BDSL</v>
      </c>
      <c r="K46" s="214"/>
      <c r="L46" s="215">
        <f t="shared" ref="L46:S46" si="10">+J121</f>
        <v>27.015813128159731</v>
      </c>
      <c r="M46" s="215">
        <f t="shared" si="10"/>
        <v>26.129831538723028</v>
      </c>
      <c r="N46" s="215">
        <f t="shared" si="10"/>
        <v>26.661261993541277</v>
      </c>
      <c r="O46" s="215">
        <f t="shared" si="10"/>
        <v>28.340491100056148</v>
      </c>
      <c r="P46" s="215">
        <f t="shared" si="10"/>
        <v>29.829829037705093</v>
      </c>
      <c r="Q46" s="215">
        <f t="shared" si="10"/>
        <v>30.854500790068418</v>
      </c>
      <c r="R46" s="215">
        <f t="shared" si="10"/>
        <v>32.424773577803386</v>
      </c>
      <c r="S46" s="215">
        <f t="shared" si="10"/>
        <v>33.446279027916688</v>
      </c>
      <c r="T46" s="215"/>
      <c r="U46" s="215">
        <v>29</v>
      </c>
      <c r="V46" s="215"/>
      <c r="W46" s="215"/>
    </row>
    <row r="47" spans="2:23" ht="15.75" customHeight="1" x14ac:dyDescent="0.25">
      <c r="B47" s="217" t="s">
        <v>900</v>
      </c>
      <c r="C47" s="217"/>
      <c r="D47" s="217"/>
      <c r="E47" s="218">
        <v>0.25</v>
      </c>
      <c r="I47" s="12" t="str">
        <f t="shared" si="2"/>
        <v>EXP-GAS</v>
      </c>
      <c r="J47" s="214" t="str">
        <f>+RIGHT(I47,3)</f>
        <v>GAS</v>
      </c>
      <c r="K47" s="214"/>
      <c r="L47" s="215">
        <f t="shared" ref="L47:S47" si="11">+J122</f>
        <v>4.769127007632</v>
      </c>
      <c r="M47" s="215">
        <f t="shared" si="11"/>
        <v>4.5122894526059998</v>
      </c>
      <c r="N47" s="215">
        <f t="shared" si="11"/>
        <v>4.9274484636779992</v>
      </c>
      <c r="O47" s="215">
        <f t="shared" si="11"/>
        <v>5.3827086642029993</v>
      </c>
      <c r="P47" s="215">
        <f t="shared" si="11"/>
        <v>5.4401245746119997</v>
      </c>
      <c r="Q47" s="215">
        <f t="shared" si="11"/>
        <v>5.4800854871490001</v>
      </c>
      <c r="R47" s="215">
        <f t="shared" si="11"/>
        <v>5.5431115263809998</v>
      </c>
      <c r="S47" s="215">
        <f t="shared" si="11"/>
        <v>5.7037579775280003</v>
      </c>
      <c r="T47" s="215"/>
      <c r="U47" s="215">
        <v>5.6</v>
      </c>
      <c r="V47" s="215"/>
      <c r="W47" s="215"/>
    </row>
    <row r="48" spans="2:23" ht="15.75" customHeight="1" x14ac:dyDescent="0.25">
      <c r="I48" s="12" t="str">
        <f t="shared" si="2"/>
        <v>EXP-LOIL</v>
      </c>
      <c r="J48" s="214" t="str">
        <f t="shared" ref="J48:J50" si="12">+RIGHT(I48,4)</f>
        <v>LOIL</v>
      </c>
      <c r="K48" s="214"/>
      <c r="L48" s="215">
        <f t="shared" ref="L48:S48" si="13">+J126</f>
        <v>9.4202649837693002</v>
      </c>
      <c r="M48" s="215">
        <f t="shared" si="13"/>
        <v>8.8971488688237894</v>
      </c>
      <c r="N48" s="215">
        <f t="shared" si="13"/>
        <v>10.809495075642701</v>
      </c>
      <c r="O48" s="215">
        <f t="shared" si="13"/>
        <v>11.944874310089356</v>
      </c>
      <c r="P48" s="215">
        <f t="shared" si="13"/>
        <v>13.287214218828185</v>
      </c>
      <c r="Q48" s="215">
        <f t="shared" si="13"/>
        <v>14.355702223711937</v>
      </c>
      <c r="R48" s="215">
        <f t="shared" si="13"/>
        <v>15.630732976072419</v>
      </c>
      <c r="S48" s="215">
        <f t="shared" si="13"/>
        <v>16.864994934098721</v>
      </c>
      <c r="T48" s="215"/>
      <c r="U48" s="215">
        <v>7.26</v>
      </c>
      <c r="V48" s="215"/>
      <c r="W48" s="215"/>
    </row>
    <row r="49" spans="5:23" ht="15.75" customHeight="1" x14ac:dyDescent="0.25">
      <c r="I49" s="12" t="str">
        <f t="shared" si="2"/>
        <v>EXP-MOIL</v>
      </c>
      <c r="J49" s="214" t="str">
        <f t="shared" si="12"/>
        <v>MOIL</v>
      </c>
      <c r="K49" s="214"/>
      <c r="L49" s="215">
        <f t="shared" ref="L49:S49" si="14">+J124</f>
        <v>8.6667911578505592</v>
      </c>
      <c r="M49" s="215">
        <f t="shared" si="14"/>
        <v>8.1855161483523844</v>
      </c>
      <c r="N49" s="215">
        <f t="shared" si="14"/>
        <v>9.9449045758078007</v>
      </c>
      <c r="O49" s="215">
        <f t="shared" si="14"/>
        <v>10.989471233631489</v>
      </c>
      <c r="P49" s="215">
        <f t="shared" si="14"/>
        <v>12.224444949544161</v>
      </c>
      <c r="Q49" s="215">
        <f t="shared" si="14"/>
        <v>13.207470629708267</v>
      </c>
      <c r="R49" s="215">
        <f t="shared" si="14"/>
        <v>14.380518868753001</v>
      </c>
      <c r="S49" s="215">
        <f t="shared" si="14"/>
        <v>15.516059179213938</v>
      </c>
      <c r="T49" s="215"/>
      <c r="U49" s="215">
        <v>7.01</v>
      </c>
      <c r="V49" s="215"/>
      <c r="W49" s="215"/>
    </row>
    <row r="50" spans="5:23" ht="15.75" customHeight="1" x14ac:dyDescent="0.25">
      <c r="I50" s="12" t="str">
        <f t="shared" si="2"/>
        <v>EXP-HOIL</v>
      </c>
      <c r="J50" s="214" t="str">
        <f t="shared" si="12"/>
        <v>HOIL</v>
      </c>
      <c r="K50" s="214"/>
      <c r="L50" s="215">
        <f t="shared" ref="L50:S50" si="15">+J125</f>
        <v>7.1598435060130816</v>
      </c>
      <c r="M50" s="215">
        <f t="shared" si="15"/>
        <v>6.7622507074095797</v>
      </c>
      <c r="N50" s="215">
        <f t="shared" si="15"/>
        <v>8.215723576138009</v>
      </c>
      <c r="O50" s="215">
        <f t="shared" si="15"/>
        <v>9.0786650807157603</v>
      </c>
      <c r="P50" s="215">
        <f t="shared" si="15"/>
        <v>10.098906410976124</v>
      </c>
      <c r="Q50" s="215">
        <f t="shared" si="15"/>
        <v>10.911007441700926</v>
      </c>
      <c r="R50" s="215">
        <f t="shared" si="15"/>
        <v>11.88009065411417</v>
      </c>
      <c r="S50" s="215">
        <f t="shared" si="15"/>
        <v>12.818187669444375</v>
      </c>
      <c r="T50" s="215"/>
      <c r="U50" s="215">
        <v>6.76</v>
      </c>
      <c r="V50" s="215"/>
      <c r="W50" s="215"/>
    </row>
    <row r="51" spans="5:23" ht="15.75" customHeight="1" x14ac:dyDescent="0.25">
      <c r="I51" s="12" t="str">
        <f t="shared" si="2"/>
        <v>EXP-SIN</v>
      </c>
      <c r="J51" s="219" t="s">
        <v>901</v>
      </c>
      <c r="K51" s="214"/>
      <c r="L51" s="220">
        <f>+E44</f>
        <v>34.722222222222221</v>
      </c>
      <c r="M51" s="220">
        <f t="shared" ref="M51:S51" si="16">+L51</f>
        <v>34.722222222222221</v>
      </c>
      <c r="N51" s="220">
        <f t="shared" si="16"/>
        <v>34.722222222222221</v>
      </c>
      <c r="O51" s="220">
        <f t="shared" si="16"/>
        <v>34.722222222222221</v>
      </c>
      <c r="P51" s="220">
        <f t="shared" si="16"/>
        <v>34.722222222222221</v>
      </c>
      <c r="Q51" s="220">
        <f t="shared" si="16"/>
        <v>34.722222222222221</v>
      </c>
      <c r="R51" s="220">
        <f t="shared" si="16"/>
        <v>34.722222222222221</v>
      </c>
      <c r="S51" s="220">
        <f t="shared" si="16"/>
        <v>34.722222222222221</v>
      </c>
    </row>
    <row r="52" spans="5:23" ht="15.75" customHeight="1" x14ac:dyDescent="0.25">
      <c r="I52" s="12" t="s">
        <v>870</v>
      </c>
      <c r="J52" s="221" t="str">
        <f>+RIGHT(I52,3)</f>
        <v>AVG</v>
      </c>
      <c r="L52" s="222">
        <v>21.450884058013838</v>
      </c>
      <c r="M52" s="222">
        <v>21.173796174722664</v>
      </c>
      <c r="N52" s="222">
        <v>22.060639953463127</v>
      </c>
      <c r="O52" s="222">
        <v>24.100563154252466</v>
      </c>
      <c r="P52" s="222">
        <v>26.231573439673227</v>
      </c>
      <c r="Q52" s="222">
        <v>27.763950507910614</v>
      </c>
      <c r="R52" s="222">
        <v>29.937011777070548</v>
      </c>
      <c r="S52" s="222">
        <v>31.611998038364984</v>
      </c>
    </row>
    <row r="53" spans="5:23" ht="15.75" customHeight="1" x14ac:dyDescent="0.25">
      <c r="I53" s="12" t="str">
        <f t="shared" ref="I53:I64" si="17">+J21</f>
        <v>IMP-GSL</v>
      </c>
      <c r="J53" s="214"/>
      <c r="K53" s="214" t="str">
        <f t="shared" ref="K53:K58" si="18">+RIGHT(I53,3)</f>
        <v>GSL</v>
      </c>
      <c r="L53" s="223">
        <f t="shared" ref="L53:S53" si="19">+L40+($E$47*L40)</f>
        <v>26.245557442552499</v>
      </c>
      <c r="M53" s="224">
        <f t="shared" si="19"/>
        <v>25.994911975987502</v>
      </c>
      <c r="N53" s="224">
        <f t="shared" si="19"/>
        <v>25.896103238508754</v>
      </c>
      <c r="O53" s="224">
        <f t="shared" si="19"/>
        <v>27.752582918238751</v>
      </c>
      <c r="P53" s="224">
        <f t="shared" si="19"/>
        <v>29.460206753347499</v>
      </c>
      <c r="Q53" s="224">
        <f t="shared" si="19"/>
        <v>30.74641930254375</v>
      </c>
      <c r="R53" s="224">
        <f t="shared" si="19"/>
        <v>32.357645409667498</v>
      </c>
      <c r="S53" s="224">
        <f t="shared" si="19"/>
        <v>33.942451117916249</v>
      </c>
    </row>
    <row r="54" spans="5:23" ht="15.75" customHeight="1" x14ac:dyDescent="0.25">
      <c r="I54" s="12" t="str">
        <f t="shared" si="17"/>
        <v>IMP-DSL</v>
      </c>
      <c r="J54" s="214"/>
      <c r="K54" s="214" t="str">
        <f t="shared" si="18"/>
        <v>DSL</v>
      </c>
      <c r="L54" s="225">
        <f t="shared" ref="L54:S54" si="20">+L41+($E$47*L41)</f>
        <v>26.131282701176254</v>
      </c>
      <c r="M54" s="224">
        <f t="shared" si="20"/>
        <v>25.274309221541248</v>
      </c>
      <c r="N54" s="224">
        <f t="shared" si="20"/>
        <v>25.788339999922499</v>
      </c>
      <c r="O54" s="224">
        <f t="shared" si="20"/>
        <v>27.41258911262625</v>
      </c>
      <c r="P54" s="224">
        <f t="shared" si="20"/>
        <v>28.85316432321375</v>
      </c>
      <c r="Q54" s="224">
        <f t="shared" si="20"/>
        <v>29.844287081943751</v>
      </c>
      <c r="R54" s="224">
        <f t="shared" si="20"/>
        <v>31.363147237646245</v>
      </c>
      <c r="S54" s="224">
        <f t="shared" si="20"/>
        <v>32.351207362695</v>
      </c>
    </row>
    <row r="55" spans="5:23" ht="15.75" customHeight="1" x14ac:dyDescent="0.25">
      <c r="E55">
        <f>64.7*L47</f>
        <v>308.56251739379042</v>
      </c>
      <c r="F55" s="807" t="s">
        <v>59</v>
      </c>
      <c r="I55" s="12" t="str">
        <f t="shared" si="17"/>
        <v>IMP-KER</v>
      </c>
      <c r="J55" s="214"/>
      <c r="K55" s="214" t="str">
        <f t="shared" si="18"/>
        <v>KER</v>
      </c>
      <c r="L55" s="224">
        <f t="shared" ref="L55:S55" si="21">+L42+($E$47*L42)</f>
        <v>17.346292740269998</v>
      </c>
      <c r="M55" s="224">
        <f t="shared" si="21"/>
        <v>17.119292938312501</v>
      </c>
      <c r="N55" s="224">
        <f t="shared" si="21"/>
        <v>18.072825274822499</v>
      </c>
      <c r="O55" s="224">
        <f t="shared" si="21"/>
        <v>19.743999622425001</v>
      </c>
      <c r="P55" s="224">
        <f t="shared" si="21"/>
        <v>21.489795602437496</v>
      </c>
      <c r="Q55" s="224">
        <f t="shared" si="21"/>
        <v>22.745170925538751</v>
      </c>
      <c r="R55" s="224">
        <f t="shared" si="21"/>
        <v>24.5254164991875</v>
      </c>
      <c r="S55" s="224">
        <f t="shared" si="21"/>
        <v>25.897622115251249</v>
      </c>
    </row>
    <row r="56" spans="5:23" ht="15.75" customHeight="1" x14ac:dyDescent="0.25">
      <c r="E56">
        <f>+E55*2.7</f>
        <v>833.11879696323422</v>
      </c>
      <c r="F56" s="807" t="s">
        <v>746</v>
      </c>
      <c r="I56" s="12" t="str">
        <f t="shared" si="17"/>
        <v>IMP-LPG</v>
      </c>
      <c r="J56" s="214"/>
      <c r="K56" s="214" t="str">
        <f t="shared" si="18"/>
        <v>LPG</v>
      </c>
      <c r="L56" s="224">
        <f t="shared" ref="L56:S56" si="22">+L43+($E$47*L43)</f>
        <v>21.938809688932501</v>
      </c>
      <c r="M56" s="224">
        <f t="shared" si="22"/>
        <v>21.083930884867499</v>
      </c>
      <c r="N56" s="224">
        <f t="shared" si="22"/>
        <v>24.841165145939996</v>
      </c>
      <c r="O56" s="224">
        <f t="shared" si="22"/>
        <v>27.528196721658745</v>
      </c>
      <c r="P56" s="224">
        <f t="shared" si="22"/>
        <v>28.614656838105002</v>
      </c>
      <c r="Q56" s="224">
        <f t="shared" si="22"/>
        <v>30.515624678272502</v>
      </c>
      <c r="R56" s="224">
        <f t="shared" si="22"/>
        <v>32.347125825738757</v>
      </c>
      <c r="S56" s="224">
        <f t="shared" si="22"/>
        <v>34.282256544900001</v>
      </c>
    </row>
    <row r="57" spans="5:23" ht="15.75" customHeight="1" x14ac:dyDescent="0.25">
      <c r="E57">
        <f>+E56/365</f>
        <v>2.2825172519540664</v>
      </c>
      <c r="F57" s="807" t="s">
        <v>1643</v>
      </c>
      <c r="I57" s="12" t="str">
        <f t="shared" si="17"/>
        <v>IMP-HFO</v>
      </c>
      <c r="J57" s="214"/>
      <c r="K57" s="214" t="str">
        <f t="shared" si="18"/>
        <v>HFO</v>
      </c>
      <c r="L57" s="224">
        <f t="shared" ref="L57:S57" si="23">+L44+($E$47*L44)</f>
        <v>11.551883412273749</v>
      </c>
      <c r="M57" s="224">
        <f t="shared" si="23"/>
        <v>12.0757454224875</v>
      </c>
      <c r="N57" s="224">
        <f t="shared" si="23"/>
        <v>11.701892039321249</v>
      </c>
      <c r="O57" s="224">
        <f t="shared" si="23"/>
        <v>13.471820624925002</v>
      </c>
      <c r="P57" s="224">
        <f t="shared" si="23"/>
        <v>15.043822510275</v>
      </c>
      <c r="Q57" s="224">
        <f t="shared" si="23"/>
        <v>16.721215722168751</v>
      </c>
      <c r="R57" s="224">
        <f t="shared" si="23"/>
        <v>17.874615414240001</v>
      </c>
      <c r="S57" s="224">
        <f t="shared" si="23"/>
        <v>18.8621577942525</v>
      </c>
    </row>
    <row r="58" spans="5:23" ht="15.75" customHeight="1" x14ac:dyDescent="0.25">
      <c r="I58" s="12" t="str">
        <f t="shared" si="17"/>
        <v>IMP-ETH</v>
      </c>
      <c r="J58" s="214"/>
      <c r="K58" s="214" t="str">
        <f t="shared" si="18"/>
        <v>ETH</v>
      </c>
      <c r="L58" s="224">
        <f t="shared" ref="L58:S58" si="24">+L45+($E$47*L45)</f>
        <v>19.355462190721926</v>
      </c>
      <c r="M58" s="224">
        <f t="shared" si="24"/>
        <v>18.846051901838585</v>
      </c>
      <c r="N58" s="224">
        <f t="shared" si="24"/>
        <v>21.05302964777934</v>
      </c>
      <c r="O58" s="224">
        <f t="shared" si="24"/>
        <v>24.500207798181819</v>
      </c>
      <c r="P58" s="224">
        <f t="shared" si="24"/>
        <v>24.684782020742336</v>
      </c>
      <c r="Q58" s="224">
        <f t="shared" si="24"/>
        <v>25.380685241381933</v>
      </c>
      <c r="R58" s="224">
        <f t="shared" si="24"/>
        <v>26.761525629374468</v>
      </c>
      <c r="S58" s="224">
        <f t="shared" si="24"/>
        <v>30.188928470401773</v>
      </c>
    </row>
    <row r="59" spans="5:23" ht="15.75" customHeight="1" x14ac:dyDescent="0.25">
      <c r="I59" s="12" t="str">
        <f t="shared" si="17"/>
        <v>IMP-BDSL</v>
      </c>
      <c r="J59" s="214"/>
      <c r="K59" s="214" t="str">
        <f>+RIGHT(I59,4)</f>
        <v>BDSL</v>
      </c>
      <c r="L59" s="224">
        <f t="shared" ref="L59:S59" si="25">+L46+($E$47*L46)</f>
        <v>33.769766410199665</v>
      </c>
      <c r="M59" s="224">
        <f t="shared" si="25"/>
        <v>32.662289423403784</v>
      </c>
      <c r="N59" s="224">
        <f t="shared" si="25"/>
        <v>33.326577491926599</v>
      </c>
      <c r="O59" s="224">
        <f t="shared" si="25"/>
        <v>35.425613875070184</v>
      </c>
      <c r="P59" s="224">
        <f t="shared" si="25"/>
        <v>37.287286297131367</v>
      </c>
      <c r="Q59" s="224">
        <f t="shared" si="25"/>
        <v>38.568125987585525</v>
      </c>
      <c r="R59" s="224">
        <f t="shared" si="25"/>
        <v>40.530966972254234</v>
      </c>
      <c r="S59" s="224">
        <f t="shared" si="25"/>
        <v>41.80784878489586</v>
      </c>
    </row>
    <row r="60" spans="5:23" ht="15.75" customHeight="1" x14ac:dyDescent="0.25">
      <c r="I60" s="12" t="str">
        <f t="shared" si="17"/>
        <v>IMP-GAS</v>
      </c>
      <c r="J60" s="214"/>
      <c r="K60" s="214" t="str">
        <f>+RIGHT(I60,3)</f>
        <v>GAS</v>
      </c>
      <c r="L60" s="224">
        <f t="shared" ref="L60:S60" si="26">+L47+($E$47*L47)</f>
        <v>5.9614087595400003</v>
      </c>
      <c r="M60" s="224">
        <f t="shared" si="26"/>
        <v>5.6403618157574993</v>
      </c>
      <c r="N60" s="224">
        <f t="shared" si="26"/>
        <v>6.1593105795974985</v>
      </c>
      <c r="O60" s="224">
        <f t="shared" si="26"/>
        <v>6.7283858302537496</v>
      </c>
      <c r="P60" s="224">
        <f t="shared" si="26"/>
        <v>6.8001557182649996</v>
      </c>
      <c r="Q60" s="224">
        <f t="shared" si="26"/>
        <v>6.8501068589362504</v>
      </c>
      <c r="R60" s="224">
        <f t="shared" si="26"/>
        <v>6.92888940797625</v>
      </c>
      <c r="S60" s="224">
        <f t="shared" si="26"/>
        <v>7.1296974719100001</v>
      </c>
    </row>
    <row r="61" spans="5:23" ht="15.75" customHeight="1" x14ac:dyDescent="0.25">
      <c r="I61" s="12" t="str">
        <f t="shared" si="17"/>
        <v>IMP-LOIL</v>
      </c>
      <c r="J61" s="214"/>
      <c r="K61" s="214" t="str">
        <f t="shared" ref="K61:K63" si="27">+RIGHT(I61,4)</f>
        <v>LOIL</v>
      </c>
      <c r="L61" s="224">
        <f t="shared" ref="L61:S61" si="28">+L48+($E$47*L48)</f>
        <v>11.775331229711625</v>
      </c>
      <c r="M61" s="224">
        <f t="shared" si="28"/>
        <v>11.121436086029737</v>
      </c>
      <c r="N61" s="224">
        <f t="shared" si="28"/>
        <v>13.511868844553376</v>
      </c>
      <c r="O61" s="224">
        <f t="shared" si="28"/>
        <v>14.931092887611694</v>
      </c>
      <c r="P61" s="224">
        <f t="shared" si="28"/>
        <v>16.609017773535232</v>
      </c>
      <c r="Q61" s="224">
        <f t="shared" si="28"/>
        <v>17.944627779639923</v>
      </c>
      <c r="R61" s="224">
        <f t="shared" si="28"/>
        <v>19.538416220090525</v>
      </c>
      <c r="S61" s="224">
        <f t="shared" si="28"/>
        <v>21.081243667623401</v>
      </c>
    </row>
    <row r="62" spans="5:23" ht="15.75" customHeight="1" x14ac:dyDescent="0.25">
      <c r="I62" s="12" t="str">
        <f t="shared" si="17"/>
        <v>IMP-MOIL</v>
      </c>
      <c r="J62" s="214"/>
      <c r="K62" s="214" t="str">
        <f t="shared" si="27"/>
        <v>MOIL</v>
      </c>
      <c r="L62" s="224">
        <f t="shared" ref="L62:S62" si="29">+L49+($E$47*L49)</f>
        <v>10.833488947313199</v>
      </c>
      <c r="M62" s="224">
        <f t="shared" si="29"/>
        <v>10.23189518544048</v>
      </c>
      <c r="N62" s="224">
        <f t="shared" si="29"/>
        <v>12.43113071975975</v>
      </c>
      <c r="O62" s="224">
        <f t="shared" si="29"/>
        <v>13.736839042039362</v>
      </c>
      <c r="P62" s="224">
        <f t="shared" si="29"/>
        <v>15.280556186930202</v>
      </c>
      <c r="Q62" s="224">
        <f t="shared" si="29"/>
        <v>16.509338287135332</v>
      </c>
      <c r="R62" s="224">
        <f t="shared" si="29"/>
        <v>17.975648585941251</v>
      </c>
      <c r="S62" s="224">
        <f t="shared" si="29"/>
        <v>19.395073974017421</v>
      </c>
    </row>
    <row r="63" spans="5:23" ht="15.75" customHeight="1" x14ac:dyDescent="0.25">
      <c r="I63" s="12" t="str">
        <f t="shared" si="17"/>
        <v>IMP-HOIL</v>
      </c>
      <c r="J63" s="214"/>
      <c r="K63" s="214" t="str">
        <f t="shared" si="27"/>
        <v>HOIL</v>
      </c>
      <c r="L63" s="224">
        <f t="shared" ref="L63:S63" si="30">+L50+($E$47*L50)</f>
        <v>8.9498043825163514</v>
      </c>
      <c r="M63" s="224">
        <f t="shared" si="30"/>
        <v>8.4528133842619742</v>
      </c>
      <c r="N63" s="224">
        <f t="shared" si="30"/>
        <v>10.269654470172512</v>
      </c>
      <c r="O63" s="224">
        <f t="shared" si="30"/>
        <v>11.3483313508947</v>
      </c>
      <c r="P63" s="224">
        <f t="shared" si="30"/>
        <v>12.623633013720156</v>
      </c>
      <c r="Q63" s="224">
        <f t="shared" si="30"/>
        <v>13.638759302126157</v>
      </c>
      <c r="R63" s="224">
        <f t="shared" si="30"/>
        <v>14.850113317642712</v>
      </c>
      <c r="S63" s="224">
        <f t="shared" si="30"/>
        <v>16.02273458680547</v>
      </c>
    </row>
    <row r="64" spans="5:23" ht="15.75" customHeight="1" x14ac:dyDescent="0.25">
      <c r="I64" s="12" t="str">
        <f t="shared" si="17"/>
        <v>IMP-SIN</v>
      </c>
      <c r="J64" s="214"/>
      <c r="K64" s="219" t="s">
        <v>901</v>
      </c>
      <c r="L64" s="226">
        <f>+L51+($E$47*L51)</f>
        <v>43.402777777777779</v>
      </c>
      <c r="M64" s="226">
        <f t="shared" ref="M64:S64" si="31">+L64</f>
        <v>43.402777777777779</v>
      </c>
      <c r="N64" s="226">
        <f t="shared" si="31"/>
        <v>43.402777777777779</v>
      </c>
      <c r="O64" s="226">
        <f t="shared" si="31"/>
        <v>43.402777777777779</v>
      </c>
      <c r="P64" s="226">
        <f t="shared" si="31"/>
        <v>43.402777777777779</v>
      </c>
      <c r="Q64" s="226">
        <f t="shared" si="31"/>
        <v>43.402777777777779</v>
      </c>
      <c r="R64" s="226">
        <f t="shared" si="31"/>
        <v>43.402777777777779</v>
      </c>
      <c r="S64" s="226">
        <f t="shared" si="31"/>
        <v>43.402777777777779</v>
      </c>
    </row>
    <row r="65" spans="9:19" ht="15.75" customHeight="1" x14ac:dyDescent="0.25">
      <c r="I65" s="12" t="s">
        <v>876</v>
      </c>
      <c r="K65" s="227" t="str">
        <f>+J52</f>
        <v>AVG</v>
      </c>
      <c r="L65" s="224">
        <f t="shared" ref="L65:S65" si="32">+L52*(100%+$E$47)</f>
        <v>26.813605072517298</v>
      </c>
      <c r="M65" s="224">
        <f t="shared" si="32"/>
        <v>26.467245218403331</v>
      </c>
      <c r="N65" s="224">
        <f t="shared" si="32"/>
        <v>27.575799941828908</v>
      </c>
      <c r="O65" s="224">
        <f t="shared" si="32"/>
        <v>30.125703942815584</v>
      </c>
      <c r="P65" s="224">
        <f t="shared" si="32"/>
        <v>32.789466799591537</v>
      </c>
      <c r="Q65" s="224">
        <f t="shared" si="32"/>
        <v>34.704938134888266</v>
      </c>
      <c r="R65" s="224">
        <f t="shared" si="32"/>
        <v>37.421264721338183</v>
      </c>
      <c r="S65" s="224">
        <f t="shared" si="32"/>
        <v>39.514997547956227</v>
      </c>
    </row>
    <row r="66" spans="9:19" ht="15.75" customHeight="1" x14ac:dyDescent="0.25"/>
    <row r="67" spans="9:19" ht="15.75" customHeight="1" x14ac:dyDescent="0.25"/>
    <row r="68" spans="9:19" ht="15.75" customHeight="1" x14ac:dyDescent="0.25"/>
    <row r="69" spans="9:19" ht="15.75" customHeight="1" x14ac:dyDescent="0.25"/>
    <row r="70" spans="9:19" ht="15.75" customHeight="1" x14ac:dyDescent="0.25"/>
    <row r="71" spans="9:19" ht="15.75" customHeight="1" x14ac:dyDescent="0.25"/>
    <row r="72" spans="9:19" ht="15.75" customHeight="1" x14ac:dyDescent="0.25">
      <c r="I72" s="12" t="s">
        <v>902</v>
      </c>
    </row>
    <row r="73" spans="9:19" ht="15.75" customHeight="1" x14ac:dyDescent="0.25">
      <c r="J73" s="12" t="s">
        <v>903</v>
      </c>
      <c r="K73" s="18" t="s">
        <v>904</v>
      </c>
      <c r="L73" s="18" t="s">
        <v>905</v>
      </c>
      <c r="M73" s="12" t="s">
        <v>906</v>
      </c>
    </row>
    <row r="74" spans="9:19" ht="15.75" customHeight="1" x14ac:dyDescent="0.25">
      <c r="I74" s="12" t="s">
        <v>907</v>
      </c>
      <c r="J74" s="12" t="s">
        <v>908</v>
      </c>
      <c r="K74" s="18">
        <v>56.261001999999998</v>
      </c>
      <c r="L74" s="18">
        <f t="shared" ref="L74:L76" si="33">+K74/$J$80</f>
        <v>9.9388771706679382</v>
      </c>
    </row>
    <row r="75" spans="9:19" ht="15.75" customHeight="1" x14ac:dyDescent="0.25">
      <c r="I75" s="12" t="s">
        <v>909</v>
      </c>
      <c r="J75" s="12" t="s">
        <v>910</v>
      </c>
      <c r="K75" s="18">
        <f>+K74-4.5</f>
        <v>51.761001999999998</v>
      </c>
      <c r="L75" s="18">
        <f t="shared" si="33"/>
        <v>9.1439224830851291</v>
      </c>
      <c r="M75" s="228">
        <f>+(L75-L74)/L74</f>
        <v>-7.9984355770983381E-2</v>
      </c>
    </row>
    <row r="76" spans="9:19" ht="15.75" customHeight="1" x14ac:dyDescent="0.25">
      <c r="I76" s="12" t="s">
        <v>911</v>
      </c>
      <c r="J76" s="12" t="s">
        <v>912</v>
      </c>
      <c r="K76" s="18">
        <f>+K75-9</f>
        <v>42.761001999999998</v>
      </c>
      <c r="L76" s="18">
        <f t="shared" si="33"/>
        <v>7.5540131079195145</v>
      </c>
      <c r="M76" s="228">
        <f>+(L76-L74)/L74</f>
        <v>-0.2399530673129498</v>
      </c>
    </row>
    <row r="77" spans="9:19" ht="15.75" customHeight="1" x14ac:dyDescent="0.25"/>
    <row r="78" spans="9:19" ht="15.75" customHeight="1" x14ac:dyDescent="0.25"/>
    <row r="79" spans="9:19" ht="15.75" customHeight="1" x14ac:dyDescent="0.25"/>
    <row r="80" spans="9:19" ht="15.75" customHeight="1" x14ac:dyDescent="0.25">
      <c r="I80" s="12" t="s">
        <v>913</v>
      </c>
      <c r="J80" s="12">
        <v>5.6607000000000003</v>
      </c>
      <c r="K80" s="12" t="s">
        <v>905</v>
      </c>
    </row>
    <row r="81" spans="9:41" ht="15.75" customHeight="1" x14ac:dyDescent="0.25">
      <c r="J81" s="12" t="s">
        <v>908</v>
      </c>
      <c r="K81" s="12" t="s">
        <v>908</v>
      </c>
    </row>
    <row r="82" spans="9:41" ht="15.75" customHeight="1" x14ac:dyDescent="0.25">
      <c r="J82" s="12">
        <f>4.5/J80</f>
        <v>0.79495468758280774</v>
      </c>
      <c r="K82" s="12" t="s">
        <v>914</v>
      </c>
    </row>
    <row r="83" spans="9:41" ht="15.75" customHeight="1" x14ac:dyDescent="0.25">
      <c r="J83" s="12">
        <f>9/J80</f>
        <v>1.5899093751656155</v>
      </c>
      <c r="K83" s="12" t="s">
        <v>915</v>
      </c>
    </row>
    <row r="84" spans="9:41" ht="15.75" customHeight="1" x14ac:dyDescent="0.25"/>
    <row r="85" spans="9:41" ht="15.75" customHeight="1" x14ac:dyDescent="0.25"/>
    <row r="86" spans="9:41" ht="15.75" customHeight="1" x14ac:dyDescent="0.25"/>
    <row r="87" spans="9:41" ht="15.75" customHeight="1" x14ac:dyDescent="0.25"/>
    <row r="88" spans="9:41" ht="15.75" customHeight="1" x14ac:dyDescent="0.25"/>
    <row r="89" spans="9:41" ht="15.75" customHeight="1" x14ac:dyDescent="0.25"/>
    <row r="90" spans="9:41" ht="15.75" customHeight="1" x14ac:dyDescent="0.25"/>
    <row r="91" spans="9:41" ht="15.75" customHeight="1" x14ac:dyDescent="0.25"/>
    <row r="92" spans="9:41" ht="15.75" customHeight="1" x14ac:dyDescent="0.25"/>
    <row r="93" spans="9:41" ht="15.75" customHeight="1" x14ac:dyDescent="0.25"/>
    <row r="94" spans="9:41" ht="15.75" customHeight="1" x14ac:dyDescent="0.25"/>
    <row r="95" spans="9:41" ht="15.75" customHeight="1" x14ac:dyDescent="0.25">
      <c r="I95" s="12" t="s">
        <v>916</v>
      </c>
    </row>
    <row r="96" spans="9:41" ht="15.75" customHeight="1" x14ac:dyDescent="0.25">
      <c r="J96" s="12">
        <v>2019</v>
      </c>
      <c r="K96" s="12">
        <v>2020</v>
      </c>
      <c r="L96" s="12">
        <v>2021</v>
      </c>
      <c r="M96" s="12">
        <v>2022</v>
      </c>
      <c r="N96" s="12">
        <v>2023</v>
      </c>
      <c r="O96" s="12">
        <v>2024</v>
      </c>
      <c r="P96" s="12">
        <v>2025</v>
      </c>
      <c r="Q96" s="12">
        <v>2026</v>
      </c>
      <c r="R96" s="12">
        <v>2027</v>
      </c>
      <c r="S96" s="12">
        <v>2028</v>
      </c>
      <c r="T96" s="12">
        <v>2029</v>
      </c>
      <c r="U96" s="12">
        <v>2030</v>
      </c>
      <c r="V96" s="12">
        <v>2031</v>
      </c>
      <c r="W96" s="12">
        <v>2032</v>
      </c>
      <c r="X96" s="12">
        <v>2033</v>
      </c>
      <c r="Y96" s="12">
        <v>2034</v>
      </c>
      <c r="Z96" s="12">
        <v>2035</v>
      </c>
      <c r="AA96" s="12">
        <v>2036</v>
      </c>
      <c r="AB96" s="12">
        <v>2037</v>
      </c>
      <c r="AC96" s="12">
        <v>2038</v>
      </c>
      <c r="AD96" s="12">
        <v>2039</v>
      </c>
      <c r="AE96" s="12">
        <v>2040</v>
      </c>
      <c r="AF96" s="12">
        <v>2041</v>
      </c>
      <c r="AG96" s="12">
        <v>2042</v>
      </c>
      <c r="AH96" s="12">
        <v>2043</v>
      </c>
      <c r="AI96" s="12">
        <v>2044</v>
      </c>
      <c r="AJ96" s="12">
        <v>2045</v>
      </c>
      <c r="AK96" s="12">
        <v>2046</v>
      </c>
      <c r="AL96" s="12">
        <v>2047</v>
      </c>
      <c r="AM96" s="12">
        <v>2048</v>
      </c>
      <c r="AN96" s="12">
        <v>2049</v>
      </c>
      <c r="AO96" s="12">
        <v>2050</v>
      </c>
    </row>
    <row r="97" spans="9:41" ht="15.75" customHeight="1" x14ac:dyDescent="0.25">
      <c r="I97" s="12" t="s">
        <v>8</v>
      </c>
      <c r="J97" s="229">
        <v>22.152425999999998</v>
      </c>
      <c r="K97" s="230">
        <v>21.94087</v>
      </c>
      <c r="L97" s="229">
        <v>21.968945999999999</v>
      </c>
      <c r="M97" s="230">
        <v>21.978165000000001</v>
      </c>
      <c r="N97" s="229">
        <v>21.894269999999999</v>
      </c>
      <c r="O97" s="230">
        <v>21.607965</v>
      </c>
      <c r="P97" s="229">
        <v>21.857471</v>
      </c>
      <c r="Q97" s="230">
        <v>22.043116000000001</v>
      </c>
      <c r="R97" s="229">
        <v>22.312280999999999</v>
      </c>
      <c r="S97" s="230">
        <v>22.424955000000001</v>
      </c>
      <c r="T97" s="229">
        <v>22.720831</v>
      </c>
      <c r="U97" s="230">
        <v>23.424423000000001</v>
      </c>
      <c r="V97" s="229">
        <v>23.588041</v>
      </c>
      <c r="W97" s="230">
        <v>23.796983999999998</v>
      </c>
      <c r="X97" s="229">
        <v>24.220589</v>
      </c>
      <c r="Y97" s="230">
        <v>24.608730000000001</v>
      </c>
      <c r="Z97" s="229">
        <v>24.865734</v>
      </c>
      <c r="AA97" s="230">
        <v>25.162941</v>
      </c>
      <c r="AB97" s="229">
        <v>25.240604000000001</v>
      </c>
      <c r="AC97" s="230">
        <v>25.517137999999999</v>
      </c>
      <c r="AD97" s="229">
        <v>25.858951999999999</v>
      </c>
      <c r="AE97" s="230">
        <v>25.951355</v>
      </c>
      <c r="AF97" s="229">
        <v>26.136623</v>
      </c>
      <c r="AG97" s="230">
        <v>26.539719000000002</v>
      </c>
      <c r="AH97" s="229">
        <v>26.75515</v>
      </c>
      <c r="AI97" s="230">
        <v>26.964805999999999</v>
      </c>
      <c r="AJ97" s="229">
        <v>27.311302000000001</v>
      </c>
      <c r="AK97" s="230">
        <v>27.396849</v>
      </c>
      <c r="AL97" s="229">
        <v>27.872745999999999</v>
      </c>
      <c r="AM97" s="230">
        <v>28.194441000000001</v>
      </c>
      <c r="AN97" s="229">
        <v>28.439672000000002</v>
      </c>
      <c r="AO97" s="230">
        <v>28.648949000000002</v>
      </c>
    </row>
    <row r="98" spans="9:41" ht="15.75" customHeight="1" x14ac:dyDescent="0.25">
      <c r="I98" s="12" t="s">
        <v>14</v>
      </c>
      <c r="J98" s="229">
        <v>22.055973000000002</v>
      </c>
      <c r="K98" s="230">
        <v>21.332649</v>
      </c>
      <c r="L98" s="229">
        <v>21.307634</v>
      </c>
      <c r="M98" s="230">
        <v>21.509706000000001</v>
      </c>
      <c r="N98" s="229">
        <v>21.507311000000001</v>
      </c>
      <c r="O98" s="230">
        <v>21.769124999999999</v>
      </c>
      <c r="P98" s="229">
        <v>21.766514000000001</v>
      </c>
      <c r="Q98" s="230">
        <v>22.167186999999998</v>
      </c>
      <c r="R98" s="229">
        <v>22.215661999999998</v>
      </c>
      <c r="S98" s="230">
        <v>22.559709999999999</v>
      </c>
      <c r="T98" s="229">
        <v>22.7668</v>
      </c>
      <c r="U98" s="230">
        <v>23.137453000000001</v>
      </c>
      <c r="V98" s="229">
        <v>23.400127000000001</v>
      </c>
      <c r="W98" s="230">
        <v>23.565245000000001</v>
      </c>
      <c r="X98" s="229">
        <v>23.939878</v>
      </c>
      <c r="Y98" s="230">
        <v>24.132757000000002</v>
      </c>
      <c r="Z98" s="229">
        <v>24.353363000000002</v>
      </c>
      <c r="AA98" s="230">
        <v>24.599989000000001</v>
      </c>
      <c r="AB98" s="229">
        <v>24.760366000000001</v>
      </c>
      <c r="AC98" s="230">
        <v>24.966681000000001</v>
      </c>
      <c r="AD98" s="229">
        <v>25.188585</v>
      </c>
      <c r="AE98" s="230">
        <v>25.189914999999999</v>
      </c>
      <c r="AF98" s="229">
        <v>25.361546000000001</v>
      </c>
      <c r="AG98" s="230">
        <v>25.739941000000002</v>
      </c>
      <c r="AH98" s="229">
        <v>25.903061000000001</v>
      </c>
      <c r="AI98" s="230">
        <v>26.101400000000002</v>
      </c>
      <c r="AJ98" s="229">
        <v>26.471900999999999</v>
      </c>
      <c r="AK98" s="230">
        <v>26.487107999999999</v>
      </c>
      <c r="AL98" s="229">
        <v>26.746400999999999</v>
      </c>
      <c r="AM98" s="230">
        <v>26.985009999999999</v>
      </c>
      <c r="AN98" s="229">
        <v>27.152633999999999</v>
      </c>
      <c r="AO98" s="230">
        <v>27.305868</v>
      </c>
    </row>
    <row r="99" spans="9:41" ht="15.75" customHeight="1" x14ac:dyDescent="0.25">
      <c r="I99" s="12" t="s">
        <v>18</v>
      </c>
      <c r="J99" s="229">
        <v>14.641048</v>
      </c>
      <c r="K99" s="230">
        <v>14.449450000000001</v>
      </c>
      <c r="L99" s="229">
        <v>14.469915</v>
      </c>
      <c r="M99" s="230">
        <v>14.677915</v>
      </c>
      <c r="N99" s="229">
        <v>14.784328</v>
      </c>
      <c r="O99" s="230">
        <v>15.181978000000001</v>
      </c>
      <c r="P99" s="229">
        <v>15.254274000000001</v>
      </c>
      <c r="Q99" s="230">
        <v>15.71048</v>
      </c>
      <c r="R99" s="229">
        <v>15.739540999999999</v>
      </c>
      <c r="S99" s="230">
        <v>16.214652999999998</v>
      </c>
      <c r="T99" s="229">
        <v>16.425370999999998</v>
      </c>
      <c r="U99" s="230">
        <v>16.664819999999999</v>
      </c>
      <c r="V99" s="229">
        <v>17.012841999999999</v>
      </c>
      <c r="W99" s="230">
        <v>17.187419999999999</v>
      </c>
      <c r="X99" s="229">
        <v>17.583839000000001</v>
      </c>
      <c r="Y99" s="230">
        <v>17.868292</v>
      </c>
      <c r="Z99" s="229">
        <v>18.138349999999999</v>
      </c>
      <c r="AA99" s="230">
        <v>18.383088999999998</v>
      </c>
      <c r="AB99" s="229">
        <v>18.624289999999998</v>
      </c>
      <c r="AC99" s="230">
        <v>18.83005</v>
      </c>
      <c r="AD99" s="229">
        <v>19.106794000000001</v>
      </c>
      <c r="AE99" s="230">
        <v>19.197942999999999</v>
      </c>
      <c r="AF99" s="229">
        <v>19.450199000000001</v>
      </c>
      <c r="AG99" s="230">
        <v>19.834574</v>
      </c>
      <c r="AH99" s="229">
        <v>20.040814999999998</v>
      </c>
      <c r="AI99" s="230">
        <v>20.276285000000001</v>
      </c>
      <c r="AJ99" s="229">
        <v>20.70055</v>
      </c>
      <c r="AK99" s="230">
        <v>20.752966000000001</v>
      </c>
      <c r="AL99" s="229">
        <v>21.175343999999999</v>
      </c>
      <c r="AM99" s="230">
        <v>21.518598999999998</v>
      </c>
      <c r="AN99" s="229">
        <v>21.766680000000001</v>
      </c>
      <c r="AO99" s="230">
        <v>21.858753</v>
      </c>
    </row>
    <row r="100" spans="9:41" ht="15.75" customHeight="1" x14ac:dyDescent="0.25">
      <c r="I100" s="12" t="s">
        <v>22</v>
      </c>
      <c r="J100" s="229">
        <v>18.517337999999999</v>
      </c>
      <c r="K100" s="230">
        <v>17.795781999999999</v>
      </c>
      <c r="L100" s="229">
        <v>18.164116</v>
      </c>
      <c r="M100" s="230">
        <v>18.891821</v>
      </c>
      <c r="N100" s="229">
        <v>19.477640000000001</v>
      </c>
      <c r="O100" s="230">
        <v>20.115549000000001</v>
      </c>
      <c r="P100" s="229">
        <v>20.967055999999999</v>
      </c>
      <c r="Q100" s="230">
        <v>21.841379</v>
      </c>
      <c r="R100" s="229">
        <v>22.424021</v>
      </c>
      <c r="S100" s="230">
        <v>22.825673999999999</v>
      </c>
      <c r="T100" s="229">
        <v>23.067326999999999</v>
      </c>
      <c r="U100" s="230">
        <v>23.235030999999999</v>
      </c>
      <c r="V100" s="229">
        <v>23.271035999999999</v>
      </c>
      <c r="W100" s="230">
        <v>23.351419</v>
      </c>
      <c r="X100" s="229">
        <v>23.62575</v>
      </c>
      <c r="Y100" s="230">
        <v>23.87743</v>
      </c>
      <c r="Z100" s="229">
        <v>24.152052000000001</v>
      </c>
      <c r="AA100" s="230">
        <v>24.470886</v>
      </c>
      <c r="AB100" s="229">
        <v>24.818118999999999</v>
      </c>
      <c r="AC100" s="230">
        <v>25.156732999999999</v>
      </c>
      <c r="AD100" s="229">
        <v>25.476082000000002</v>
      </c>
      <c r="AE100" s="230">
        <v>25.756554000000001</v>
      </c>
      <c r="AF100" s="229">
        <v>26.017603000000001</v>
      </c>
      <c r="AG100" s="230">
        <v>26.396612000000001</v>
      </c>
      <c r="AH100" s="229">
        <v>26.704369</v>
      </c>
      <c r="AI100" s="230">
        <v>27.004362</v>
      </c>
      <c r="AJ100" s="229">
        <v>27.302423000000001</v>
      </c>
      <c r="AK100" s="230">
        <v>27.590530000000001</v>
      </c>
      <c r="AL100" s="229">
        <v>27.952341000000001</v>
      </c>
      <c r="AM100" s="230">
        <v>28.331855999999998</v>
      </c>
      <c r="AN100" s="229">
        <v>28.642916</v>
      </c>
      <c r="AO100" s="230">
        <v>28.935759999999998</v>
      </c>
    </row>
    <row r="101" spans="9:41" ht="15.75" customHeight="1" x14ac:dyDescent="0.25">
      <c r="I101" s="12" t="s">
        <v>26</v>
      </c>
      <c r="J101" s="229">
        <v>9.7503069999999994</v>
      </c>
      <c r="K101" s="230">
        <v>10.19247</v>
      </c>
      <c r="L101" s="229">
        <v>10.271381</v>
      </c>
      <c r="M101" s="230">
        <v>10.173702</v>
      </c>
      <c r="N101" s="229">
        <v>9.1834290000000003</v>
      </c>
      <c r="O101" s="230">
        <v>9.5545159999999996</v>
      </c>
      <c r="P101" s="229">
        <v>9.8769209999999994</v>
      </c>
      <c r="Q101" s="230">
        <v>10.457724000000001</v>
      </c>
      <c r="R101" s="229">
        <v>11.210336</v>
      </c>
      <c r="S101" s="230">
        <v>11.536975999999999</v>
      </c>
      <c r="T101" s="229">
        <v>11.842731000000001</v>
      </c>
      <c r="U101" s="230">
        <v>11.37082</v>
      </c>
      <c r="V101" s="229">
        <v>11.605115</v>
      </c>
      <c r="W101" s="230">
        <v>11.676685000000001</v>
      </c>
      <c r="X101" s="229">
        <v>11.933399</v>
      </c>
      <c r="Y101" s="230">
        <v>12.064242</v>
      </c>
      <c r="Z101" s="229">
        <v>12.697660000000001</v>
      </c>
      <c r="AA101" s="230">
        <v>13.116432</v>
      </c>
      <c r="AB101" s="229">
        <v>13.224297</v>
      </c>
      <c r="AC101" s="230">
        <v>13.736769000000001</v>
      </c>
      <c r="AD101" s="229">
        <v>13.914393</v>
      </c>
      <c r="AE101" s="230">
        <v>14.113455</v>
      </c>
      <c r="AF101" s="229">
        <v>14.229108</v>
      </c>
      <c r="AG101" s="230">
        <v>14.283981000000001</v>
      </c>
      <c r="AH101" s="229">
        <v>14.843826</v>
      </c>
      <c r="AI101" s="230">
        <v>15.073577</v>
      </c>
      <c r="AJ101" s="229">
        <v>15.086976</v>
      </c>
      <c r="AK101" s="230">
        <v>15.677839000000001</v>
      </c>
      <c r="AL101" s="229">
        <v>15.942997</v>
      </c>
      <c r="AM101" s="230">
        <v>16.146730000000002</v>
      </c>
      <c r="AN101" s="229">
        <v>16.344221000000001</v>
      </c>
      <c r="AO101" s="230">
        <v>15.920506</v>
      </c>
    </row>
    <row r="102" spans="9:41" ht="15.75" customHeight="1" x14ac:dyDescent="0.25">
      <c r="I102" s="12" t="s">
        <v>30</v>
      </c>
      <c r="J102" s="12">
        <v>16.336877005347596</v>
      </c>
      <c r="K102" s="12">
        <v>15.906911905432029</v>
      </c>
      <c r="L102" s="12">
        <v>16.583545735997749</v>
      </c>
      <c r="M102" s="12">
        <v>17.425744441317196</v>
      </c>
      <c r="N102" s="12">
        <v>17.265841823810863</v>
      </c>
      <c r="O102" s="12">
        <v>17.183804109203489</v>
      </c>
      <c r="P102" s="12">
        <v>17.76969997185477</v>
      </c>
      <c r="Q102" s="12">
        <v>17.949379116239797</v>
      </c>
      <c r="R102" s="12">
        <v>18.489267661131436</v>
      </c>
      <c r="S102" s="12">
        <v>19.181316070925977</v>
      </c>
      <c r="T102" s="12">
        <v>19.59553560371517</v>
      </c>
      <c r="U102" s="12">
        <v>20.679272727272728</v>
      </c>
      <c r="V102" s="12">
        <v>20.745623979735434</v>
      </c>
      <c r="W102" s="12">
        <v>20.815344216155363</v>
      </c>
      <c r="X102" s="12">
        <v>20.860866873065014</v>
      </c>
      <c r="Y102" s="12">
        <v>20.756759358288768</v>
      </c>
      <c r="Z102" s="12">
        <v>20.835061638052352</v>
      </c>
      <c r="AA102" s="12">
        <v>20.885974669293553</v>
      </c>
      <c r="AB102" s="12">
        <v>20.979112299465239</v>
      </c>
      <c r="AC102" s="12">
        <v>21.052343371798479</v>
      </c>
      <c r="AD102" s="12">
        <v>21.330976076555025</v>
      </c>
      <c r="AE102" s="12">
        <v>21.42243512524627</v>
      </c>
      <c r="AF102" s="12">
        <v>21.491599774838164</v>
      </c>
      <c r="AG102" s="12">
        <v>21.928314663664509</v>
      </c>
      <c r="AH102" s="12">
        <v>22.202857303687022</v>
      </c>
      <c r="AI102" s="12">
        <v>22.659845201238387</v>
      </c>
      <c r="AJ102" s="12">
        <v>22.587926259499014</v>
      </c>
      <c r="AK102" s="12">
        <v>22.963514776245425</v>
      </c>
      <c r="AL102" s="12">
        <v>23.469701660568532</v>
      </c>
      <c r="AM102" s="12">
        <v>23.726725584013508</v>
      </c>
      <c r="AN102" s="12">
        <v>24.321664508865748</v>
      </c>
      <c r="AO102" s="12">
        <v>25.480807768083309</v>
      </c>
    </row>
    <row r="103" spans="9:41" ht="15.75" customHeight="1" x14ac:dyDescent="0.25">
      <c r="I103" s="12" t="s">
        <v>32</v>
      </c>
      <c r="J103" s="12">
        <v>28.503195372270948</v>
      </c>
      <c r="K103" s="12">
        <v>27.56843519236628</v>
      </c>
      <c r="L103" s="12">
        <v>27.536108011323876</v>
      </c>
      <c r="M103" s="12">
        <v>27.797248052403248</v>
      </c>
      <c r="N103" s="12">
        <v>27.794152965511518</v>
      </c>
      <c r="O103" s="12">
        <v>28.132498301407413</v>
      </c>
      <c r="P103" s="12">
        <v>28.129124075155097</v>
      </c>
      <c r="Q103" s="12">
        <v>28.646918542866576</v>
      </c>
      <c r="R103" s="12">
        <v>28.709563360017508</v>
      </c>
      <c r="S103" s="12">
        <v>29.154180668963214</v>
      </c>
      <c r="T103" s="12">
        <v>29.421805530928889</v>
      </c>
      <c r="U103" s="12">
        <v>29.90080479676578</v>
      </c>
      <c r="V103" s="12">
        <v>30.240261520856617</v>
      </c>
      <c r="W103" s="12">
        <v>30.453645469661708</v>
      </c>
      <c r="X103" s="12">
        <v>30.937788136679849</v>
      </c>
      <c r="Y103" s="12">
        <v>31.187047954880036</v>
      </c>
      <c r="Z103" s="12">
        <v>31.472139703872259</v>
      </c>
      <c r="AA103" s="12">
        <v>31.79085740732074</v>
      </c>
      <c r="AB103" s="12">
        <v>31.99811450562326</v>
      </c>
      <c r="AC103" s="12">
        <v>32.264737825901626</v>
      </c>
      <c r="AD103" s="12">
        <v>32.551506995681095</v>
      </c>
      <c r="AE103" s="12">
        <v>32.553225770447689</v>
      </c>
      <c r="AF103" s="12">
        <v>32.775026546361701</v>
      </c>
      <c r="AG103" s="12">
        <v>33.264030890576777</v>
      </c>
      <c r="AH103" s="12">
        <v>33.474832800296412</v>
      </c>
      <c r="AI103" s="12">
        <v>33.731148641222632</v>
      </c>
      <c r="AJ103" s="12">
        <v>34.209951475657626</v>
      </c>
      <c r="AK103" s="12">
        <v>34.229603662030271</v>
      </c>
      <c r="AL103" s="12">
        <v>34.564691079740761</v>
      </c>
      <c r="AM103" s="12">
        <v>34.873048319051037</v>
      </c>
      <c r="AN103" s="12">
        <v>35.089670801363731</v>
      </c>
      <c r="AO103" s="12">
        <v>35.287696916088954</v>
      </c>
    </row>
    <row r="104" spans="9:41" ht="15.75" customHeight="1" x14ac:dyDescent="0.25">
      <c r="I104" s="12" t="s">
        <v>7</v>
      </c>
      <c r="J104" s="229">
        <v>5.0316960000000002</v>
      </c>
      <c r="K104" s="230">
        <v>4.7607179999999998</v>
      </c>
      <c r="L104" s="229">
        <v>4.8476780000000002</v>
      </c>
      <c r="M104" s="230">
        <v>4.8332069999999998</v>
      </c>
      <c r="N104" s="229">
        <v>4.8686489999999996</v>
      </c>
      <c r="O104" s="230">
        <v>4.9797479999999998</v>
      </c>
      <c r="P104" s="229">
        <v>5.198734</v>
      </c>
      <c r="Q104" s="230">
        <v>5.4027200000000004</v>
      </c>
      <c r="R104" s="229">
        <v>5.5522840000000002</v>
      </c>
      <c r="S104" s="230">
        <v>5.6320800000000002</v>
      </c>
      <c r="T104" s="229">
        <v>5.6439170000000001</v>
      </c>
      <c r="U104" s="230">
        <v>5.6790589999999996</v>
      </c>
      <c r="V104" s="229">
        <v>5.6373389999999999</v>
      </c>
      <c r="W104" s="230">
        <v>5.6477459999999997</v>
      </c>
      <c r="X104" s="229">
        <v>5.7140750000000002</v>
      </c>
      <c r="Y104" s="230">
        <v>5.7420039999999997</v>
      </c>
      <c r="Z104" s="229">
        <v>5.739636</v>
      </c>
      <c r="AA104" s="230">
        <v>5.7297529999999997</v>
      </c>
      <c r="AB104" s="229">
        <v>5.7619749999999996</v>
      </c>
      <c r="AC104" s="230">
        <v>5.7804820000000001</v>
      </c>
      <c r="AD104" s="229">
        <v>5.7848649999999999</v>
      </c>
      <c r="AE104" s="230">
        <v>5.7817970000000001</v>
      </c>
      <c r="AF104" s="229">
        <v>5.7831630000000001</v>
      </c>
      <c r="AG104" s="230">
        <v>5.7969949999999999</v>
      </c>
      <c r="AH104" s="229">
        <v>5.8079429999999999</v>
      </c>
      <c r="AI104" s="230">
        <v>5.8250010000000003</v>
      </c>
      <c r="AJ104" s="229">
        <v>5.848293</v>
      </c>
      <c r="AK104" s="230">
        <v>5.8874190000000004</v>
      </c>
      <c r="AL104" s="229">
        <v>5.9310219999999996</v>
      </c>
      <c r="AM104" s="230">
        <v>5.9516270000000002</v>
      </c>
      <c r="AN104" s="229">
        <v>5.9727379999999997</v>
      </c>
      <c r="AO104" s="230">
        <v>6.0177839999999998</v>
      </c>
    </row>
    <row r="105" spans="9:41" ht="16.5" customHeight="1" x14ac:dyDescent="0.25">
      <c r="I105" s="12" t="s">
        <v>13</v>
      </c>
      <c r="J105" s="12">
        <f t="shared" ref="J105:AO105" si="34">+J108</f>
        <v>9.9389069659747609</v>
      </c>
      <c r="K105" s="12">
        <f t="shared" si="34"/>
        <v>9.3869901772428523</v>
      </c>
      <c r="L105" s="12">
        <f t="shared" si="34"/>
        <v>10.287079260646848</v>
      </c>
      <c r="M105" s="12">
        <f t="shared" si="34"/>
        <v>10.535673289409495</v>
      </c>
      <c r="N105" s="12">
        <f t="shared" si="34"/>
        <v>10.74174170797278</v>
      </c>
      <c r="O105" s="12">
        <f t="shared" si="34"/>
        <v>11.129993971580372</v>
      </c>
      <c r="P105" s="12">
        <f t="shared" si="34"/>
        <v>11.404622491095539</v>
      </c>
      <c r="Q105" s="12">
        <f t="shared" si="34"/>
        <v>11.693615001593368</v>
      </c>
      <c r="R105" s="12">
        <f t="shared" si="34"/>
        <v>11.97288183063062</v>
      </c>
      <c r="S105" s="12">
        <f t="shared" si="34"/>
        <v>12.106750658115047</v>
      </c>
      <c r="T105" s="12">
        <f t="shared" si="34"/>
        <v>12.377995487022886</v>
      </c>
      <c r="U105" s="12">
        <f t="shared" si="34"/>
        <v>12.602511149398413</v>
      </c>
      <c r="V105" s="12">
        <f t="shared" si="34"/>
        <v>12.89947849257279</v>
      </c>
      <c r="W105" s="12">
        <f t="shared" si="34"/>
        <v>13.05019617018589</v>
      </c>
      <c r="X105" s="12">
        <f t="shared" si="34"/>
        <v>13.528408425775462</v>
      </c>
      <c r="Y105" s="12">
        <f t="shared" si="34"/>
        <v>13.746138157938017</v>
      </c>
      <c r="Z105" s="12">
        <f t="shared" si="34"/>
        <v>14.018754906092827</v>
      </c>
      <c r="AA105" s="12">
        <f t="shared" si="34"/>
        <v>14.383410900612422</v>
      </c>
      <c r="AB105" s="12">
        <f t="shared" si="34"/>
        <v>14.451363477705129</v>
      </c>
      <c r="AC105" s="12">
        <f t="shared" si="34"/>
        <v>14.722348267322275</v>
      </c>
      <c r="AD105" s="12">
        <f t="shared" si="34"/>
        <v>14.97849385828558</v>
      </c>
      <c r="AE105" s="12">
        <f t="shared" si="34"/>
        <v>15.146069572197943</v>
      </c>
      <c r="AF105" s="12">
        <f t="shared" si="34"/>
        <v>15.324567642948036</v>
      </c>
      <c r="AG105" s="12">
        <f t="shared" si="34"/>
        <v>15.726956186501802</v>
      </c>
      <c r="AH105" s="12">
        <f t="shared" si="34"/>
        <v>15.920432485064548</v>
      </c>
      <c r="AI105" s="12">
        <f t="shared" si="34"/>
        <v>16.14669086999627</v>
      </c>
      <c r="AJ105" s="12">
        <f t="shared" si="34"/>
        <v>16.491298400506025</v>
      </c>
      <c r="AK105" s="12">
        <f t="shared" si="34"/>
        <v>16.614746224078669</v>
      </c>
      <c r="AL105" s="12">
        <f t="shared" si="34"/>
        <v>17.032564177747016</v>
      </c>
      <c r="AM105" s="12">
        <f t="shared" si="34"/>
        <v>17.354044993811897</v>
      </c>
      <c r="AN105" s="12">
        <f t="shared" si="34"/>
        <v>17.615031873336019</v>
      </c>
      <c r="AO105" s="12">
        <f t="shared" si="34"/>
        <v>17.793513868287572</v>
      </c>
    </row>
    <row r="106" spans="9:41" ht="15.75" customHeight="1" x14ac:dyDescent="0.25">
      <c r="I106" s="12" t="s">
        <v>17</v>
      </c>
      <c r="J106" s="12">
        <f t="shared" ref="J106:AO106" si="35">+J105*(100%+$M$75)</f>
        <v>9.143949895233531</v>
      </c>
      <c r="K106" s="12">
        <f t="shared" si="35"/>
        <v>8.6361778152875335</v>
      </c>
      <c r="L106" s="12">
        <f t="shared" si="35"/>
        <v>9.4642738532189661</v>
      </c>
      <c r="M106" s="12">
        <f t="shared" si="35"/>
        <v>9.6929842487425191</v>
      </c>
      <c r="N106" s="12">
        <f t="shared" si="35"/>
        <v>9.8825704176022739</v>
      </c>
      <c r="O106" s="12">
        <f t="shared" si="35"/>
        <v>10.239768574028588</v>
      </c>
      <c r="P106" s="12">
        <f t="shared" si="35"/>
        <v>10.492431108333994</v>
      </c>
      <c r="Q106" s="12">
        <f t="shared" si="35"/>
        <v>10.758308739057016</v>
      </c>
      <c r="R106" s="12">
        <f t="shared" si="35"/>
        <v>11.015238590685517</v>
      </c>
      <c r="S106" s="12">
        <f t="shared" si="35"/>
        <v>11.138400006245785</v>
      </c>
      <c r="T106" s="12">
        <f t="shared" si="35"/>
        <v>11.387949492257221</v>
      </c>
      <c r="U106" s="12">
        <f t="shared" si="35"/>
        <v>11.594507414017146</v>
      </c>
      <c r="V106" s="12">
        <f t="shared" si="35"/>
        <v>11.8677220155627</v>
      </c>
      <c r="W106" s="12">
        <f t="shared" si="35"/>
        <v>12.006384636828617</v>
      </c>
      <c r="X106" s="12">
        <f t="shared" si="35"/>
        <v>12.446347393233069</v>
      </c>
      <c r="Y106" s="12">
        <f t="shared" si="35"/>
        <v>12.646662153036411</v>
      </c>
      <c r="Z106" s="12">
        <f t="shared" si="35"/>
        <v>12.897473826217679</v>
      </c>
      <c r="AA106" s="12">
        <f t="shared" si="35"/>
        <v>13.232963045937597</v>
      </c>
      <c r="AB106" s="12">
        <f t="shared" si="35"/>
        <v>13.295480479928566</v>
      </c>
      <c r="AC106" s="12">
        <f t="shared" si="35"/>
        <v>13.544790725724448</v>
      </c>
      <c r="AD106" s="12">
        <f t="shared" si="35"/>
        <v>13.780448676610977</v>
      </c>
      <c r="AE106" s="12">
        <f t="shared" si="35"/>
        <v>13.934620955003197</v>
      </c>
      <c r="AF106" s="12">
        <f t="shared" si="35"/>
        <v>14.098841972557979</v>
      </c>
      <c r="AG106" s="12">
        <f t="shared" si="35"/>
        <v>14.469045727685973</v>
      </c>
      <c r="AH106" s="12">
        <f t="shared" si="35"/>
        <v>14.647046949151225</v>
      </c>
      <c r="AI106" s="12">
        <f t="shared" si="35"/>
        <v>14.855208202926399</v>
      </c>
      <c r="AJ106" s="12">
        <f t="shared" si="35"/>
        <v>15.172252522114501</v>
      </c>
      <c r="AK106" s="12">
        <f t="shared" si="35"/>
        <v>15.285826451047358</v>
      </c>
      <c r="AL106" s="12">
        <f t="shared" si="35"/>
        <v>15.670225504861991</v>
      </c>
      <c r="AM106" s="12">
        <f t="shared" si="35"/>
        <v>15.965992884961192</v>
      </c>
      <c r="AN106" s="12">
        <f t="shared" si="35"/>
        <v>16.206104897061898</v>
      </c>
      <c r="AO106" s="12">
        <f t="shared" si="35"/>
        <v>16.370311124630533</v>
      </c>
    </row>
    <row r="107" spans="9:41" ht="15.75" customHeight="1" x14ac:dyDescent="0.25">
      <c r="I107" s="12" t="s">
        <v>917</v>
      </c>
      <c r="J107" s="12">
        <f t="shared" ref="J107:AO107" si="36">+J105*(100%+$M$76)</f>
        <v>7.5540357537510738</v>
      </c>
      <c r="K107" s="12">
        <f t="shared" si="36"/>
        <v>7.1345530913769002</v>
      </c>
      <c r="L107" s="12">
        <f t="shared" si="36"/>
        <v>7.8186630383632059</v>
      </c>
      <c r="M107" s="12">
        <f t="shared" si="36"/>
        <v>8.0076061674085715</v>
      </c>
      <c r="N107" s="12">
        <f t="shared" si="36"/>
        <v>8.1642278368612686</v>
      </c>
      <c r="O107" s="12">
        <f t="shared" si="36"/>
        <v>8.4593177789250227</v>
      </c>
      <c r="P107" s="12">
        <f t="shared" si="36"/>
        <v>8.668048342810911</v>
      </c>
      <c r="Q107" s="12">
        <f t="shared" si="36"/>
        <v>8.8876962139843165</v>
      </c>
      <c r="R107" s="12">
        <f t="shared" si="36"/>
        <v>9.0999521107953179</v>
      </c>
      <c r="S107" s="12">
        <f t="shared" si="36"/>
        <v>9.2016987025072687</v>
      </c>
      <c r="T107" s="12">
        <f t="shared" si="36"/>
        <v>9.4078575027258964</v>
      </c>
      <c r="U107" s="12">
        <f t="shared" si="36"/>
        <v>9.5784999432546165</v>
      </c>
      <c r="V107" s="12">
        <f t="shared" si="36"/>
        <v>9.8042090615425241</v>
      </c>
      <c r="W107" s="12">
        <f t="shared" si="36"/>
        <v>9.9187615701140768</v>
      </c>
      <c r="X107" s="12">
        <f t="shared" si="36"/>
        <v>10.282225328148286</v>
      </c>
      <c r="Y107" s="12">
        <f t="shared" si="36"/>
        <v>10.447710143233209</v>
      </c>
      <c r="Z107" s="12">
        <f t="shared" si="36"/>
        <v>10.65491166646739</v>
      </c>
      <c r="AA107" s="12">
        <f t="shared" si="36"/>
        <v>10.932067336587954</v>
      </c>
      <c r="AB107" s="12">
        <f t="shared" si="36"/>
        <v>10.983714484375447</v>
      </c>
      <c r="AC107" s="12">
        <f t="shared" si="36"/>
        <v>11.189675642528805</v>
      </c>
      <c r="AD107" s="12">
        <f t="shared" si="36"/>
        <v>11.384358313261776</v>
      </c>
      <c r="AE107" s="12">
        <f t="shared" si="36"/>
        <v>11.511723720613711</v>
      </c>
      <c r="AF107" s="12">
        <f t="shared" si="36"/>
        <v>11.647390631777874</v>
      </c>
      <c r="AG107" s="12">
        <f t="shared" si="36"/>
        <v>11.953224810054323</v>
      </c>
      <c r="AH107" s="12">
        <f t="shared" si="36"/>
        <v>12.100275877324583</v>
      </c>
      <c r="AI107" s="12">
        <f t="shared" si="36"/>
        <v>12.272242868786664</v>
      </c>
      <c r="AJ107" s="12">
        <f t="shared" si="36"/>
        <v>12.534160765331462</v>
      </c>
      <c r="AK107" s="12">
        <f t="shared" si="36"/>
        <v>12.627986904984743</v>
      </c>
      <c r="AL107" s="12">
        <f t="shared" si="36"/>
        <v>12.945548159091949</v>
      </c>
      <c r="AM107" s="12">
        <f t="shared" si="36"/>
        <v>13.189888667259792</v>
      </c>
      <c r="AN107" s="12">
        <f t="shared" si="36"/>
        <v>13.388250944513667</v>
      </c>
      <c r="AO107" s="12">
        <f t="shared" si="36"/>
        <v>13.52390563731646</v>
      </c>
    </row>
    <row r="108" spans="9:41" ht="15.75" customHeight="1" x14ac:dyDescent="0.25">
      <c r="I108" s="12" t="s">
        <v>908</v>
      </c>
      <c r="J108" s="12">
        <v>9.9389069659747609</v>
      </c>
      <c r="K108" s="12">
        <v>9.3869901772428523</v>
      </c>
      <c r="L108" s="12">
        <v>10.287079260646848</v>
      </c>
      <c r="M108" s="12">
        <v>10.535673289409495</v>
      </c>
      <c r="N108" s="12">
        <v>10.74174170797278</v>
      </c>
      <c r="O108" s="12">
        <v>11.129993971580372</v>
      </c>
      <c r="P108" s="12">
        <v>11.404622491095539</v>
      </c>
      <c r="Q108" s="12">
        <v>11.693615001593368</v>
      </c>
      <c r="R108" s="12">
        <v>11.97288183063062</v>
      </c>
      <c r="S108" s="12">
        <v>12.106750658115047</v>
      </c>
      <c r="T108" s="12">
        <v>12.377995487022886</v>
      </c>
      <c r="U108" s="12">
        <v>12.602511149398413</v>
      </c>
      <c r="V108" s="12">
        <v>12.89947849257279</v>
      </c>
      <c r="W108" s="12">
        <v>13.05019617018589</v>
      </c>
      <c r="X108" s="12">
        <v>13.528408425775462</v>
      </c>
      <c r="Y108" s="12">
        <v>13.746138157938017</v>
      </c>
      <c r="Z108" s="12">
        <v>14.018754906092827</v>
      </c>
      <c r="AA108" s="12">
        <v>14.383410900612422</v>
      </c>
      <c r="AB108" s="12">
        <v>14.451363477705129</v>
      </c>
      <c r="AC108" s="12">
        <v>14.722348267322275</v>
      </c>
      <c r="AD108" s="12">
        <v>14.97849385828558</v>
      </c>
      <c r="AE108" s="12">
        <v>15.146069572197943</v>
      </c>
      <c r="AF108" s="12">
        <v>15.324567642948036</v>
      </c>
      <c r="AG108" s="12">
        <v>15.726956186501802</v>
      </c>
      <c r="AH108" s="12">
        <v>15.920432485064548</v>
      </c>
      <c r="AI108" s="12">
        <v>16.14669086999627</v>
      </c>
      <c r="AJ108" s="12">
        <v>16.491298400506025</v>
      </c>
      <c r="AK108" s="12">
        <v>16.614746224078669</v>
      </c>
      <c r="AL108" s="12">
        <v>17.032564177747016</v>
      </c>
      <c r="AM108" s="12">
        <v>17.354044993811897</v>
      </c>
      <c r="AN108" s="12">
        <v>17.615031873336019</v>
      </c>
      <c r="AO108" s="12">
        <v>17.793513868287572</v>
      </c>
    </row>
    <row r="109" spans="9:41" ht="15.75" customHeight="1" x14ac:dyDescent="0.25">
      <c r="I109" s="12" t="s">
        <v>102</v>
      </c>
      <c r="J109" s="12">
        <v>22.631883642110068</v>
      </c>
      <c r="K109" s="12">
        <v>22.339540412044375</v>
      </c>
      <c r="L109" s="12">
        <v>22.078422999593137</v>
      </c>
      <c r="M109" s="12">
        <v>22.39579265822039</v>
      </c>
      <c r="N109" s="12">
        <v>22.558159280737229</v>
      </c>
      <c r="O109" s="12">
        <v>23.164899880511875</v>
      </c>
      <c r="P109" s="12">
        <v>23.275210249935512</v>
      </c>
      <c r="Q109" s="12">
        <v>23.971296511876403</v>
      </c>
      <c r="R109" s="12">
        <v>24.015638240959891</v>
      </c>
      <c r="S109" s="12">
        <v>24.740571573891199</v>
      </c>
      <c r="T109" s="12">
        <v>25.062088399499931</v>
      </c>
      <c r="U109" s="12">
        <v>25.42744343502223</v>
      </c>
      <c r="V109" s="12">
        <v>25.958460854900952</v>
      </c>
      <c r="W109" s="12">
        <v>26.224834702323204</v>
      </c>
      <c r="X109" s="12">
        <v>26.829697023012422</v>
      </c>
      <c r="Y109" s="12">
        <v>27.263719866788854</v>
      </c>
      <c r="Z109" s="12">
        <v>27.675778594046346</v>
      </c>
      <c r="AA109" s="12">
        <v>28.049205194444301</v>
      </c>
      <c r="AB109" s="12">
        <v>28.417233459014266</v>
      </c>
      <c r="AC109" s="12">
        <v>28.731185290548609</v>
      </c>
      <c r="AD109" s="12">
        <v>29.153445621352176</v>
      </c>
      <c r="AE109" s="12">
        <v>29.292522193535898</v>
      </c>
      <c r="AF109" s="12">
        <v>29.677418350298769</v>
      </c>
      <c r="AG109" s="12">
        <v>30.263903747100933</v>
      </c>
      <c r="AH109" s="12">
        <v>30.578589495970853</v>
      </c>
      <c r="AI109" s="12">
        <v>30.937873310956238</v>
      </c>
      <c r="AJ109" s="12">
        <v>31.585223494694176</v>
      </c>
      <c r="AK109" s="12">
        <v>31.665200648668247</v>
      </c>
      <c r="AL109" s="12">
        <v>32.309671618243542</v>
      </c>
      <c r="AM109" s="12">
        <v>32.833415474840166</v>
      </c>
      <c r="AN109" s="12">
        <v>33.211941351195492</v>
      </c>
      <c r="AO109" s="12">
        <v>33.352427777055048</v>
      </c>
    </row>
    <row r="110" spans="9:41" ht="15.75" customHeight="1" x14ac:dyDescent="0.25"/>
    <row r="111" spans="9:41" ht="15.75" customHeight="1" x14ac:dyDescent="0.25"/>
    <row r="112" spans="9:41" ht="15.75" customHeight="1" x14ac:dyDescent="0.25"/>
    <row r="113" spans="8:17" ht="15.75" customHeight="1" x14ac:dyDescent="0.25">
      <c r="I113" s="12" t="s">
        <v>918</v>
      </c>
    </row>
    <row r="114" spans="8:17" ht="15.75" customHeight="1" x14ac:dyDescent="0.25">
      <c r="J114" s="12">
        <v>2019</v>
      </c>
      <c r="K114" s="12">
        <v>2020</v>
      </c>
      <c r="L114" s="12">
        <v>2025</v>
      </c>
      <c r="M114" s="12">
        <v>2030</v>
      </c>
      <c r="N114" s="12">
        <v>2035</v>
      </c>
      <c r="O114" s="12">
        <v>2040</v>
      </c>
      <c r="P114" s="12">
        <v>2045</v>
      </c>
      <c r="Q114" s="12">
        <v>2050</v>
      </c>
    </row>
    <row r="115" spans="8:17" ht="15.75" customHeight="1" x14ac:dyDescent="0.25">
      <c r="H115" s="12" t="s">
        <v>8</v>
      </c>
      <c r="I115" s="12" t="s">
        <v>919</v>
      </c>
      <c r="J115" s="229">
        <f t="shared" ref="J115:K115" si="37">+J97*$R$3/1000000</f>
        <v>20.996445954041999</v>
      </c>
      <c r="K115" s="229">
        <f t="shared" si="37"/>
        <v>20.795929580790002</v>
      </c>
      <c r="L115" s="229">
        <f t="shared" ref="L115:L127" si="38">+P97*$R$3/1000000</f>
        <v>20.716882590807003</v>
      </c>
      <c r="M115" s="229">
        <f t="shared" ref="M115:M127" si="39">+U97*$R$3/1000000</f>
        <v>22.202066334591002</v>
      </c>
      <c r="N115" s="229">
        <f t="shared" ref="N115:N127" si="40">+Z97*$R$3/1000000</f>
        <v>23.568165402677998</v>
      </c>
      <c r="O115" s="229">
        <f t="shared" ref="O115:O127" si="41">+AE97*$R$3/1000000</f>
        <v>24.597135442035</v>
      </c>
      <c r="P115" s="229">
        <f t="shared" ref="P115:P127" si="42">+AJ97*$R$3/1000000</f>
        <v>25.886116327734001</v>
      </c>
      <c r="Q115" s="229">
        <f t="shared" ref="Q115:Q127" si="43">+AO97*$R$3/1000000</f>
        <v>27.153960894333</v>
      </c>
    </row>
    <row r="116" spans="8:17" ht="15.75" customHeight="1" x14ac:dyDescent="0.25">
      <c r="H116" s="12" t="s">
        <v>14</v>
      </c>
      <c r="I116" s="12" t="s">
        <v>63</v>
      </c>
      <c r="J116" s="229">
        <f t="shared" ref="J116:K116" si="44">+J98*$R$3/1000000</f>
        <v>20.905026160941002</v>
      </c>
      <c r="K116" s="229">
        <f t="shared" si="44"/>
        <v>20.219447377232999</v>
      </c>
      <c r="L116" s="229">
        <f t="shared" si="38"/>
        <v>20.630671999937999</v>
      </c>
      <c r="M116" s="229">
        <f t="shared" si="39"/>
        <v>21.930071290101001</v>
      </c>
      <c r="N116" s="229">
        <f t="shared" si="40"/>
        <v>23.082531458571001</v>
      </c>
      <c r="O116" s="229">
        <f t="shared" si="41"/>
        <v>23.875429665555</v>
      </c>
      <c r="P116" s="229">
        <f t="shared" si="42"/>
        <v>25.090517790116998</v>
      </c>
      <c r="Q116" s="229">
        <f t="shared" si="43"/>
        <v>25.880965890156002</v>
      </c>
    </row>
    <row r="117" spans="8:17" ht="15.75" customHeight="1" x14ac:dyDescent="0.25">
      <c r="H117" s="12" t="s">
        <v>18</v>
      </c>
      <c r="I117" s="12" t="s">
        <v>920</v>
      </c>
      <c r="J117" s="229">
        <f t="shared" ref="J117:K117" si="45">+J99*$R$3/1000000</f>
        <v>13.877034192216</v>
      </c>
      <c r="K117" s="229">
        <f t="shared" si="45"/>
        <v>13.695434350650002</v>
      </c>
      <c r="L117" s="229">
        <f t="shared" si="38"/>
        <v>14.458260219857999</v>
      </c>
      <c r="M117" s="229">
        <f t="shared" si="39"/>
        <v>15.795199697939999</v>
      </c>
      <c r="N117" s="229">
        <f t="shared" si="40"/>
        <v>17.191836481949998</v>
      </c>
      <c r="O117" s="229">
        <f t="shared" si="41"/>
        <v>18.196136740431001</v>
      </c>
      <c r="P117" s="229">
        <f t="shared" si="42"/>
        <v>19.62033319935</v>
      </c>
      <c r="Q117" s="229">
        <f t="shared" si="43"/>
        <v>20.718097692200999</v>
      </c>
    </row>
    <row r="118" spans="8:17" ht="15.75" customHeight="1" x14ac:dyDescent="0.25">
      <c r="H118" s="12" t="s">
        <v>22</v>
      </c>
      <c r="I118" s="12" t="s">
        <v>22</v>
      </c>
      <c r="J118" s="229">
        <f t="shared" ref="J118:K118" si="46">+J100*$R$3/1000000</f>
        <v>17.551047751146001</v>
      </c>
      <c r="K118" s="229">
        <f t="shared" si="46"/>
        <v>16.867144707893999</v>
      </c>
      <c r="L118" s="229">
        <f t="shared" si="38"/>
        <v>19.872932116751997</v>
      </c>
      <c r="M118" s="229">
        <f t="shared" si="39"/>
        <v>22.022557377326997</v>
      </c>
      <c r="N118" s="229">
        <f t="shared" si="40"/>
        <v>22.891725470484001</v>
      </c>
      <c r="O118" s="229">
        <f t="shared" si="41"/>
        <v>24.412499742618003</v>
      </c>
      <c r="P118" s="229">
        <f t="shared" si="42"/>
        <v>25.877700660591003</v>
      </c>
      <c r="Q118" s="229">
        <f t="shared" si="43"/>
        <v>27.425805235919999</v>
      </c>
    </row>
    <row r="119" spans="8:17" ht="15.75" customHeight="1" x14ac:dyDescent="0.25">
      <c r="H119" s="12" t="s">
        <v>26</v>
      </c>
      <c r="I119" s="12" t="s">
        <v>858</v>
      </c>
      <c r="J119" s="229">
        <f t="shared" ref="J119:K119" si="47">+J101*$R$3/1000000</f>
        <v>9.2415067298189992</v>
      </c>
      <c r="K119" s="229">
        <f t="shared" si="47"/>
        <v>9.6605963379900004</v>
      </c>
      <c r="L119" s="229">
        <f t="shared" si="38"/>
        <v>9.3615136314569991</v>
      </c>
      <c r="M119" s="229">
        <f t="shared" si="39"/>
        <v>10.777456499940001</v>
      </c>
      <c r="N119" s="229">
        <f t="shared" si="40"/>
        <v>12.03505800822</v>
      </c>
      <c r="O119" s="229">
        <f t="shared" si="41"/>
        <v>13.376972577735</v>
      </c>
      <c r="P119" s="229">
        <f t="shared" si="42"/>
        <v>14.299692331392</v>
      </c>
      <c r="Q119" s="229">
        <f t="shared" si="43"/>
        <v>15.089726235401999</v>
      </c>
    </row>
    <row r="120" spans="8:17" ht="15.75" customHeight="1" x14ac:dyDescent="0.25">
      <c r="H120" s="12" t="s">
        <v>30</v>
      </c>
      <c r="I120" s="12" t="s">
        <v>860</v>
      </c>
      <c r="J120" s="229">
        <f t="shared" ref="J120:K120" si="48">+J102*$R$3/1000000</f>
        <v>15.484369752577541</v>
      </c>
      <c r="K120" s="229">
        <f t="shared" si="48"/>
        <v>15.076841521470868</v>
      </c>
      <c r="L120" s="229">
        <f t="shared" si="38"/>
        <v>16.842423718223472</v>
      </c>
      <c r="M120" s="229">
        <f t="shared" si="39"/>
        <v>19.600166238545455</v>
      </c>
      <c r="N120" s="229">
        <f t="shared" si="40"/>
        <v>19.747825616593868</v>
      </c>
      <c r="O120" s="229">
        <f t="shared" si="41"/>
        <v>20.304548193105546</v>
      </c>
      <c r="P120" s="229">
        <f t="shared" si="42"/>
        <v>21.409220503499576</v>
      </c>
      <c r="Q120" s="229">
        <f t="shared" si="43"/>
        <v>24.151142776321418</v>
      </c>
    </row>
    <row r="121" spans="8:17" ht="15.75" customHeight="1" x14ac:dyDescent="0.25">
      <c r="H121" s="12" t="s">
        <v>32</v>
      </c>
      <c r="I121" s="12" t="s">
        <v>74</v>
      </c>
      <c r="J121" s="229">
        <f t="shared" ref="J121:K121" si="49">+J103*$R$3/1000000</f>
        <v>27.015813128159731</v>
      </c>
      <c r="K121" s="229">
        <f t="shared" si="49"/>
        <v>26.129831538723028</v>
      </c>
      <c r="L121" s="229">
        <f t="shared" si="38"/>
        <v>26.661261993541277</v>
      </c>
      <c r="M121" s="229">
        <f t="shared" si="39"/>
        <v>28.340491100056148</v>
      </c>
      <c r="N121" s="229">
        <f t="shared" si="40"/>
        <v>29.829829037705093</v>
      </c>
      <c r="O121" s="229">
        <f t="shared" si="41"/>
        <v>30.854500790068418</v>
      </c>
      <c r="P121" s="229">
        <f t="shared" si="42"/>
        <v>32.424773577803386</v>
      </c>
      <c r="Q121" s="229">
        <f t="shared" si="43"/>
        <v>33.446279027916688</v>
      </c>
    </row>
    <row r="122" spans="8:17" ht="15.75" customHeight="1" x14ac:dyDescent="0.25">
      <c r="H122" s="12" t="s">
        <v>7</v>
      </c>
      <c r="I122" s="12" t="s">
        <v>921</v>
      </c>
      <c r="J122" s="229">
        <f t="shared" ref="J122:K122" si="50">+J104*$R$3/1000000</f>
        <v>4.769127007632</v>
      </c>
      <c r="K122" s="229">
        <f t="shared" si="50"/>
        <v>4.5122894526059998</v>
      </c>
      <c r="L122" s="229">
        <f t="shared" si="38"/>
        <v>4.9274484636779992</v>
      </c>
      <c r="M122" s="229">
        <f t="shared" si="39"/>
        <v>5.3827086642029993</v>
      </c>
      <c r="N122" s="229">
        <f t="shared" si="40"/>
        <v>5.4401245746119997</v>
      </c>
      <c r="O122" s="229">
        <f t="shared" si="41"/>
        <v>5.4800854871490001</v>
      </c>
      <c r="P122" s="229">
        <f t="shared" si="42"/>
        <v>5.5431115263809998</v>
      </c>
      <c r="Q122" s="229">
        <f t="shared" si="43"/>
        <v>5.7037579775280003</v>
      </c>
    </row>
    <row r="123" spans="8:17" ht="15.75" customHeight="1" x14ac:dyDescent="0.25">
      <c r="H123" s="12" t="s">
        <v>13</v>
      </c>
      <c r="I123" s="12" t="s">
        <v>13</v>
      </c>
      <c r="J123" s="229">
        <f t="shared" ref="J123:K123" si="51">+J105*$R$3/1000000</f>
        <v>9.4202649837693002</v>
      </c>
      <c r="K123" s="229">
        <f t="shared" si="51"/>
        <v>8.8971488688237894</v>
      </c>
      <c r="L123" s="229">
        <f t="shared" si="38"/>
        <v>10.809495075642701</v>
      </c>
      <c r="M123" s="229">
        <f t="shared" si="39"/>
        <v>11.944874310089356</v>
      </c>
      <c r="N123" s="229">
        <f t="shared" si="40"/>
        <v>13.287214218828185</v>
      </c>
      <c r="O123" s="229">
        <f t="shared" si="41"/>
        <v>14.355702223711937</v>
      </c>
      <c r="P123" s="229">
        <f t="shared" si="42"/>
        <v>15.630732976072419</v>
      </c>
      <c r="Q123" s="229">
        <f t="shared" si="43"/>
        <v>16.864994934098721</v>
      </c>
    </row>
    <row r="124" spans="8:17" ht="15.75" customHeight="1" x14ac:dyDescent="0.25">
      <c r="H124" s="12" t="s">
        <v>17</v>
      </c>
      <c r="I124" s="12" t="s">
        <v>17</v>
      </c>
      <c r="J124" s="229">
        <f t="shared" ref="J124:K124" si="52">+J106*$R$3/1000000</f>
        <v>8.6667911578505592</v>
      </c>
      <c r="K124" s="229">
        <f t="shared" si="52"/>
        <v>8.1855161483523844</v>
      </c>
      <c r="L124" s="229">
        <f t="shared" si="38"/>
        <v>9.9449045758078007</v>
      </c>
      <c r="M124" s="229">
        <f t="shared" si="39"/>
        <v>10.989471233631489</v>
      </c>
      <c r="N124" s="229">
        <f t="shared" si="40"/>
        <v>12.224444949544161</v>
      </c>
      <c r="O124" s="229">
        <f t="shared" si="41"/>
        <v>13.207470629708267</v>
      </c>
      <c r="P124" s="229">
        <f t="shared" si="42"/>
        <v>14.380518868753001</v>
      </c>
      <c r="Q124" s="229">
        <f t="shared" si="43"/>
        <v>15.516059179213938</v>
      </c>
    </row>
    <row r="125" spans="8:17" ht="15.75" customHeight="1" x14ac:dyDescent="0.25">
      <c r="H125" s="12" t="s">
        <v>917</v>
      </c>
      <c r="I125" s="12" t="s">
        <v>917</v>
      </c>
      <c r="J125" s="229">
        <f t="shared" ref="J125:K125" si="53">+J107*$R$3/1000000</f>
        <v>7.1598435060130816</v>
      </c>
      <c r="K125" s="229">
        <f t="shared" si="53"/>
        <v>6.7622507074095797</v>
      </c>
      <c r="L125" s="229">
        <f t="shared" si="38"/>
        <v>8.215723576138009</v>
      </c>
      <c r="M125" s="229">
        <f t="shared" si="39"/>
        <v>9.0786650807157603</v>
      </c>
      <c r="N125" s="229">
        <f t="shared" si="40"/>
        <v>10.098906410976124</v>
      </c>
      <c r="O125" s="229">
        <f t="shared" si="41"/>
        <v>10.911007441700926</v>
      </c>
      <c r="P125" s="229">
        <f t="shared" si="42"/>
        <v>11.88009065411417</v>
      </c>
      <c r="Q125" s="229">
        <f t="shared" si="43"/>
        <v>12.818187669444375</v>
      </c>
    </row>
    <row r="126" spans="8:17" ht="15.75" customHeight="1" x14ac:dyDescent="0.25">
      <c r="H126" s="12" t="s">
        <v>908</v>
      </c>
      <c r="I126" s="12" t="s">
        <v>908</v>
      </c>
      <c r="J126" s="229">
        <f t="shared" ref="J126:K126" si="54">+J108*$R$3/1000000</f>
        <v>9.4202649837693002</v>
      </c>
      <c r="K126" s="229">
        <f t="shared" si="54"/>
        <v>8.8971488688237894</v>
      </c>
      <c r="L126" s="229">
        <f t="shared" si="38"/>
        <v>10.809495075642701</v>
      </c>
      <c r="M126" s="229">
        <f t="shared" si="39"/>
        <v>11.944874310089356</v>
      </c>
      <c r="N126" s="229">
        <f t="shared" si="40"/>
        <v>13.287214218828185</v>
      </c>
      <c r="O126" s="229">
        <f t="shared" si="41"/>
        <v>14.355702223711937</v>
      </c>
      <c r="P126" s="229">
        <f t="shared" si="42"/>
        <v>15.630732976072419</v>
      </c>
      <c r="Q126" s="229">
        <f t="shared" si="43"/>
        <v>16.864994934098721</v>
      </c>
    </row>
    <row r="127" spans="8:17" ht="15.75" customHeight="1" x14ac:dyDescent="0.25">
      <c r="H127" s="12" t="s">
        <v>102</v>
      </c>
      <c r="I127" s="12" t="s">
        <v>922</v>
      </c>
      <c r="J127" s="229">
        <f t="shared" ref="J127:K127" si="55">+J109*$R$3/1000000</f>
        <v>21.450884058013838</v>
      </c>
      <c r="K127" s="229">
        <f t="shared" si="55"/>
        <v>21.173796174722664</v>
      </c>
      <c r="L127" s="229">
        <f t="shared" si="38"/>
        <v>22.060639953463127</v>
      </c>
      <c r="M127" s="229">
        <f t="shared" si="39"/>
        <v>24.100563154252466</v>
      </c>
      <c r="N127" s="229">
        <f t="shared" si="40"/>
        <v>26.231573439673227</v>
      </c>
      <c r="O127" s="229">
        <f t="shared" si="41"/>
        <v>27.763950507910614</v>
      </c>
      <c r="P127" s="229">
        <f t="shared" si="42"/>
        <v>29.937011777070548</v>
      </c>
      <c r="Q127" s="229">
        <f t="shared" si="43"/>
        <v>31.611998038364984</v>
      </c>
    </row>
    <row r="128" spans="8:17" ht="15.75" customHeight="1" x14ac:dyDescent="0.25"/>
    <row r="129" spans="9:17" ht="15.75" customHeight="1" x14ac:dyDescent="0.25"/>
    <row r="130" spans="9:17" ht="15.75" customHeight="1" x14ac:dyDescent="0.25"/>
    <row r="131" spans="9:17" ht="15.75" customHeight="1" x14ac:dyDescent="0.25"/>
    <row r="132" spans="9:17" ht="15.75" customHeight="1" x14ac:dyDescent="0.25">
      <c r="I132" s="12" t="s">
        <v>923</v>
      </c>
      <c r="J132" s="231">
        <v>2019</v>
      </c>
      <c r="K132" s="231">
        <v>2020</v>
      </c>
      <c r="L132" s="231">
        <v>2025</v>
      </c>
      <c r="M132" s="231">
        <v>2030</v>
      </c>
      <c r="N132" s="231">
        <v>2035</v>
      </c>
      <c r="O132" s="231">
        <v>2040</v>
      </c>
      <c r="P132" s="231">
        <v>2045</v>
      </c>
      <c r="Q132" s="231">
        <v>2050</v>
      </c>
    </row>
    <row r="133" spans="9:17" ht="15.75" customHeight="1" x14ac:dyDescent="0.25">
      <c r="I133" s="12" t="s">
        <v>74</v>
      </c>
      <c r="J133" s="12">
        <v>27.015813128159731</v>
      </c>
      <c r="K133" s="12">
        <v>26.062049484430577</v>
      </c>
      <c r="L133" s="12">
        <v>27.26293166627044</v>
      </c>
      <c r="M133" s="12">
        <v>28.990379051104217</v>
      </c>
      <c r="N133" s="12">
        <v>31.697009911247882</v>
      </c>
      <c r="O133" s="12">
        <v>32.967623003898666</v>
      </c>
      <c r="P133" s="12">
        <v>34.607787018684213</v>
      </c>
      <c r="Q133" s="12">
        <v>35.963817996706439</v>
      </c>
    </row>
    <row r="134" spans="9:17" ht="15.75" customHeight="1" x14ac:dyDescent="0.25">
      <c r="I134" s="12" t="s">
        <v>922</v>
      </c>
      <c r="J134" s="12">
        <v>21.475872844615932</v>
      </c>
      <c r="K134" s="12">
        <v>21.173796174722664</v>
      </c>
      <c r="L134" s="12">
        <v>23.09908472316074</v>
      </c>
      <c r="M134" s="12">
        <v>25.352291121728861</v>
      </c>
      <c r="N134" s="12">
        <v>28.770631310279356</v>
      </c>
      <c r="O134" s="12">
        <v>30.877675811857468</v>
      </c>
      <c r="P134" s="12">
        <v>33.171074715211802</v>
      </c>
      <c r="Q134" s="12">
        <v>35.177965790480719</v>
      </c>
    </row>
    <row r="135" spans="9:17" ht="15.75" customHeight="1" x14ac:dyDescent="0.25">
      <c r="I135" s="12" t="s">
        <v>919</v>
      </c>
      <c r="J135" s="12">
        <v>20.996450693126999</v>
      </c>
      <c r="K135" s="12">
        <v>20.789779196276999</v>
      </c>
      <c r="L135" s="12">
        <v>21.49552278666</v>
      </c>
      <c r="M135" s="12">
        <v>22.787761319388</v>
      </c>
      <c r="N135" s="12">
        <v>24.782312344958999</v>
      </c>
      <c r="O135" s="12">
        <v>26.081950485006001</v>
      </c>
      <c r="P135" s="12">
        <v>27.657616630877996</v>
      </c>
      <c r="Q135" s="12">
        <v>28.857208895307</v>
      </c>
    </row>
    <row r="136" spans="9:17" ht="15.75" customHeight="1" x14ac:dyDescent="0.25">
      <c r="I136" s="12" t="s">
        <v>63</v>
      </c>
      <c r="J136" s="12">
        <v>20.905028056574999</v>
      </c>
      <c r="K136" s="12">
        <v>20.166998975720997</v>
      </c>
      <c r="L136" s="12">
        <v>21.096250136325001</v>
      </c>
      <c r="M136" s="12">
        <v>22.432961190509999</v>
      </c>
      <c r="N136" s="12">
        <v>24.527371371749997</v>
      </c>
      <c r="O136" s="12">
        <v>25.510580806347001</v>
      </c>
      <c r="P136" s="12">
        <v>26.779751368928999</v>
      </c>
      <c r="Q136" s="12">
        <v>27.829057769838002</v>
      </c>
    </row>
    <row r="137" spans="9:17" ht="15.75" customHeight="1" x14ac:dyDescent="0.25">
      <c r="I137" s="12" t="s">
        <v>22</v>
      </c>
      <c r="J137" s="12">
        <v>17.550825014150998</v>
      </c>
      <c r="K137" s="12">
        <v>17.327211288426</v>
      </c>
      <c r="L137" s="12">
        <v>21.000397403115002</v>
      </c>
      <c r="M137" s="12">
        <v>23.265791875521</v>
      </c>
      <c r="N137" s="12">
        <v>25.362927030636001</v>
      </c>
      <c r="O137" s="12">
        <v>27.015707567627999</v>
      </c>
      <c r="P137" s="12">
        <v>29.097066308778</v>
      </c>
      <c r="Q137" s="12">
        <v>30.992470937063995</v>
      </c>
    </row>
    <row r="138" spans="9:17" ht="15.75" customHeight="1" x14ac:dyDescent="0.25">
      <c r="I138" s="12" t="s">
        <v>860</v>
      </c>
      <c r="J138" s="12">
        <v>15.484369752577541</v>
      </c>
      <c r="K138" s="12">
        <v>15.168782704888827</v>
      </c>
      <c r="L138" s="12">
        <v>16.949109551577816</v>
      </c>
      <c r="M138" s="12">
        <v>19.89820760097551</v>
      </c>
      <c r="N138" s="12">
        <v>20.433037285408389</v>
      </c>
      <c r="O138" s="12">
        <v>21.046576062396845</v>
      </c>
      <c r="P138" s="12">
        <v>22.996499995778219</v>
      </c>
      <c r="Q138" s="12">
        <v>24.2190062601092</v>
      </c>
    </row>
    <row r="139" spans="9:17" ht="15.75" customHeight="1" x14ac:dyDescent="0.25">
      <c r="I139" s="12" t="s">
        <v>920</v>
      </c>
      <c r="J139" s="12">
        <v>13.877034192216</v>
      </c>
      <c r="K139" s="12">
        <v>13.679057020707001</v>
      </c>
      <c r="L139" s="12">
        <v>14.925902701670999</v>
      </c>
      <c r="M139" s="12">
        <v>16.381853873541001</v>
      </c>
      <c r="N139" s="12">
        <v>18.590677888301997</v>
      </c>
      <c r="O139" s="12">
        <v>19.952183835207002</v>
      </c>
      <c r="P139" s="12">
        <v>21.434106140693999</v>
      </c>
      <c r="Q139" s="12">
        <v>22.730896090656</v>
      </c>
    </row>
    <row r="140" spans="9:17" ht="15.75" customHeight="1" x14ac:dyDescent="0.25">
      <c r="I140" s="12" t="s">
        <v>13</v>
      </c>
      <c r="J140" s="12">
        <v>9.4202649837692984</v>
      </c>
      <c r="K140" s="12">
        <v>9.6527165147854426</v>
      </c>
      <c r="L140" s="12">
        <v>11.578601139308462</v>
      </c>
      <c r="M140" s="12">
        <v>12.911789354957682</v>
      </c>
      <c r="N140" s="12">
        <v>14.757523117529285</v>
      </c>
      <c r="O140" s="12">
        <v>16.087232795682176</v>
      </c>
      <c r="P140" s="12">
        <v>17.631300754150111</v>
      </c>
      <c r="Q140" s="12">
        <v>18.826932611437442</v>
      </c>
    </row>
    <row r="141" spans="9:17" ht="15.75" customHeight="1" x14ac:dyDescent="0.25">
      <c r="I141" s="12" t="s">
        <v>908</v>
      </c>
      <c r="J141" s="12">
        <v>9.4202649837692984</v>
      </c>
      <c r="K141" s="12">
        <v>9.6527165147854426</v>
      </c>
      <c r="L141" s="12">
        <v>11.578601139308462</v>
      </c>
      <c r="M141" s="12">
        <v>12.911789354957682</v>
      </c>
      <c r="N141" s="12">
        <v>14.757523117529285</v>
      </c>
      <c r="O141" s="12">
        <v>16.087232795682176</v>
      </c>
      <c r="P141" s="12">
        <v>17.631300754150111</v>
      </c>
      <c r="Q141" s="12">
        <v>18.826932611437442</v>
      </c>
    </row>
    <row r="142" spans="9:17" ht="15.75" customHeight="1" x14ac:dyDescent="0.25">
      <c r="I142" s="12" t="s">
        <v>858</v>
      </c>
      <c r="J142" s="12">
        <v>9.2360008608660014</v>
      </c>
      <c r="K142" s="12">
        <v>9.6932486336400014</v>
      </c>
      <c r="L142" s="12">
        <v>9.5472696505679995</v>
      </c>
      <c r="M142" s="12">
        <v>10.673080048449</v>
      </c>
      <c r="N142" s="12">
        <v>12.218909862978</v>
      </c>
      <c r="O142" s="12">
        <v>13.22060646816</v>
      </c>
      <c r="P142" s="12">
        <v>14.059067186150999</v>
      </c>
      <c r="Q142" s="12">
        <v>15.210941603714998</v>
      </c>
    </row>
    <row r="143" spans="9:17" ht="15.75" customHeight="1" x14ac:dyDescent="0.25">
      <c r="I143" s="12" t="s">
        <v>17</v>
      </c>
      <c r="J143" s="12">
        <v>8.6667911578505574</v>
      </c>
      <c r="K143" s="12">
        <v>8.8806502029103971</v>
      </c>
      <c r="L143" s="12">
        <v>10.652494186451701</v>
      </c>
      <c r="M143" s="12">
        <v>11.87904820155075</v>
      </c>
      <c r="N143" s="12">
        <v>13.577152138198308</v>
      </c>
      <c r="O143" s="12">
        <v>14.800505844381702</v>
      </c>
      <c r="P143" s="12">
        <v>16.22107252192496</v>
      </c>
      <c r="Q143" s="12">
        <v>17.321072535367904</v>
      </c>
    </row>
    <row r="144" spans="9:17" ht="15.75" customHeight="1" x14ac:dyDescent="0.25">
      <c r="I144" s="12" t="s">
        <v>917</v>
      </c>
      <c r="J144" s="12">
        <v>7.1598435060130807</v>
      </c>
      <c r="K144" s="12">
        <v>7.3365175791603097</v>
      </c>
      <c r="L144" s="12">
        <v>8.8002802807381819</v>
      </c>
      <c r="M144" s="12">
        <v>9.8135658947368913</v>
      </c>
      <c r="N144" s="12">
        <v>11.216410179536366</v>
      </c>
      <c r="O144" s="12">
        <v>12.227051941780758</v>
      </c>
      <c r="P144" s="12">
        <v>13.400616057474668</v>
      </c>
      <c r="Q144" s="12">
        <v>14.309352383228823</v>
      </c>
    </row>
    <row r="145" spans="9:17" ht="15.75" customHeight="1" x14ac:dyDescent="0.25">
      <c r="I145" s="12" t="s">
        <v>921</v>
      </c>
      <c r="J145" s="12">
        <v>4.7688341321789993</v>
      </c>
      <c r="K145" s="12">
        <v>4.6568448145439998</v>
      </c>
      <c r="L145" s="12">
        <v>5.7706406841329994</v>
      </c>
      <c r="M145" s="12">
        <v>6.7599028780919994</v>
      </c>
      <c r="N145" s="12">
        <v>7.3262282746769998</v>
      </c>
      <c r="O145" s="12">
        <v>7.6825591280100003</v>
      </c>
      <c r="P145" s="12">
        <v>8.0943780319740011</v>
      </c>
      <c r="Q145" s="12">
        <v>8.6837619205349998</v>
      </c>
    </row>
    <row r="146" spans="9:17" ht="15.75" customHeight="1" x14ac:dyDescent="0.25"/>
    <row r="147" spans="9:17" ht="15.75" customHeight="1" x14ac:dyDescent="0.25"/>
    <row r="148" spans="9:17" ht="15.75" customHeight="1" x14ac:dyDescent="0.25"/>
    <row r="149" spans="9:17" ht="15.75" customHeight="1" x14ac:dyDescent="0.25"/>
    <row r="150" spans="9:17" ht="15.75" customHeight="1" x14ac:dyDescent="0.25"/>
    <row r="151" spans="9:17" ht="15.75" customHeight="1" x14ac:dyDescent="0.25"/>
    <row r="152" spans="9:17" ht="15.75" customHeight="1" x14ac:dyDescent="0.25"/>
    <row r="153" spans="9:17" ht="15.75" customHeight="1" x14ac:dyDescent="0.25"/>
    <row r="154" spans="9:17" ht="15.75" customHeight="1" x14ac:dyDescent="0.25"/>
    <row r="155" spans="9:17" ht="15.75" customHeight="1" x14ac:dyDescent="0.25"/>
    <row r="156" spans="9:17" ht="15.75" customHeight="1" x14ac:dyDescent="0.25"/>
    <row r="157" spans="9:17" ht="15.75" customHeight="1" x14ac:dyDescent="0.25"/>
    <row r="158" spans="9:17" ht="15.75" customHeight="1" x14ac:dyDescent="0.25"/>
    <row r="159" spans="9:17" ht="15.75" customHeight="1" x14ac:dyDescent="0.25"/>
    <row r="160" spans="9:17" ht="15.75" customHeight="1" x14ac:dyDescent="0.25"/>
    <row r="161" spans="9:17" ht="15.75" customHeight="1" x14ac:dyDescent="0.25"/>
    <row r="162" spans="9:17" ht="15.75" customHeight="1" x14ac:dyDescent="0.25"/>
    <row r="163" spans="9:17" ht="15.75" customHeight="1" x14ac:dyDescent="0.25"/>
    <row r="164" spans="9:17" ht="15.75" customHeight="1" x14ac:dyDescent="0.25"/>
    <row r="165" spans="9:17" ht="15.75" customHeight="1" x14ac:dyDescent="0.25"/>
    <row r="166" spans="9:17" ht="15.75" customHeight="1" x14ac:dyDescent="0.25"/>
    <row r="167" spans="9:17" ht="15.75" customHeight="1" x14ac:dyDescent="0.25">
      <c r="I167" s="12" t="s">
        <v>924</v>
      </c>
    </row>
    <row r="168" spans="9:17" ht="15.75" customHeight="1" x14ac:dyDescent="0.25">
      <c r="I168" s="12" t="s">
        <v>923</v>
      </c>
      <c r="J168" s="12">
        <v>2019</v>
      </c>
      <c r="K168" s="12">
        <v>2020</v>
      </c>
      <c r="L168" s="12">
        <v>2025</v>
      </c>
      <c r="M168" s="12">
        <v>2030</v>
      </c>
      <c r="N168" s="12">
        <v>2035</v>
      </c>
      <c r="O168" s="12">
        <v>2040</v>
      </c>
      <c r="P168" s="12">
        <v>2045</v>
      </c>
      <c r="Q168" s="12">
        <v>2050</v>
      </c>
    </row>
    <row r="169" spans="9:17" ht="15.75" customHeight="1" x14ac:dyDescent="0.25">
      <c r="I169" s="12" t="s">
        <v>74</v>
      </c>
      <c r="J169" s="12">
        <v>27.015813128159731</v>
      </c>
      <c r="K169" s="12">
        <v>31.322836701288676</v>
      </c>
      <c r="L169" s="12">
        <v>39.015640552433432</v>
      </c>
      <c r="M169" s="12">
        <v>42.266280355693034</v>
      </c>
      <c r="N169" s="12">
        <v>45.088618066974036</v>
      </c>
      <c r="O169" s="12">
        <v>47.363336148644329</v>
      </c>
      <c r="P169" s="12">
        <v>49.233692323046512</v>
      </c>
      <c r="Q169" s="12">
        <v>50.210386940852374</v>
      </c>
    </row>
    <row r="170" spans="9:17" ht="15.75" customHeight="1" x14ac:dyDescent="0.25">
      <c r="I170" s="12" t="s">
        <v>922</v>
      </c>
      <c r="J170" s="12">
        <v>21.450884058013838</v>
      </c>
      <c r="K170" s="12">
        <v>21.173796174722664</v>
      </c>
      <c r="L170" s="12">
        <v>37.186692773166044</v>
      </c>
      <c r="M170" s="12">
        <v>41.229377773012715</v>
      </c>
      <c r="N170" s="12">
        <v>44.916747362229778</v>
      </c>
      <c r="O170" s="12">
        <v>47.699295534749872</v>
      </c>
      <c r="P170" s="12">
        <v>49.876800958156473</v>
      </c>
      <c r="Q170" s="12">
        <v>51.271656543925765</v>
      </c>
    </row>
    <row r="171" spans="9:17" ht="15.75" customHeight="1" x14ac:dyDescent="0.25">
      <c r="I171" s="12" t="s">
        <v>919</v>
      </c>
      <c r="J171" s="12">
        <v>20.996427945518999</v>
      </c>
      <c r="K171" s="12">
        <v>25.491360025404003</v>
      </c>
      <c r="L171" s="12">
        <v>30.547421569079997</v>
      </c>
      <c r="M171" s="12">
        <v>33.024909051576003</v>
      </c>
      <c r="N171" s="12">
        <v>35.898836159393994</v>
      </c>
      <c r="O171" s="12">
        <v>37.688749703397008</v>
      </c>
      <c r="P171" s="12">
        <v>38.537161552070998</v>
      </c>
      <c r="Q171" s="12">
        <v>39.804000484833004</v>
      </c>
    </row>
    <row r="172" spans="9:17" ht="15.75" customHeight="1" x14ac:dyDescent="0.25">
      <c r="I172" s="12" t="s">
        <v>63</v>
      </c>
      <c r="J172" s="12">
        <v>20.905026160941002</v>
      </c>
      <c r="K172" s="12">
        <v>24.237831286772998</v>
      </c>
      <c r="L172" s="12">
        <v>30.190576998933</v>
      </c>
      <c r="M172" s="12">
        <v>32.705944935650997</v>
      </c>
      <c r="N172" s="12">
        <v>34.889889701978994</v>
      </c>
      <c r="O172" s="12">
        <v>36.650082548313001</v>
      </c>
      <c r="P172" s="12">
        <v>38.097377307522002</v>
      </c>
      <c r="Q172" s="12">
        <v>38.853150470433008</v>
      </c>
    </row>
    <row r="173" spans="9:17" ht="15.75" customHeight="1" x14ac:dyDescent="0.25">
      <c r="I173" s="12" t="s">
        <v>22</v>
      </c>
      <c r="J173" s="12">
        <v>17.551047751146001</v>
      </c>
      <c r="K173" s="12">
        <v>20.045582670203999</v>
      </c>
      <c r="L173" s="12">
        <v>30.990463460658003</v>
      </c>
      <c r="M173" s="12">
        <v>37.844807772446998</v>
      </c>
      <c r="N173" s="12">
        <v>40.179621309749997</v>
      </c>
      <c r="O173" s="12">
        <v>41.761107999819004</v>
      </c>
      <c r="P173" s="12">
        <v>43.302257494001999</v>
      </c>
      <c r="Q173" s="12">
        <v>43.799493666006001</v>
      </c>
    </row>
    <row r="174" spans="9:17" ht="15.75" customHeight="1" x14ac:dyDescent="0.25">
      <c r="I174" s="12" t="s">
        <v>860</v>
      </c>
      <c r="J174" s="12">
        <v>15.484369752577541</v>
      </c>
      <c r="K174" s="12">
        <v>15.267547210351818</v>
      </c>
      <c r="L174" s="12">
        <v>16.076228516171685</v>
      </c>
      <c r="M174" s="12">
        <v>18.475113595146638</v>
      </c>
      <c r="N174" s="12">
        <v>25.499449139045872</v>
      </c>
      <c r="O174" s="12">
        <v>28.021512547352661</v>
      </c>
      <c r="P174" s="12">
        <v>25.226404215831689</v>
      </c>
      <c r="Q174" s="12">
        <v>26.973992561674077</v>
      </c>
    </row>
    <row r="175" spans="9:17" ht="15.75" customHeight="1" x14ac:dyDescent="0.25">
      <c r="I175" s="12" t="s">
        <v>920</v>
      </c>
      <c r="J175" s="12">
        <v>13.877034192216</v>
      </c>
      <c r="K175" s="12">
        <v>17.954588421432</v>
      </c>
      <c r="L175" s="12">
        <v>24.371681055696005</v>
      </c>
      <c r="M175" s="12">
        <v>27.021204906228</v>
      </c>
      <c r="N175" s="12">
        <v>29.437859598029998</v>
      </c>
      <c r="O175" s="12">
        <v>31.261505949063</v>
      </c>
      <c r="P175" s="12">
        <v>32.688615049622996</v>
      </c>
      <c r="Q175" s="12">
        <v>33.602785493940004</v>
      </c>
    </row>
    <row r="176" spans="9:17" ht="15.75" customHeight="1" x14ac:dyDescent="0.25">
      <c r="I176" s="12" t="s">
        <v>13</v>
      </c>
      <c r="J176" s="12">
        <v>9.4202649837693002</v>
      </c>
      <c r="K176" s="12">
        <v>8.8971488688237894</v>
      </c>
      <c r="L176" s="12">
        <v>10.809495075642701</v>
      </c>
      <c r="M176" s="12">
        <v>11.944874310089356</v>
      </c>
      <c r="N176" s="12">
        <v>13.287214218828185</v>
      </c>
      <c r="O176" s="12">
        <v>14.355702223711937</v>
      </c>
      <c r="P176" s="12">
        <v>15.630732976072419</v>
      </c>
      <c r="Q176" s="12">
        <v>16.864994934098721</v>
      </c>
    </row>
    <row r="177" spans="9:17" ht="15.75" customHeight="1" x14ac:dyDescent="0.25">
      <c r="I177" s="12" t="s">
        <v>908</v>
      </c>
      <c r="J177" s="12">
        <v>9.4202649837692984</v>
      </c>
      <c r="K177" s="12">
        <v>13.936113077570406</v>
      </c>
      <c r="L177" s="12">
        <v>18.754767902286247</v>
      </c>
      <c r="M177" s="12">
        <v>22.369962611540721</v>
      </c>
      <c r="N177" s="12">
        <v>25.612524998362172</v>
      </c>
      <c r="O177" s="12">
        <v>27.580685197432587</v>
      </c>
      <c r="P177" s="12">
        <v>29.099592320712304</v>
      </c>
      <c r="Q177" s="12">
        <v>30.008644929154396</v>
      </c>
    </row>
    <row r="178" spans="9:17" ht="15.75" customHeight="1" x14ac:dyDescent="0.25">
      <c r="I178" s="12" t="s">
        <v>858</v>
      </c>
      <c r="J178" s="12">
        <v>9.3223337201280021</v>
      </c>
      <c r="K178" s="12">
        <v>13.72703456943</v>
      </c>
      <c r="L178" s="12">
        <v>19.950516625104001</v>
      </c>
      <c r="M178" s="12">
        <v>22.011837567057004</v>
      </c>
      <c r="N178" s="12">
        <v>24.103288663623001</v>
      </c>
      <c r="O178" s="12">
        <v>25.621477290980998</v>
      </c>
      <c r="P178" s="12">
        <v>26.186885200710002</v>
      </c>
      <c r="Q178" s="12">
        <v>26.538456117069</v>
      </c>
    </row>
    <row r="179" spans="9:17" ht="15.75" customHeight="1" x14ac:dyDescent="0.25">
      <c r="I179" s="12" t="s">
        <v>17</v>
      </c>
      <c r="J179" s="12">
        <v>8.6667911578505592</v>
      </c>
      <c r="K179" s="12">
        <v>8.1855161483523844</v>
      </c>
      <c r="L179" s="12">
        <v>9.9449045758078007</v>
      </c>
      <c r="M179" s="12">
        <v>10.989471233631489</v>
      </c>
      <c r="N179" s="12">
        <v>12.224444949544161</v>
      </c>
      <c r="O179" s="12">
        <v>13.207470629708267</v>
      </c>
      <c r="P179" s="12">
        <v>14.380518868753001</v>
      </c>
      <c r="Q179" s="12">
        <v>15.516059179213938</v>
      </c>
    </row>
    <row r="180" spans="9:17" ht="15.75" customHeight="1" x14ac:dyDescent="0.25">
      <c r="I180" s="12" t="s">
        <v>917</v>
      </c>
      <c r="J180" s="12">
        <v>7.1598435060130816</v>
      </c>
      <c r="K180" s="12">
        <v>6.7622507074095797</v>
      </c>
      <c r="L180" s="12">
        <v>8.215723576138009</v>
      </c>
      <c r="M180" s="12">
        <v>9.0786650807157603</v>
      </c>
      <c r="N180" s="12">
        <v>10.098906410976124</v>
      </c>
      <c r="O180" s="12">
        <v>10.911007441700926</v>
      </c>
      <c r="P180" s="12">
        <v>11.88009065411417</v>
      </c>
      <c r="Q180" s="12">
        <v>12.818187669444375</v>
      </c>
    </row>
    <row r="181" spans="9:17" ht="15.75" customHeight="1" x14ac:dyDescent="0.25">
      <c r="I181" s="12" t="s">
        <v>921</v>
      </c>
      <c r="J181" s="12">
        <v>4.7686256124390001</v>
      </c>
      <c r="K181" s="12">
        <v>4.4696661221159992</v>
      </c>
      <c r="L181" s="12">
        <v>4.7636988596730001</v>
      </c>
      <c r="M181" s="12">
        <v>5.3431827996689991</v>
      </c>
      <c r="N181" s="12">
        <v>5.6996757297089999</v>
      </c>
      <c r="O181" s="12">
        <v>5.8174002880109992</v>
      </c>
      <c r="P181" s="12">
        <v>6.0810886643129995</v>
      </c>
      <c r="Q181" s="12">
        <v>6.2797274120880004</v>
      </c>
    </row>
    <row r="182" spans="9:17" ht="15.75" customHeight="1" x14ac:dyDescent="0.25"/>
    <row r="183" spans="9:17" ht="15.75" customHeight="1" x14ac:dyDescent="0.25"/>
    <row r="184" spans="9:17" ht="15.75" customHeight="1" x14ac:dyDescent="0.25"/>
    <row r="185" spans="9:17" ht="15.75" customHeight="1" x14ac:dyDescent="0.25"/>
    <row r="186" spans="9:17" ht="15.75" customHeight="1" x14ac:dyDescent="0.25">
      <c r="I186" s="12" t="s">
        <v>925</v>
      </c>
    </row>
    <row r="187" spans="9:17" ht="15.75" customHeight="1" x14ac:dyDescent="0.25">
      <c r="I187" s="12" t="s">
        <v>923</v>
      </c>
      <c r="J187" s="12">
        <v>2019</v>
      </c>
      <c r="K187" s="12">
        <v>2020</v>
      </c>
      <c r="L187" s="12">
        <v>2025</v>
      </c>
      <c r="M187" s="12">
        <v>2030</v>
      </c>
      <c r="N187" s="12">
        <v>2035</v>
      </c>
      <c r="O187" s="12">
        <v>2040</v>
      </c>
      <c r="P187" s="12">
        <v>2045</v>
      </c>
      <c r="Q187" s="12">
        <v>2050</v>
      </c>
    </row>
    <row r="188" spans="9:17" ht="15.75" customHeight="1" x14ac:dyDescent="0.25">
      <c r="I188" s="12" t="s">
        <v>74</v>
      </c>
      <c r="J188" s="12">
        <v>27.015813128159731</v>
      </c>
      <c r="K188" s="12">
        <v>20.762217418713881</v>
      </c>
      <c r="L188" s="12">
        <v>20.285771846776306</v>
      </c>
      <c r="M188" s="12">
        <v>21.032357372857387</v>
      </c>
      <c r="N188" s="12">
        <v>21.1954408429634</v>
      </c>
      <c r="O188" s="12">
        <v>21.496194086339983</v>
      </c>
      <c r="P188" s="12">
        <v>21.624810811928342</v>
      </c>
      <c r="Q188" s="12">
        <v>21.746284069233294</v>
      </c>
    </row>
    <row r="189" spans="9:17" ht="15.75" customHeight="1" x14ac:dyDescent="0.25">
      <c r="I189" s="12" t="s">
        <v>922</v>
      </c>
      <c r="J189" s="12">
        <v>21.450884058013838</v>
      </c>
      <c r="K189" s="12">
        <v>21.173796174722664</v>
      </c>
      <c r="L189" s="12">
        <v>15.995593051497483</v>
      </c>
      <c r="M189" s="12">
        <v>16.640750940798355</v>
      </c>
      <c r="N189" s="12">
        <v>16.949502984384424</v>
      </c>
      <c r="O189" s="12">
        <v>17.366044830737749</v>
      </c>
      <c r="P189" s="12">
        <v>17.587039160074951</v>
      </c>
      <c r="Q189" s="12">
        <v>17.585917982489683</v>
      </c>
    </row>
    <row r="190" spans="9:17" ht="15.75" customHeight="1" x14ac:dyDescent="0.25">
      <c r="I190" s="12" t="s">
        <v>919</v>
      </c>
      <c r="J190" s="12">
        <v>20.996496188342999</v>
      </c>
      <c r="K190" s="12">
        <v>16.800970020588</v>
      </c>
      <c r="L190" s="12">
        <v>15.861653043444001</v>
      </c>
      <c r="M190" s="12">
        <v>16.501408666469999</v>
      </c>
      <c r="N190" s="12">
        <v>16.807575357260998</v>
      </c>
      <c r="O190" s="12">
        <v>17.220629266776005</v>
      </c>
      <c r="P190" s="12">
        <v>17.439773087529002</v>
      </c>
      <c r="Q190" s="12">
        <v>17.438661298188002</v>
      </c>
    </row>
    <row r="191" spans="9:17" ht="15.75" customHeight="1" x14ac:dyDescent="0.25">
      <c r="I191" s="12" t="s">
        <v>63</v>
      </c>
      <c r="J191" s="12">
        <v>20.905036586927999</v>
      </c>
      <c r="K191" s="12">
        <v>16.065957841245002</v>
      </c>
      <c r="L191" s="12">
        <v>15.697280723669998</v>
      </c>
      <c r="M191" s="12">
        <v>16.27499414151</v>
      </c>
      <c r="N191" s="12">
        <v>16.401189340340999</v>
      </c>
      <c r="O191" s="12">
        <v>16.633914430887</v>
      </c>
      <c r="P191" s="12">
        <v>16.733439007154999</v>
      </c>
      <c r="Q191" s="12">
        <v>16.827435914678997</v>
      </c>
    </row>
    <row r="192" spans="9:17" ht="15.75" customHeight="1" x14ac:dyDescent="0.25">
      <c r="I192" s="12" t="s">
        <v>22</v>
      </c>
      <c r="J192" s="12">
        <v>17.551159593552001</v>
      </c>
      <c r="K192" s="12">
        <v>14.072073131025002</v>
      </c>
      <c r="L192" s="12">
        <v>12.941376736509</v>
      </c>
      <c r="M192" s="12">
        <v>13.627454071959001</v>
      </c>
      <c r="N192" s="12">
        <v>13.724267891606999</v>
      </c>
      <c r="O192" s="12">
        <v>13.898379031056001</v>
      </c>
      <c r="P192" s="12">
        <v>14.022830246607001</v>
      </c>
      <c r="Q192" s="12">
        <v>14.158405990287001</v>
      </c>
    </row>
    <row r="193" spans="8:17" ht="15.75" customHeight="1" x14ac:dyDescent="0.25">
      <c r="I193" s="12" t="s">
        <v>860</v>
      </c>
      <c r="J193" s="12">
        <v>15.484369752577541</v>
      </c>
      <c r="K193" s="12">
        <v>14.985124420878694</v>
      </c>
      <c r="L193" s="12">
        <v>16.817830628094004</v>
      </c>
      <c r="M193" s="12">
        <v>19.685127241940332</v>
      </c>
      <c r="N193" s="12">
        <v>20.70291143663777</v>
      </c>
      <c r="O193" s="12">
        <v>22.056181233953279</v>
      </c>
      <c r="P193" s="12">
        <v>22.660588635791161</v>
      </c>
      <c r="Q193" s="12">
        <v>22.956590844506614</v>
      </c>
    </row>
    <row r="194" spans="8:17" ht="15.75" customHeight="1" x14ac:dyDescent="0.25">
      <c r="I194" s="12" t="s">
        <v>920</v>
      </c>
      <c r="J194" s="12">
        <v>13.877034192216</v>
      </c>
      <c r="K194" s="12">
        <v>9.1943784251280007</v>
      </c>
      <c r="L194" s="12">
        <v>9.1138357799190004</v>
      </c>
      <c r="M194" s="12">
        <v>9.6202240728750006</v>
      </c>
      <c r="N194" s="12">
        <v>9.9838720734479978</v>
      </c>
      <c r="O194" s="12">
        <v>10.420767371781</v>
      </c>
      <c r="P194" s="12">
        <v>10.711293186438001</v>
      </c>
      <c r="Q194" s="12">
        <v>10.917375141114</v>
      </c>
    </row>
    <row r="195" spans="8:17" ht="15.75" customHeight="1" x14ac:dyDescent="0.25">
      <c r="I195" s="12" t="s">
        <v>13</v>
      </c>
      <c r="J195" s="12">
        <v>9.4202649837693002</v>
      </c>
      <c r="K195" s="12">
        <v>8.8971488688237894</v>
      </c>
      <c r="L195" s="12">
        <v>10.809495075642701</v>
      </c>
      <c r="M195" s="12">
        <v>11.944874310089356</v>
      </c>
      <c r="N195" s="12">
        <v>13.287214218828185</v>
      </c>
      <c r="O195" s="12">
        <v>14.355702223711937</v>
      </c>
      <c r="P195" s="12">
        <v>15.630732976072419</v>
      </c>
      <c r="Q195" s="12">
        <v>16.864994934098721</v>
      </c>
    </row>
    <row r="196" spans="8:17" ht="15.75" customHeight="1" x14ac:dyDescent="0.25">
      <c r="I196" s="12" t="s">
        <v>908</v>
      </c>
      <c r="J196" s="12">
        <v>9.4202649837692984</v>
      </c>
      <c r="K196" s="12">
        <v>5.5410245813461438</v>
      </c>
      <c r="L196" s="12">
        <v>5.8260146701732038</v>
      </c>
      <c r="M196" s="12">
        <v>6.2035295029981778</v>
      </c>
      <c r="N196" s="12">
        <v>6.5878743248971627</v>
      </c>
      <c r="O196" s="12">
        <v>6.9782551418962697</v>
      </c>
      <c r="P196" s="12">
        <v>7.3046487848961918</v>
      </c>
      <c r="Q196" s="12">
        <v>7.4251670907905236</v>
      </c>
    </row>
    <row r="197" spans="8:17" ht="15.75" customHeight="1" x14ac:dyDescent="0.25">
      <c r="I197" s="12" t="s">
        <v>858</v>
      </c>
      <c r="J197" s="12">
        <v>9.1459288635389999</v>
      </c>
      <c r="K197" s="12">
        <v>6.5706295100940002</v>
      </c>
      <c r="L197" s="12">
        <v>7.048325486826001</v>
      </c>
      <c r="M197" s="12">
        <v>7.4524272647759995</v>
      </c>
      <c r="N197" s="12">
        <v>7.4661573418380005</v>
      </c>
      <c r="O197" s="12">
        <v>7.3779165269550004</v>
      </c>
      <c r="P197" s="12">
        <v>7.0998848359920004</v>
      </c>
      <c r="Q197" s="12">
        <v>6.9238704800070003</v>
      </c>
    </row>
    <row r="198" spans="8:17" ht="15.75" customHeight="1" x14ac:dyDescent="0.25">
      <c r="I198" s="12" t="s">
        <v>17</v>
      </c>
      <c r="J198" s="12">
        <v>8.6667911578505592</v>
      </c>
      <c r="K198" s="12">
        <v>8.1855161483523844</v>
      </c>
      <c r="L198" s="12">
        <v>9.9449045758078007</v>
      </c>
      <c r="M198" s="12">
        <v>10.989471233631489</v>
      </c>
      <c r="N198" s="12">
        <v>12.224444949544161</v>
      </c>
      <c r="O198" s="12">
        <v>13.207470629708267</v>
      </c>
      <c r="P198" s="12">
        <v>14.380518868753001</v>
      </c>
      <c r="Q198" s="12">
        <v>15.516059179213938</v>
      </c>
    </row>
    <row r="199" spans="8:17" ht="15.75" customHeight="1" x14ac:dyDescent="0.25">
      <c r="I199" s="12" t="s">
        <v>917</v>
      </c>
      <c r="J199" s="12">
        <v>7.1598435060130816</v>
      </c>
      <c r="K199" s="12">
        <v>6.7622507074095797</v>
      </c>
      <c r="L199" s="12">
        <v>8.215723576138009</v>
      </c>
      <c r="M199" s="12">
        <v>9.0786650807157603</v>
      </c>
      <c r="N199" s="12">
        <v>10.098906410976124</v>
      </c>
      <c r="O199" s="12">
        <v>10.911007441700926</v>
      </c>
      <c r="P199" s="12">
        <v>11.88009065411417</v>
      </c>
      <c r="Q199" s="12">
        <v>12.818187669444375</v>
      </c>
    </row>
    <row r="200" spans="8:17" ht="15.75" customHeight="1" x14ac:dyDescent="0.25">
      <c r="I200" s="12" t="s">
        <v>921</v>
      </c>
      <c r="J200" s="12">
        <v>4.7689696700100006</v>
      </c>
      <c r="K200" s="12">
        <v>4.5224329901400004</v>
      </c>
      <c r="L200" s="12">
        <v>4.9892669840520005</v>
      </c>
      <c r="M200" s="12">
        <v>5.3724049455960001</v>
      </c>
      <c r="N200" s="12">
        <v>5.4102105222750003</v>
      </c>
      <c r="O200" s="12">
        <v>5.5797465490649998</v>
      </c>
      <c r="P200" s="12">
        <v>5.6580807806640001</v>
      </c>
      <c r="Q200" s="12">
        <v>5.7504237475230005</v>
      </c>
    </row>
    <row r="201" spans="8:17" ht="15.75" customHeight="1" x14ac:dyDescent="0.25"/>
    <row r="202" spans="8:17" ht="15.75" customHeight="1" x14ac:dyDescent="0.25"/>
    <row r="203" spans="8:17" ht="15.75" customHeight="1" x14ac:dyDescent="0.25"/>
    <row r="204" spans="8:17" ht="15.75" customHeight="1" x14ac:dyDescent="0.25">
      <c r="I204" s="12" t="s">
        <v>926</v>
      </c>
    </row>
    <row r="205" spans="8:17" ht="15.75" customHeight="1" x14ac:dyDescent="0.25">
      <c r="I205" s="14"/>
      <c r="J205" s="14">
        <v>2019</v>
      </c>
      <c r="K205" s="14">
        <v>2020</v>
      </c>
      <c r="L205" s="14">
        <v>2025</v>
      </c>
      <c r="M205" s="14">
        <v>2030</v>
      </c>
      <c r="N205" s="14">
        <v>2035</v>
      </c>
      <c r="O205" s="14">
        <v>2040</v>
      </c>
      <c r="P205" s="14">
        <v>2045</v>
      </c>
      <c r="Q205" s="14">
        <v>2050</v>
      </c>
    </row>
    <row r="206" spans="8:17" ht="15.75" customHeight="1" x14ac:dyDescent="0.25">
      <c r="H206" s="12" t="s">
        <v>74</v>
      </c>
      <c r="I206" s="14" t="s">
        <v>32</v>
      </c>
      <c r="J206" s="14">
        <v>27.015813128159731</v>
      </c>
      <c r="K206" s="14">
        <v>25.474061558177858</v>
      </c>
      <c r="L206" s="14">
        <v>25.351065720485089</v>
      </c>
      <c r="M206" s="14">
        <v>26.450334818933815</v>
      </c>
      <c r="N206" s="14">
        <v>27.615453205181815</v>
      </c>
      <c r="O206" s="14">
        <v>28.895174584628517</v>
      </c>
      <c r="P206" s="14">
        <v>29.877035725796304</v>
      </c>
      <c r="Q206" s="14">
        <v>30.294950876544668</v>
      </c>
    </row>
    <row r="207" spans="8:17" ht="15.75" customHeight="1" x14ac:dyDescent="0.25">
      <c r="H207" s="12" t="s">
        <v>922</v>
      </c>
      <c r="I207" s="14" t="s">
        <v>102</v>
      </c>
      <c r="J207" s="14">
        <v>22.236027134154664</v>
      </c>
      <c r="K207" s="14">
        <v>21.173796174722664</v>
      </c>
      <c r="L207" s="14">
        <v>20.369778820328239</v>
      </c>
      <c r="M207" s="14">
        <v>21.667421243565386</v>
      </c>
      <c r="N207" s="14">
        <v>23.39959869387344</v>
      </c>
      <c r="O207" s="14">
        <v>25.242091824603278</v>
      </c>
      <c r="P207" s="14">
        <v>26.865369418442533</v>
      </c>
      <c r="Q207" s="14">
        <v>27.834179136082643</v>
      </c>
    </row>
    <row r="208" spans="8:17" ht="15.75" customHeight="1" x14ac:dyDescent="0.25">
      <c r="H208" s="12" t="s">
        <v>60</v>
      </c>
      <c r="I208" s="14" t="s">
        <v>8</v>
      </c>
      <c r="J208" s="14">
        <v>20.996442162773999</v>
      </c>
      <c r="K208" s="14">
        <v>20.268611592839996</v>
      </c>
      <c r="L208" s="14">
        <v>19.15508774673</v>
      </c>
      <c r="M208" s="14">
        <v>20.227572064557002</v>
      </c>
      <c r="N208" s="14">
        <v>21.021596278137004</v>
      </c>
      <c r="O208" s="14">
        <v>22.294317363200999</v>
      </c>
      <c r="P208" s="14">
        <v>23.439072727278003</v>
      </c>
      <c r="Q208" s="14">
        <v>23.937589400048996</v>
      </c>
    </row>
    <row r="209" spans="8:17" ht="15.75" customHeight="1" x14ac:dyDescent="0.25">
      <c r="H209" s="12" t="s">
        <v>74</v>
      </c>
      <c r="I209" s="14" t="s">
        <v>14</v>
      </c>
      <c r="J209" s="14">
        <v>20.905026160941002</v>
      </c>
      <c r="K209" s="14">
        <v>19.712007955223999</v>
      </c>
      <c r="L209" s="14">
        <v>19.616832911168999</v>
      </c>
      <c r="M209" s="14">
        <v>20.467455069087002</v>
      </c>
      <c r="N209" s="14">
        <v>21.369031868925003</v>
      </c>
      <c r="O209" s="14">
        <v>22.359289270733999</v>
      </c>
      <c r="P209" s="14">
        <v>23.119060325751001</v>
      </c>
      <c r="Q209" s="14">
        <v>23.442446007980998</v>
      </c>
    </row>
    <row r="210" spans="8:17" ht="15.75" customHeight="1" x14ac:dyDescent="0.25">
      <c r="H210" s="12" t="s">
        <v>22</v>
      </c>
      <c r="I210" s="14" t="s">
        <v>22</v>
      </c>
      <c r="J210" s="14">
        <v>17.551115993970004</v>
      </c>
      <c r="K210" s="14">
        <v>16.846269986286</v>
      </c>
      <c r="L210" s="14">
        <v>18.477481999626001</v>
      </c>
      <c r="M210" s="14">
        <v>20.564194959009001</v>
      </c>
      <c r="N210" s="14">
        <v>21.505640733134999</v>
      </c>
      <c r="O210" s="14">
        <v>22.988122250652001</v>
      </c>
      <c r="P210" s="14">
        <v>24.341681699829</v>
      </c>
      <c r="Q210" s="14">
        <v>25.08799564908</v>
      </c>
    </row>
    <row r="211" spans="8:17" ht="15.75" customHeight="1" x14ac:dyDescent="0.25">
      <c r="H211" s="12" t="s">
        <v>860</v>
      </c>
      <c r="I211" s="14" t="s">
        <v>30</v>
      </c>
      <c r="J211" s="14">
        <v>15.484369752577541</v>
      </c>
      <c r="K211" s="14">
        <v>15.095843745097101</v>
      </c>
      <c r="L211" s="14">
        <v>16.606094766013509</v>
      </c>
      <c r="M211" s="14">
        <v>19.195360613772024</v>
      </c>
      <c r="N211" s="14">
        <v>19.493995795690402</v>
      </c>
      <c r="O211" s="14">
        <v>20.098201522985082</v>
      </c>
      <c r="P211" s="14">
        <v>22.242595736720517</v>
      </c>
      <c r="Q211" s="14">
        <v>22.85054364720574</v>
      </c>
    </row>
    <row r="212" spans="8:17" ht="15.75" customHeight="1" x14ac:dyDescent="0.25">
      <c r="H212" s="12" t="s">
        <v>855</v>
      </c>
      <c r="I212" s="14" t="s">
        <v>18</v>
      </c>
      <c r="J212" s="14">
        <v>13.877034192216</v>
      </c>
      <c r="K212" s="14">
        <v>13.180861657898999</v>
      </c>
      <c r="L212" s="14">
        <v>13.350091539797999</v>
      </c>
      <c r="M212" s="14">
        <v>14.200549725374998</v>
      </c>
      <c r="N212" s="14">
        <v>15.335796589308</v>
      </c>
      <c r="O212" s="14">
        <v>16.543342934001</v>
      </c>
      <c r="P212" s="14">
        <v>17.607218230017001</v>
      </c>
      <c r="Q212" s="14">
        <v>18.242163681768002</v>
      </c>
    </row>
    <row r="213" spans="8:17" ht="15.75" customHeight="1" x14ac:dyDescent="0.25">
      <c r="H213" s="12" t="s">
        <v>13</v>
      </c>
      <c r="I213" s="14" t="s">
        <v>13</v>
      </c>
      <c r="J213" s="14">
        <v>9.4202649837692984</v>
      </c>
      <c r="K213" s="14">
        <v>9.0952086730910686</v>
      </c>
      <c r="L213" s="14">
        <v>9.6563405564494822</v>
      </c>
      <c r="M213" s="14">
        <v>10.345060172014255</v>
      </c>
      <c r="N213" s="14">
        <v>11.440741884468556</v>
      </c>
      <c r="O213" s="14">
        <v>12.52013047891119</v>
      </c>
      <c r="P213" s="14">
        <v>13.606968920228624</v>
      </c>
      <c r="Q213" s="14">
        <v>14.133951193094239</v>
      </c>
    </row>
    <row r="214" spans="8:17" ht="15.75" customHeight="1" x14ac:dyDescent="0.25">
      <c r="H214" s="12" t="s">
        <v>908</v>
      </c>
      <c r="I214" s="14" t="s">
        <v>908</v>
      </c>
      <c r="J214" s="14">
        <v>9.4202649837692984</v>
      </c>
      <c r="K214" s="14">
        <v>9.0952086730910686</v>
      </c>
      <c r="L214" s="14">
        <v>9.6563405564494822</v>
      </c>
      <c r="M214" s="14">
        <v>10.345060172014255</v>
      </c>
      <c r="N214" s="14">
        <v>11.440741884468556</v>
      </c>
      <c r="O214" s="14">
        <v>12.52013047891119</v>
      </c>
      <c r="P214" s="14">
        <v>13.606968920228624</v>
      </c>
      <c r="Q214" s="14">
        <v>14.133951193094239</v>
      </c>
    </row>
    <row r="215" spans="8:17" ht="15.75" customHeight="1" x14ac:dyDescent="0.25">
      <c r="H215" s="12" t="s">
        <v>858</v>
      </c>
      <c r="I215" s="14" t="s">
        <v>26</v>
      </c>
      <c r="J215" s="14">
        <v>9.2394916708770012</v>
      </c>
      <c r="K215" s="14">
        <v>9.3714922488330004</v>
      </c>
      <c r="L215" s="14">
        <v>8.7294125785230001</v>
      </c>
      <c r="M215" s="14">
        <v>10.011694293666002</v>
      </c>
      <c r="N215" s="14">
        <v>10.855830539853001</v>
      </c>
      <c r="O215" s="14">
        <v>12.037304334510001</v>
      </c>
      <c r="P215" s="14">
        <v>12.836904555501</v>
      </c>
      <c r="Q215" s="14">
        <v>13.911046605260999</v>
      </c>
    </row>
    <row r="216" spans="8:17" ht="15.75" customHeight="1" x14ac:dyDescent="0.25">
      <c r="H216" s="12" t="s">
        <v>17</v>
      </c>
      <c r="I216" s="14" t="s">
        <v>17</v>
      </c>
      <c r="J216" s="14">
        <v>8.6667911578505574</v>
      </c>
      <c r="K216" s="14">
        <v>8.3677342667712189</v>
      </c>
      <c r="L216" s="14">
        <v>8.8839843779366507</v>
      </c>
      <c r="M216" s="14">
        <v>9.5176171987436362</v>
      </c>
      <c r="N216" s="14">
        <v>10.525661515297232</v>
      </c>
      <c r="O216" s="14">
        <v>11.518715908386824</v>
      </c>
      <c r="P216" s="14">
        <v>12.518624277148344</v>
      </c>
      <c r="Q216" s="14">
        <v>13.003456212416074</v>
      </c>
    </row>
    <row r="217" spans="8:17" ht="15.75" customHeight="1" x14ac:dyDescent="0.25">
      <c r="H217" s="12" t="s">
        <v>917</v>
      </c>
      <c r="I217" s="14" t="s">
        <v>917</v>
      </c>
      <c r="J217" s="14">
        <v>7.1598435060130807</v>
      </c>
      <c r="K217" s="14">
        <v>6.9127854541315239</v>
      </c>
      <c r="L217" s="14">
        <v>7.3392720209109932</v>
      </c>
      <c r="M217" s="14">
        <v>7.862731252202404</v>
      </c>
      <c r="N217" s="14">
        <v>8.6955007769545887</v>
      </c>
      <c r="O217" s="14">
        <v>9.5158867673380989</v>
      </c>
      <c r="P217" s="14">
        <v>10.341934990987788</v>
      </c>
      <c r="Q217" s="14">
        <v>10.742466251059749</v>
      </c>
    </row>
    <row r="218" spans="8:17" ht="15.75" customHeight="1" x14ac:dyDescent="0.25">
      <c r="H218" s="12" t="s">
        <v>921</v>
      </c>
      <c r="I218" s="14" t="s">
        <v>7</v>
      </c>
      <c r="J218" s="14">
        <v>4.7685943344780002</v>
      </c>
      <c r="K218" s="14">
        <v>4.5008085452850004</v>
      </c>
      <c r="L218" s="14">
        <v>4.4508415286790006</v>
      </c>
      <c r="M218" s="14">
        <v>4.6175426348219997</v>
      </c>
      <c r="N218" s="14">
        <v>4.6119590448749994</v>
      </c>
      <c r="O218" s="14">
        <v>4.5693793139669996</v>
      </c>
      <c r="P218" s="14">
        <v>4.4781746753250005</v>
      </c>
      <c r="Q218" s="14">
        <v>4.4311487348699998</v>
      </c>
    </row>
    <row r="219" spans="8:17" ht="15.75" customHeight="1" x14ac:dyDescent="0.25"/>
    <row r="220" spans="8:17" ht="15.75" customHeight="1" x14ac:dyDescent="0.25"/>
    <row r="221" spans="8:17" ht="15.75" customHeight="1" x14ac:dyDescent="0.25">
      <c r="I221" s="14" t="s">
        <v>927</v>
      </c>
    </row>
    <row r="222" spans="8:17" ht="15.75" customHeight="1" x14ac:dyDescent="0.25">
      <c r="I222" s="14" t="s">
        <v>923</v>
      </c>
      <c r="J222" s="12">
        <v>2019</v>
      </c>
      <c r="K222" s="12">
        <v>2020</v>
      </c>
      <c r="L222" s="12">
        <v>2025</v>
      </c>
      <c r="M222" s="12">
        <v>2030</v>
      </c>
      <c r="N222" s="12">
        <v>2035</v>
      </c>
      <c r="O222" s="12">
        <v>2040</v>
      </c>
      <c r="P222" s="12">
        <v>2045</v>
      </c>
      <c r="Q222" s="12">
        <v>2050</v>
      </c>
    </row>
    <row r="223" spans="8:17" ht="15.75" customHeight="1" x14ac:dyDescent="0.25">
      <c r="H223" s="12" t="s">
        <v>74</v>
      </c>
      <c r="I223" s="12" t="s">
        <v>32</v>
      </c>
      <c r="J223" s="12">
        <v>27.015813128159731</v>
      </c>
      <c r="K223" s="12">
        <v>26.062049484430577</v>
      </c>
      <c r="L223" s="12">
        <v>27.26293166627044</v>
      </c>
      <c r="M223" s="12">
        <v>28.990379051104217</v>
      </c>
      <c r="N223" s="12">
        <v>31.697009911247882</v>
      </c>
      <c r="O223" s="12">
        <v>32.967623003898666</v>
      </c>
      <c r="P223" s="12">
        <v>34.607787018684213</v>
      </c>
      <c r="Q223" s="12">
        <v>35.963817996706439</v>
      </c>
    </row>
    <row r="224" spans="8:17" ht="15.75" customHeight="1" x14ac:dyDescent="0.25">
      <c r="H224" s="12" t="s">
        <v>922</v>
      </c>
      <c r="I224" s="12" t="s">
        <v>102</v>
      </c>
      <c r="J224" s="232">
        <v>21.475872844615932</v>
      </c>
      <c r="K224" s="232">
        <v>21.173796174722664</v>
      </c>
      <c r="L224" s="232">
        <v>23.09908472316074</v>
      </c>
      <c r="M224" s="232">
        <v>25.352291121728861</v>
      </c>
      <c r="N224" s="232">
        <v>28.770631310279356</v>
      </c>
      <c r="O224" s="232">
        <v>30.877675811857468</v>
      </c>
      <c r="P224" s="232">
        <v>33.171074715211802</v>
      </c>
      <c r="Q224" s="232">
        <v>35.177965790480719</v>
      </c>
    </row>
    <row r="225" spans="8:17" ht="15.75" customHeight="1" x14ac:dyDescent="0.25">
      <c r="H225" s="12" t="s">
        <v>60</v>
      </c>
      <c r="I225" s="12" t="s">
        <v>8</v>
      </c>
      <c r="J225" s="12">
        <v>20.996450693126999</v>
      </c>
      <c r="K225" s="12">
        <v>20.789779196276999</v>
      </c>
      <c r="L225" s="12">
        <v>21.49552278666</v>
      </c>
      <c r="M225" s="12">
        <v>22.787761319388</v>
      </c>
      <c r="N225" s="12">
        <v>24.782312344958999</v>
      </c>
      <c r="O225" s="12">
        <v>26.081950485006001</v>
      </c>
      <c r="P225" s="12">
        <v>27.657616630877996</v>
      </c>
      <c r="Q225" s="12">
        <v>28.857208895307</v>
      </c>
    </row>
    <row r="226" spans="8:17" ht="15.75" customHeight="1" x14ac:dyDescent="0.25">
      <c r="H226" s="12" t="s">
        <v>74</v>
      </c>
      <c r="I226" s="12" t="s">
        <v>14</v>
      </c>
      <c r="J226" s="12">
        <v>20.905028056574999</v>
      </c>
      <c r="K226" s="12">
        <v>20.166998975720997</v>
      </c>
      <c r="L226" s="12">
        <v>21.096250136325001</v>
      </c>
      <c r="M226" s="12">
        <v>22.432961190509999</v>
      </c>
      <c r="N226" s="12">
        <v>24.527371371749997</v>
      </c>
      <c r="O226" s="12">
        <v>25.510580806347001</v>
      </c>
      <c r="P226" s="12">
        <v>26.779751368928999</v>
      </c>
      <c r="Q226" s="12">
        <v>27.829057769838002</v>
      </c>
    </row>
    <row r="227" spans="8:17" ht="15.75" customHeight="1" x14ac:dyDescent="0.25">
      <c r="H227" s="12" t="s">
        <v>22</v>
      </c>
      <c r="I227" s="12" t="s">
        <v>22</v>
      </c>
      <c r="J227" s="12">
        <v>17.550825014150998</v>
      </c>
      <c r="K227" s="12">
        <v>17.327211288426</v>
      </c>
      <c r="L227" s="12">
        <v>21.000397403115002</v>
      </c>
      <c r="M227" s="12">
        <v>23.265791875521</v>
      </c>
      <c r="N227" s="12">
        <v>25.362927030636001</v>
      </c>
      <c r="O227" s="12">
        <v>27.015707567627999</v>
      </c>
      <c r="P227" s="12">
        <v>29.097066308778</v>
      </c>
      <c r="Q227" s="12">
        <v>30.992470937063995</v>
      </c>
    </row>
    <row r="228" spans="8:17" ht="15.75" customHeight="1" x14ac:dyDescent="0.25">
      <c r="H228" s="12" t="s">
        <v>860</v>
      </c>
      <c r="I228" s="12" t="s">
        <v>30</v>
      </c>
      <c r="J228" s="12">
        <v>15.484369752577541</v>
      </c>
      <c r="K228" s="12">
        <v>15.168782704888827</v>
      </c>
      <c r="L228" s="12">
        <v>16.949109551577816</v>
      </c>
      <c r="M228" s="12">
        <v>19.89820760097551</v>
      </c>
      <c r="N228" s="12">
        <v>20.433037285408389</v>
      </c>
      <c r="O228" s="12">
        <v>21.046576062396845</v>
      </c>
      <c r="P228" s="12">
        <v>22.996499995778219</v>
      </c>
      <c r="Q228" s="12">
        <v>24.2190062601092</v>
      </c>
    </row>
    <row r="229" spans="8:17" ht="15.75" customHeight="1" x14ac:dyDescent="0.25">
      <c r="H229" s="12" t="s">
        <v>855</v>
      </c>
      <c r="I229" s="12" t="s">
        <v>18</v>
      </c>
      <c r="J229" s="12">
        <v>13.877034192216</v>
      </c>
      <c r="K229" s="12">
        <v>13.679057020707001</v>
      </c>
      <c r="L229" s="12">
        <v>14.925902701670999</v>
      </c>
      <c r="M229" s="12">
        <v>16.381853873541001</v>
      </c>
      <c r="N229" s="12">
        <v>18.590677888301997</v>
      </c>
      <c r="O229" s="12">
        <v>19.952183835207002</v>
      </c>
      <c r="P229" s="12">
        <v>21.434106140693999</v>
      </c>
      <c r="Q229" s="12">
        <v>22.730896090656</v>
      </c>
    </row>
    <row r="230" spans="8:17" ht="15.75" customHeight="1" x14ac:dyDescent="0.25">
      <c r="H230" s="12" t="s">
        <v>13</v>
      </c>
      <c r="I230" s="12" t="s">
        <v>13</v>
      </c>
      <c r="J230" s="12">
        <v>9.4202649837692984</v>
      </c>
      <c r="K230" s="12">
        <v>9.6527165147854426</v>
      </c>
      <c r="L230" s="12">
        <v>11.578601139308462</v>
      </c>
      <c r="M230" s="12">
        <v>12.911789354957682</v>
      </c>
      <c r="N230" s="12">
        <v>14.757523117529285</v>
      </c>
      <c r="O230" s="12">
        <v>16.087232795682176</v>
      </c>
      <c r="P230" s="12">
        <v>17.631300754150111</v>
      </c>
      <c r="Q230" s="12">
        <v>18.826932611437442</v>
      </c>
    </row>
    <row r="231" spans="8:17" ht="15.75" customHeight="1" x14ac:dyDescent="0.25">
      <c r="H231" s="12" t="s">
        <v>908</v>
      </c>
      <c r="I231" s="12" t="s">
        <v>908</v>
      </c>
      <c r="J231" s="12">
        <v>9.4202649837692984</v>
      </c>
      <c r="K231" s="12">
        <v>9.6527165147854426</v>
      </c>
      <c r="L231" s="12">
        <v>11.578601139308462</v>
      </c>
      <c r="M231" s="12">
        <v>12.911789354957682</v>
      </c>
      <c r="N231" s="12">
        <v>14.757523117529285</v>
      </c>
      <c r="O231" s="12">
        <v>16.087232795682176</v>
      </c>
      <c r="P231" s="12">
        <v>17.631300754150111</v>
      </c>
      <c r="Q231" s="12">
        <v>18.826932611437442</v>
      </c>
    </row>
    <row r="232" spans="8:17" ht="15.75" customHeight="1" x14ac:dyDescent="0.25">
      <c r="H232" s="12" t="s">
        <v>858</v>
      </c>
      <c r="I232" s="12" t="s">
        <v>26</v>
      </c>
      <c r="J232" s="12">
        <v>9.2360008608660014</v>
      </c>
      <c r="K232" s="12">
        <v>9.6932486336400014</v>
      </c>
      <c r="L232" s="12">
        <v>9.5472696505679995</v>
      </c>
      <c r="M232" s="12">
        <v>10.673080048449</v>
      </c>
      <c r="N232" s="12">
        <v>12.218909862978</v>
      </c>
      <c r="O232" s="12">
        <v>13.22060646816</v>
      </c>
      <c r="P232" s="12">
        <v>14.059067186150999</v>
      </c>
      <c r="Q232" s="12">
        <v>15.210941603714998</v>
      </c>
    </row>
    <row r="233" spans="8:17" ht="15.75" customHeight="1" x14ac:dyDescent="0.25">
      <c r="H233" s="12" t="s">
        <v>17</v>
      </c>
      <c r="I233" s="12" t="s">
        <v>17</v>
      </c>
      <c r="J233" s="12">
        <v>8.6667911578505574</v>
      </c>
      <c r="K233" s="12">
        <v>8.8806502029103971</v>
      </c>
      <c r="L233" s="12">
        <v>10.652494186451701</v>
      </c>
      <c r="M233" s="12">
        <v>11.87904820155075</v>
      </c>
      <c r="N233" s="12">
        <v>13.577152138198308</v>
      </c>
      <c r="O233" s="12">
        <v>14.800505844381702</v>
      </c>
      <c r="P233" s="12">
        <v>16.22107252192496</v>
      </c>
      <c r="Q233" s="12">
        <v>17.321072535367904</v>
      </c>
    </row>
    <row r="234" spans="8:17" ht="15.75" customHeight="1" x14ac:dyDescent="0.25">
      <c r="H234" s="12" t="s">
        <v>917</v>
      </c>
      <c r="I234" s="12" t="s">
        <v>917</v>
      </c>
      <c r="J234" s="12">
        <v>7.1598435060130807</v>
      </c>
      <c r="K234" s="12">
        <v>7.3365175791603097</v>
      </c>
      <c r="L234" s="12">
        <v>8.8002802807381819</v>
      </c>
      <c r="M234" s="12">
        <v>9.8135658947368913</v>
      </c>
      <c r="N234" s="12">
        <v>11.216410179536366</v>
      </c>
      <c r="O234" s="12">
        <v>12.227051941780758</v>
      </c>
      <c r="P234" s="12">
        <v>13.400616057474668</v>
      </c>
      <c r="Q234" s="12">
        <v>14.309352383228823</v>
      </c>
    </row>
    <row r="235" spans="8:17" ht="15.75" customHeight="1" x14ac:dyDescent="0.25">
      <c r="H235" s="12" t="s">
        <v>921</v>
      </c>
      <c r="I235" s="12" t="s">
        <v>7</v>
      </c>
      <c r="J235" s="12">
        <v>4.7688341321789993</v>
      </c>
      <c r="K235" s="12">
        <v>4.6568448145439998</v>
      </c>
      <c r="L235" s="12">
        <v>5.7706406841329994</v>
      </c>
      <c r="M235" s="12">
        <v>6.7599028780919994</v>
      </c>
      <c r="N235" s="12">
        <v>7.3262282746769998</v>
      </c>
      <c r="O235" s="12">
        <v>7.6825591280100003</v>
      </c>
      <c r="P235" s="12">
        <v>8.0943780319740011</v>
      </c>
      <c r="Q235" s="12">
        <v>8.6837619205349998</v>
      </c>
    </row>
    <row r="236" spans="8:17" ht="15.75" customHeight="1" x14ac:dyDescent="0.25"/>
    <row r="237" spans="8:17" ht="15.75" customHeight="1" x14ac:dyDescent="0.25"/>
    <row r="238" spans="8:17" ht="15.75" customHeight="1" x14ac:dyDescent="0.25">
      <c r="J238" s="12">
        <v>21.475872844615932</v>
      </c>
      <c r="K238" s="12">
        <v>21.173796174722664</v>
      </c>
      <c r="L238" s="12">
        <v>23.09908472316074</v>
      </c>
      <c r="M238" s="12">
        <v>25.352291121728861</v>
      </c>
      <c r="N238" s="12">
        <v>28.770631310279356</v>
      </c>
      <c r="O238" s="12">
        <v>30.877675811857468</v>
      </c>
      <c r="P238" s="12">
        <v>33.171074715211802</v>
      </c>
      <c r="Q238" s="12">
        <v>35.177965790480719</v>
      </c>
    </row>
    <row r="239" spans="8:17" ht="15.75" customHeight="1" x14ac:dyDescent="0.25"/>
    <row r="240" spans="8:17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I222:Q222" xr:uid="{00000000-0009-0000-0000-000003000000}">
    <sortState xmlns:xlrd2="http://schemas.microsoft.com/office/spreadsheetml/2017/richdata2" ref="I222:Q222">
      <sortCondition descending="1" ref="J222"/>
    </sortState>
  </autoFilter>
  <pageMargins left="0.7" right="0.7" top="0.75" bottom="0.75" header="0" footer="0"/>
  <pageSetup paperSize="9" orientation="portrait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Z1000"/>
  <sheetViews>
    <sheetView showGridLines="0" tabSelected="1" topLeftCell="F1" workbookViewId="0">
      <selection activeCell="H8" sqref="H8"/>
    </sheetView>
  </sheetViews>
  <sheetFormatPr baseColWidth="10" defaultColWidth="14.42578125" defaultRowHeight="15" customHeight="1" x14ac:dyDescent="0.25"/>
  <cols>
    <col min="1" max="2" width="10.7109375" customWidth="1"/>
    <col min="3" max="3" width="16.140625" customWidth="1"/>
    <col min="4" max="7" width="10.7109375" customWidth="1"/>
    <col min="8" max="8" width="21.7109375" customWidth="1"/>
    <col min="9" max="9" width="20.28515625" customWidth="1"/>
    <col min="10" max="10" width="10.7109375" customWidth="1"/>
    <col min="11" max="11" width="14.7109375" customWidth="1"/>
    <col min="12" max="15" width="10.7109375" customWidth="1"/>
    <col min="16" max="16" width="15.140625" customWidth="1"/>
    <col min="17" max="17" width="55.5703125" customWidth="1"/>
    <col min="18" max="26" width="10.7109375" customWidth="1"/>
  </cols>
  <sheetData>
    <row r="4" spans="1:26" x14ac:dyDescent="0.25">
      <c r="B4" s="233"/>
      <c r="C4" s="234"/>
      <c r="D4" s="234"/>
      <c r="E4" s="233"/>
      <c r="H4" s="235" t="s">
        <v>880</v>
      </c>
      <c r="I4" s="233"/>
      <c r="J4" s="233"/>
      <c r="K4" s="233"/>
      <c r="L4" s="233"/>
      <c r="M4" s="20"/>
      <c r="O4" s="236" t="s">
        <v>310</v>
      </c>
      <c r="P4" s="20"/>
      <c r="Q4" s="20"/>
      <c r="R4" s="20"/>
      <c r="S4" s="20"/>
    </row>
    <row r="5" spans="1:26" x14ac:dyDescent="0.25">
      <c r="B5" s="237" t="s">
        <v>928</v>
      </c>
      <c r="C5" s="237" t="s">
        <v>43</v>
      </c>
      <c r="D5" s="237" t="s">
        <v>929</v>
      </c>
      <c r="E5" s="237">
        <v>2019</v>
      </c>
      <c r="H5" s="238" t="s">
        <v>312</v>
      </c>
      <c r="I5" s="238" t="s">
        <v>881</v>
      </c>
      <c r="J5" s="238" t="s">
        <v>882</v>
      </c>
      <c r="K5" s="239" t="s">
        <v>930</v>
      </c>
      <c r="L5" s="240"/>
      <c r="M5" s="20"/>
      <c r="O5" s="241" t="s">
        <v>311</v>
      </c>
      <c r="P5" s="241" t="s">
        <v>312</v>
      </c>
      <c r="Q5" s="241" t="s">
        <v>313</v>
      </c>
      <c r="R5" s="241" t="s">
        <v>314</v>
      </c>
      <c r="S5" s="241" t="s">
        <v>315</v>
      </c>
    </row>
    <row r="6" spans="1:26" ht="20.25" customHeight="1" x14ac:dyDescent="0.25">
      <c r="B6" s="242" t="s">
        <v>327</v>
      </c>
      <c r="C6" s="242" t="s">
        <v>931</v>
      </c>
      <c r="D6" s="242" t="s">
        <v>932</v>
      </c>
      <c r="E6" s="242" t="s">
        <v>933</v>
      </c>
      <c r="H6" s="233" t="str">
        <f t="shared" ref="H6:H11" si="0">+"FTE-"&amp;J6</f>
        <v>FTE-DKER</v>
      </c>
      <c r="I6" s="243" t="s">
        <v>18</v>
      </c>
      <c r="J6" s="244" t="str">
        <f t="shared" ref="J6:J10" si="1">+C10</f>
        <v>DKER</v>
      </c>
      <c r="K6" s="243">
        <v>1</v>
      </c>
      <c r="L6" s="245"/>
      <c r="M6" s="20"/>
      <c r="O6" s="233" t="s">
        <v>329</v>
      </c>
      <c r="P6" s="20" t="str">
        <f t="shared" ref="P6:P11" si="2">+H6</f>
        <v>FTE-DKER</v>
      </c>
      <c r="Q6" s="20" t="s">
        <v>934</v>
      </c>
      <c r="R6" s="20" t="s">
        <v>59</v>
      </c>
      <c r="S6" s="20" t="s">
        <v>328</v>
      </c>
    </row>
    <row r="7" spans="1:26" x14ac:dyDescent="0.25">
      <c r="B7" s="246" t="s">
        <v>935</v>
      </c>
      <c r="C7" s="246"/>
      <c r="D7" s="246"/>
      <c r="E7" s="246" t="s">
        <v>59</v>
      </c>
      <c r="H7" s="233" t="str">
        <f t="shared" si="0"/>
        <v>FTE-DLPG</v>
      </c>
      <c r="I7" s="243" t="s">
        <v>22</v>
      </c>
      <c r="J7" s="244" t="str">
        <f t="shared" si="1"/>
        <v>DLPG</v>
      </c>
      <c r="K7" s="243">
        <v>1</v>
      </c>
      <c r="L7" s="247"/>
      <c r="M7" s="20"/>
      <c r="O7" s="20"/>
      <c r="P7" s="20" t="str">
        <f t="shared" si="2"/>
        <v>FTE-DLPG</v>
      </c>
      <c r="Q7" s="20" t="s">
        <v>936</v>
      </c>
      <c r="R7" s="20" t="s">
        <v>59</v>
      </c>
      <c r="S7" s="20" t="s">
        <v>328</v>
      </c>
    </row>
    <row r="8" spans="1:26" x14ac:dyDescent="0.25">
      <c r="B8" s="244" t="s">
        <v>937</v>
      </c>
      <c r="C8" s="244" t="str">
        <f t="array" ref="C8:C14">+COMM!Z20:Z26</f>
        <v>DGSL</v>
      </c>
      <c r="D8" s="244" t="s">
        <v>59</v>
      </c>
      <c r="E8" s="248">
        <v>249.2398</v>
      </c>
      <c r="H8" s="233" t="str">
        <f t="shared" si="0"/>
        <v>FTE-DHFO</v>
      </c>
      <c r="I8" s="243" t="s">
        <v>26</v>
      </c>
      <c r="J8" s="244" t="str">
        <f t="shared" si="1"/>
        <v>DHFO</v>
      </c>
      <c r="K8" s="243">
        <v>1</v>
      </c>
      <c r="L8" s="243"/>
      <c r="M8" s="20"/>
      <c r="O8" s="20"/>
      <c r="P8" s="20" t="str">
        <f t="shared" si="2"/>
        <v>FTE-DHFO</v>
      </c>
      <c r="Q8" s="20" t="s">
        <v>938</v>
      </c>
      <c r="R8" s="20" t="s">
        <v>59</v>
      </c>
      <c r="S8" s="20" t="s">
        <v>328</v>
      </c>
    </row>
    <row r="9" spans="1:26" x14ac:dyDescent="0.25">
      <c r="B9" s="244" t="s">
        <v>937</v>
      </c>
      <c r="C9" s="244" t="str">
        <v>DDSL</v>
      </c>
      <c r="D9" s="244" t="s">
        <v>59</v>
      </c>
      <c r="E9" s="248">
        <v>269.4325</v>
      </c>
      <c r="H9" s="233" t="str">
        <f t="shared" si="0"/>
        <v>FTE-DGAS</v>
      </c>
      <c r="I9" s="243" t="s">
        <v>7</v>
      </c>
      <c r="J9" s="244" t="str">
        <f t="shared" si="1"/>
        <v>DGAS</v>
      </c>
      <c r="K9" s="243">
        <v>1</v>
      </c>
      <c r="L9" s="243"/>
      <c r="M9" s="20"/>
      <c r="O9" s="20"/>
      <c r="P9" s="20" t="str">
        <f t="shared" si="2"/>
        <v>FTE-DGAS</v>
      </c>
      <c r="Q9" s="20" t="s">
        <v>939</v>
      </c>
      <c r="R9" s="20" t="s">
        <v>59</v>
      </c>
      <c r="S9" s="20" t="s">
        <v>328</v>
      </c>
    </row>
    <row r="10" spans="1:26" x14ac:dyDescent="0.25">
      <c r="B10" s="244" t="s">
        <v>937</v>
      </c>
      <c r="C10" s="244" t="str">
        <v>DKER</v>
      </c>
      <c r="D10" s="244" t="s">
        <v>59</v>
      </c>
      <c r="E10" s="248">
        <v>59.134499999999996</v>
      </c>
      <c r="H10" s="233" t="str">
        <f t="shared" si="0"/>
        <v>FTE-DLOIL</v>
      </c>
      <c r="I10" s="243" t="s">
        <v>13</v>
      </c>
      <c r="J10" s="244" t="str">
        <f t="shared" si="1"/>
        <v>DLOIL</v>
      </c>
      <c r="K10" s="243">
        <v>1</v>
      </c>
      <c r="L10" s="243"/>
      <c r="M10" s="20"/>
      <c r="O10" s="20"/>
      <c r="P10" s="20" t="str">
        <f t="shared" si="2"/>
        <v>FTE-DLOIL</v>
      </c>
      <c r="Q10" s="20" t="s">
        <v>940</v>
      </c>
      <c r="R10" s="20" t="s">
        <v>59</v>
      </c>
      <c r="S10" s="20" t="s">
        <v>328</v>
      </c>
    </row>
    <row r="11" spans="1:26" x14ac:dyDescent="0.25">
      <c r="B11" s="244" t="s">
        <v>937</v>
      </c>
      <c r="C11" s="244" t="str">
        <v>DLPG</v>
      </c>
      <c r="D11" s="244" t="s">
        <v>59</v>
      </c>
      <c r="E11" s="248">
        <v>25.486199999999997</v>
      </c>
      <c r="H11" s="233" t="str">
        <f t="shared" si="0"/>
        <v>FTE-DAVG</v>
      </c>
      <c r="I11" s="123" t="s">
        <v>102</v>
      </c>
      <c r="J11" s="20" t="s">
        <v>114</v>
      </c>
      <c r="K11" s="249">
        <v>1</v>
      </c>
      <c r="L11" s="243"/>
      <c r="M11" s="20"/>
      <c r="O11" s="20"/>
      <c r="P11" s="20" t="str">
        <f t="shared" si="2"/>
        <v>FTE-DAVG</v>
      </c>
      <c r="Q11" s="20" t="s">
        <v>941</v>
      </c>
      <c r="R11" s="20" t="s">
        <v>59</v>
      </c>
      <c r="S11" s="20" t="s">
        <v>328</v>
      </c>
    </row>
    <row r="12" spans="1:26" x14ac:dyDescent="0.25">
      <c r="B12" s="244" t="s">
        <v>937</v>
      </c>
      <c r="C12" s="244" t="str">
        <v>DHFO</v>
      </c>
      <c r="D12" s="244" t="s">
        <v>59</v>
      </c>
      <c r="E12" s="248">
        <v>1.1855</v>
      </c>
      <c r="H12" s="20"/>
      <c r="I12" s="20"/>
      <c r="J12" s="20"/>
      <c r="K12" s="20"/>
      <c r="L12" s="243"/>
      <c r="M12" s="20"/>
      <c r="O12" s="20"/>
      <c r="P12" s="20"/>
      <c r="Q12" s="20"/>
      <c r="R12" s="20"/>
      <c r="S12" s="20"/>
    </row>
    <row r="13" spans="1:26" x14ac:dyDescent="0.25">
      <c r="B13" s="244" t="s">
        <v>937</v>
      </c>
      <c r="C13" s="244" t="str">
        <v>DGAS</v>
      </c>
      <c r="D13" s="244" t="s">
        <v>59</v>
      </c>
      <c r="E13" s="248">
        <v>238.81580000000002</v>
      </c>
      <c r="H13" s="20"/>
      <c r="I13" s="20"/>
      <c r="J13" s="20"/>
      <c r="K13" s="20"/>
      <c r="L13" s="20"/>
      <c r="M13" s="20"/>
      <c r="O13" s="20"/>
      <c r="P13" s="20"/>
      <c r="Q13" s="20"/>
      <c r="R13" s="20"/>
      <c r="S13" s="20"/>
    </row>
    <row r="14" spans="1:26" x14ac:dyDescent="0.25">
      <c r="B14" s="244" t="s">
        <v>937</v>
      </c>
      <c r="C14" s="244" t="str">
        <v>DLOIL</v>
      </c>
      <c r="D14" s="244" t="s">
        <v>59</v>
      </c>
      <c r="E14" s="248">
        <v>7.3300000000000004E-2</v>
      </c>
      <c r="H14" s="235"/>
      <c r="I14" s="20"/>
      <c r="J14" s="20"/>
      <c r="K14" s="20"/>
      <c r="L14" s="20"/>
      <c r="M14" s="20"/>
      <c r="O14" s="236"/>
      <c r="P14" s="20"/>
      <c r="Q14" s="20"/>
      <c r="R14" s="20"/>
      <c r="S14" s="20"/>
    </row>
    <row r="15" spans="1:26" x14ac:dyDescent="0.25">
      <c r="B15" s="244"/>
      <c r="C15" s="244"/>
      <c r="D15" s="244"/>
      <c r="E15" s="250"/>
      <c r="H15" s="238" t="s">
        <v>312</v>
      </c>
      <c r="I15" s="238" t="s">
        <v>881</v>
      </c>
      <c r="J15" s="238" t="s">
        <v>882</v>
      </c>
      <c r="K15" s="239" t="s">
        <v>943</v>
      </c>
      <c r="L15" s="239" t="s">
        <v>930</v>
      </c>
      <c r="M15" s="20"/>
      <c r="O15" s="241" t="s">
        <v>311</v>
      </c>
      <c r="P15" s="241" t="s">
        <v>312</v>
      </c>
      <c r="Q15" s="241" t="s">
        <v>313</v>
      </c>
      <c r="R15" s="241" t="s">
        <v>314</v>
      </c>
      <c r="S15" s="241" t="s">
        <v>315</v>
      </c>
    </row>
    <row r="16" spans="1:26" x14ac:dyDescent="0.25">
      <c r="A16" s="5"/>
      <c r="B16" s="251"/>
      <c r="C16" s="251"/>
      <c r="D16" s="251"/>
      <c r="E16" s="252"/>
      <c r="F16" s="5"/>
      <c r="G16" s="5"/>
      <c r="H16" s="253" t="str">
        <f>+P16</f>
        <v>BLE-GSL-10</v>
      </c>
      <c r="I16" s="254" t="s">
        <v>8</v>
      </c>
      <c r="J16" s="254" t="s">
        <v>90</v>
      </c>
      <c r="K16" s="255">
        <v>1</v>
      </c>
      <c r="L16" s="256">
        <v>1</v>
      </c>
      <c r="M16" s="254"/>
      <c r="N16" s="5"/>
      <c r="O16" s="257" t="s">
        <v>329</v>
      </c>
      <c r="P16" s="257" t="s">
        <v>944</v>
      </c>
      <c r="Q16" s="257" t="s">
        <v>945</v>
      </c>
      <c r="R16" s="257" t="s">
        <v>59</v>
      </c>
      <c r="S16" s="257" t="s">
        <v>328</v>
      </c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3"/>
      <c r="F17" s="5"/>
      <c r="G17" s="5"/>
      <c r="H17" s="254"/>
      <c r="I17" s="254" t="s">
        <v>30</v>
      </c>
      <c r="J17" s="254"/>
      <c r="K17" s="255">
        <f>+'Bases de Cálculo'!C22</f>
        <v>5.7621225008503835E-2</v>
      </c>
      <c r="L17" s="254"/>
      <c r="M17" s="254"/>
      <c r="N17" s="5"/>
      <c r="O17" s="257"/>
      <c r="P17" s="257" t="s">
        <v>946</v>
      </c>
      <c r="Q17" s="257" t="s">
        <v>947</v>
      </c>
      <c r="R17" s="257" t="s">
        <v>59</v>
      </c>
      <c r="S17" s="257" t="s">
        <v>328</v>
      </c>
      <c r="T17" s="5"/>
      <c r="U17" s="5"/>
      <c r="V17" s="5"/>
      <c r="W17" s="5"/>
      <c r="X17" s="5"/>
      <c r="Y17" s="5"/>
      <c r="Z17" s="5"/>
    </row>
    <row r="18" spans="1:26" x14ac:dyDescent="0.25">
      <c r="H18" s="258" t="str">
        <f>+P17</f>
        <v>BLE-DSL-10</v>
      </c>
      <c r="I18" s="20" t="s">
        <v>14</v>
      </c>
      <c r="J18" s="20" t="s">
        <v>97</v>
      </c>
      <c r="K18" s="259">
        <v>1</v>
      </c>
      <c r="L18" s="260">
        <v>1</v>
      </c>
      <c r="M18" s="20"/>
      <c r="O18" s="20"/>
      <c r="P18" s="20"/>
      <c r="Q18" s="20"/>
      <c r="R18" s="20"/>
      <c r="S18" s="20"/>
    </row>
    <row r="19" spans="1:26" x14ac:dyDescent="0.25">
      <c r="B19" s="12" t="s">
        <v>937</v>
      </c>
      <c r="C19" s="12" t="s">
        <v>948</v>
      </c>
      <c r="D19" s="12" t="s">
        <v>59</v>
      </c>
      <c r="E19" s="12">
        <v>249.2398</v>
      </c>
      <c r="H19" s="20"/>
      <c r="I19" s="20" t="str">
        <f>+COMM!F9</f>
        <v>BDSL</v>
      </c>
      <c r="J19" s="20"/>
      <c r="K19" s="259">
        <f>+'Bases de Cálculo'!D22</f>
        <v>9.3659149944684009E-2</v>
      </c>
      <c r="L19" s="20"/>
      <c r="M19" s="20"/>
      <c r="O19" s="20"/>
      <c r="P19" s="20"/>
      <c r="Q19" s="20"/>
      <c r="R19" s="20"/>
      <c r="S19" s="20"/>
    </row>
    <row r="20" spans="1:26" x14ac:dyDescent="0.25">
      <c r="B20" s="12" t="s">
        <v>937</v>
      </c>
      <c r="C20" s="12" t="s">
        <v>64</v>
      </c>
      <c r="D20" s="12" t="s">
        <v>59</v>
      </c>
      <c r="E20" s="12">
        <v>269.4325</v>
      </c>
      <c r="H20" s="20"/>
      <c r="I20" s="20"/>
      <c r="J20" s="20"/>
      <c r="K20" s="20"/>
      <c r="L20" s="20"/>
      <c r="M20" s="20"/>
      <c r="O20" s="20"/>
      <c r="P20" s="20"/>
      <c r="Q20" s="20"/>
      <c r="R20" s="20"/>
      <c r="S20" s="20"/>
    </row>
    <row r="21" spans="1:26" ht="15.75" customHeight="1" x14ac:dyDescent="0.25">
      <c r="B21" s="12" t="s">
        <v>937</v>
      </c>
      <c r="C21" s="12" t="s">
        <v>66</v>
      </c>
      <c r="D21" s="12" t="s">
        <v>59</v>
      </c>
      <c r="E21" s="12">
        <v>59.134499999999996</v>
      </c>
      <c r="H21" s="20"/>
      <c r="I21" s="20"/>
      <c r="J21" s="20"/>
      <c r="K21" s="20"/>
      <c r="L21" s="20"/>
      <c r="M21" s="20"/>
      <c r="O21" s="20"/>
      <c r="P21" s="20"/>
      <c r="Q21" s="20"/>
      <c r="R21" s="20"/>
      <c r="S21" s="20"/>
    </row>
    <row r="22" spans="1:26" ht="15.75" customHeight="1" x14ac:dyDescent="0.25">
      <c r="B22" s="12" t="s">
        <v>937</v>
      </c>
      <c r="C22" s="12" t="s">
        <v>67</v>
      </c>
      <c r="D22" s="12" t="s">
        <v>59</v>
      </c>
      <c r="E22" s="12">
        <v>25.486199999999997</v>
      </c>
      <c r="H22" s="235" t="s">
        <v>880</v>
      </c>
      <c r="I22" s="233"/>
      <c r="J22" s="233"/>
      <c r="K22" s="233"/>
      <c r="L22" s="20"/>
      <c r="M22" s="20"/>
      <c r="O22" s="236" t="s">
        <v>310</v>
      </c>
      <c r="P22" s="20"/>
      <c r="Q22" s="20"/>
      <c r="R22" s="20"/>
      <c r="S22" s="20"/>
    </row>
    <row r="23" spans="1:26" ht="15.75" customHeight="1" x14ac:dyDescent="0.25">
      <c r="B23" s="12" t="s">
        <v>937</v>
      </c>
      <c r="C23" s="12" t="s">
        <v>70</v>
      </c>
      <c r="D23" s="12" t="s">
        <v>59</v>
      </c>
      <c r="E23" s="12">
        <v>1.1855</v>
      </c>
      <c r="H23" s="238" t="s">
        <v>312</v>
      </c>
      <c r="I23" s="238" t="s">
        <v>881</v>
      </c>
      <c r="J23" s="238" t="s">
        <v>882</v>
      </c>
      <c r="K23" s="239" t="s">
        <v>930</v>
      </c>
      <c r="L23" s="20"/>
      <c r="M23" s="20"/>
      <c r="O23" s="241" t="s">
        <v>311</v>
      </c>
      <c r="P23" s="241" t="s">
        <v>312</v>
      </c>
      <c r="Q23" s="241" t="s">
        <v>313</v>
      </c>
      <c r="R23" s="241" t="s">
        <v>314</v>
      </c>
      <c r="S23" s="241" t="s">
        <v>315</v>
      </c>
    </row>
    <row r="24" spans="1:26" ht="15.75" customHeight="1" x14ac:dyDescent="0.25">
      <c r="B24" s="12" t="s">
        <v>937</v>
      </c>
      <c r="C24" s="12" t="s">
        <v>942</v>
      </c>
      <c r="D24" s="12" t="s">
        <v>59</v>
      </c>
      <c r="E24" s="12">
        <v>238.81580000000002</v>
      </c>
      <c r="H24" s="20" t="s">
        <v>949</v>
      </c>
      <c r="I24" s="20" t="s">
        <v>8</v>
      </c>
      <c r="J24" s="20" t="str">
        <f t="shared" ref="J24:J25" si="3">+C8</f>
        <v>DGSL</v>
      </c>
      <c r="K24" s="123">
        <v>1</v>
      </c>
      <c r="L24" s="20"/>
      <c r="M24" s="20"/>
      <c r="O24" s="233" t="s">
        <v>329</v>
      </c>
      <c r="P24" s="20" t="str">
        <f t="shared" ref="P24:P27" si="4">+H24</f>
        <v>FTE-DGSL</v>
      </c>
      <c r="Q24" s="20" t="s">
        <v>950</v>
      </c>
      <c r="R24" s="20" t="s">
        <v>59</v>
      </c>
      <c r="S24" s="20" t="s">
        <v>328</v>
      </c>
    </row>
    <row r="25" spans="1:26" ht="15.75" customHeight="1" x14ac:dyDescent="0.25">
      <c r="B25" s="12" t="s">
        <v>937</v>
      </c>
      <c r="C25" s="12" t="s">
        <v>75</v>
      </c>
      <c r="D25" s="12" t="s">
        <v>59</v>
      </c>
      <c r="E25" s="12">
        <v>7.3300000000000004E-2</v>
      </c>
      <c r="H25" s="20" t="s">
        <v>951</v>
      </c>
      <c r="I25" s="20" t="s">
        <v>14</v>
      </c>
      <c r="J25" s="20" t="str">
        <f t="shared" si="3"/>
        <v>DDSL</v>
      </c>
      <c r="K25" s="123">
        <v>1</v>
      </c>
      <c r="L25" s="20"/>
      <c r="M25" s="20"/>
      <c r="O25" s="20"/>
      <c r="P25" s="20" t="str">
        <f t="shared" si="4"/>
        <v>FTE-DDSL</v>
      </c>
      <c r="Q25" s="20" t="s">
        <v>952</v>
      </c>
      <c r="R25" s="20" t="s">
        <v>59</v>
      </c>
      <c r="S25" s="20" t="s">
        <v>328</v>
      </c>
    </row>
    <row r="26" spans="1:26" ht="15.75" customHeight="1" x14ac:dyDescent="0.25">
      <c r="H26" s="20" t="s">
        <v>953</v>
      </c>
      <c r="I26" s="20" t="s">
        <v>30</v>
      </c>
      <c r="J26" s="20" t="s">
        <v>123</v>
      </c>
      <c r="K26" s="123">
        <v>1</v>
      </c>
      <c r="L26" s="20"/>
      <c r="M26" s="20"/>
      <c r="O26" s="20"/>
      <c r="P26" s="20" t="str">
        <f t="shared" si="4"/>
        <v>FTE-ETH</v>
      </c>
      <c r="Q26" s="20" t="s">
        <v>954</v>
      </c>
      <c r="R26" s="20" t="s">
        <v>59</v>
      </c>
      <c r="S26" s="20" t="s">
        <v>328</v>
      </c>
    </row>
    <row r="27" spans="1:26" ht="15.75" customHeight="1" x14ac:dyDescent="0.25">
      <c r="H27" s="20" t="s">
        <v>955</v>
      </c>
      <c r="I27" s="20" t="s">
        <v>32</v>
      </c>
      <c r="J27" s="20" t="s">
        <v>119</v>
      </c>
      <c r="K27" s="123">
        <v>1</v>
      </c>
      <c r="P27" s="20" t="str">
        <f t="shared" si="4"/>
        <v>FTE-BDSL</v>
      </c>
      <c r="Q27" s="20" t="s">
        <v>956</v>
      </c>
      <c r="R27" s="20" t="s">
        <v>59</v>
      </c>
      <c r="S27" s="20" t="s">
        <v>328</v>
      </c>
    </row>
    <row r="28" spans="1:26" ht="15.75" customHeight="1" x14ac:dyDescent="0.25"/>
    <row r="29" spans="1:26" ht="15.75" customHeight="1" x14ac:dyDescent="0.25"/>
    <row r="30" spans="1:26" ht="15.75" customHeight="1" x14ac:dyDescent="0.25"/>
    <row r="31" spans="1:26" ht="15.75" customHeight="1" x14ac:dyDescent="0.25"/>
    <row r="32" spans="1:2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spans="8:12" ht="15.75" customHeight="1" x14ac:dyDescent="0.25"/>
    <row r="50" spans="8:12" ht="15.75" customHeight="1" x14ac:dyDescent="0.25"/>
    <row r="51" spans="8:12" ht="15.75" customHeight="1" x14ac:dyDescent="0.25"/>
    <row r="52" spans="8:12" ht="15.75" customHeight="1" x14ac:dyDescent="0.25"/>
    <row r="53" spans="8:12" ht="15.75" customHeight="1" x14ac:dyDescent="0.25"/>
    <row r="54" spans="8:12" ht="15.75" customHeight="1" x14ac:dyDescent="0.25"/>
    <row r="55" spans="8:12" ht="15.75" customHeight="1" x14ac:dyDescent="0.25"/>
    <row r="56" spans="8:12" ht="15.75" customHeight="1" x14ac:dyDescent="0.25">
      <c r="H56" s="236" t="s">
        <v>310</v>
      </c>
      <c r="I56" s="20"/>
      <c r="J56" s="20"/>
      <c r="K56" s="20"/>
      <c r="L56" s="20"/>
    </row>
    <row r="57" spans="8:12" ht="15.75" customHeight="1" x14ac:dyDescent="0.25">
      <c r="H57" s="241" t="s">
        <v>311</v>
      </c>
      <c r="I57" s="241" t="s">
        <v>312</v>
      </c>
      <c r="J57" s="241" t="s">
        <v>313</v>
      </c>
      <c r="K57" s="241" t="s">
        <v>314</v>
      </c>
      <c r="L57" s="241" t="s">
        <v>315</v>
      </c>
    </row>
    <row r="58" spans="8:12" ht="15.75" customHeight="1" x14ac:dyDescent="0.25">
      <c r="H58" s="12" t="s">
        <v>957</v>
      </c>
      <c r="I58" s="12" t="str">
        <f>+H67</f>
        <v>FTD-AGR</v>
      </c>
      <c r="J58" s="12" t="s">
        <v>958</v>
      </c>
      <c r="K58" s="12" t="s">
        <v>59</v>
      </c>
      <c r="L58" s="12" t="s">
        <v>381</v>
      </c>
    </row>
    <row r="59" spans="8:12" ht="15.75" customHeight="1" x14ac:dyDescent="0.25">
      <c r="I59" s="12" t="str">
        <f>+H72</f>
        <v>FTD-TER</v>
      </c>
      <c r="J59" s="12" t="s">
        <v>959</v>
      </c>
      <c r="K59" s="12" t="s">
        <v>59</v>
      </c>
      <c r="L59" s="12" t="s">
        <v>381</v>
      </c>
    </row>
    <row r="60" spans="8:12" ht="15.75" customHeight="1" x14ac:dyDescent="0.25">
      <c r="I60" s="12" t="str">
        <f>+H74</f>
        <v>FTD-RSD</v>
      </c>
      <c r="J60" s="12" t="s">
        <v>960</v>
      </c>
      <c r="K60" s="12" t="s">
        <v>59</v>
      </c>
      <c r="L60" s="12" t="s">
        <v>381</v>
      </c>
    </row>
    <row r="61" spans="8:12" ht="15.75" customHeight="1" x14ac:dyDescent="0.25">
      <c r="I61" s="12" t="str">
        <f>+H76</f>
        <v>FTD-IND</v>
      </c>
      <c r="J61" s="12" t="s">
        <v>961</v>
      </c>
      <c r="K61" s="12" t="s">
        <v>59</v>
      </c>
      <c r="L61" s="12" t="s">
        <v>381</v>
      </c>
    </row>
    <row r="62" spans="8:12" ht="15.75" customHeight="1" x14ac:dyDescent="0.25">
      <c r="I62" s="12" t="str">
        <f>+H86</f>
        <v>FTD-TRA</v>
      </c>
      <c r="J62" s="12" t="s">
        <v>962</v>
      </c>
      <c r="K62" s="12" t="s">
        <v>59</v>
      </c>
      <c r="L62" s="12" t="s">
        <v>381</v>
      </c>
    </row>
    <row r="63" spans="8:12" ht="15.75" customHeight="1" x14ac:dyDescent="0.25"/>
    <row r="64" spans="8:12" ht="15.75" customHeight="1" x14ac:dyDescent="0.25"/>
    <row r="65" spans="2:20" ht="15.75" customHeight="1" x14ac:dyDescent="0.25">
      <c r="H65" s="235" t="s">
        <v>880</v>
      </c>
    </row>
    <row r="66" spans="2:20" ht="15.75" customHeight="1" x14ac:dyDescent="0.25">
      <c r="H66" s="238" t="s">
        <v>312</v>
      </c>
      <c r="I66" s="238" t="s">
        <v>881</v>
      </c>
      <c r="J66" s="238" t="s">
        <v>882</v>
      </c>
      <c r="K66" s="209" t="s">
        <v>46</v>
      </c>
      <c r="L66" s="239" t="s">
        <v>930</v>
      </c>
      <c r="M66" s="238" t="s">
        <v>963</v>
      </c>
      <c r="N66" s="238" t="s">
        <v>964</v>
      </c>
      <c r="O66" s="238" t="s">
        <v>965</v>
      </c>
      <c r="P66" s="238" t="s">
        <v>966</v>
      </c>
      <c r="Q66" s="238" t="s">
        <v>967</v>
      </c>
      <c r="R66" s="238" t="s">
        <v>968</v>
      </c>
      <c r="S66" s="238" t="s">
        <v>969</v>
      </c>
      <c r="T66" s="238" t="s">
        <v>970</v>
      </c>
    </row>
    <row r="67" spans="2:20" ht="15.75" customHeight="1" x14ac:dyDescent="0.25">
      <c r="H67" s="12" t="s">
        <v>971</v>
      </c>
      <c r="I67" s="261" t="s">
        <v>64</v>
      </c>
      <c r="J67" s="262" t="s">
        <v>972</v>
      </c>
      <c r="K67" s="263" t="s">
        <v>973</v>
      </c>
      <c r="L67" s="264">
        <v>1</v>
      </c>
      <c r="M67" s="265">
        <v>0.70492284759636947</v>
      </c>
      <c r="N67" s="265">
        <v>0.71393822850931155</v>
      </c>
      <c r="O67" s="265">
        <v>0.71446486124964681</v>
      </c>
      <c r="P67" s="265">
        <v>0.71752787053189593</v>
      </c>
      <c r="Q67" s="265">
        <v>0.71924314150809932</v>
      </c>
      <c r="R67" s="265">
        <v>0.71947452206965223</v>
      </c>
      <c r="S67" s="265">
        <v>0.71849531385010945</v>
      </c>
      <c r="T67" s="265">
        <v>0.71650902714452402</v>
      </c>
    </row>
    <row r="68" spans="2:20" ht="15.75" customHeight="1" x14ac:dyDescent="0.25">
      <c r="I68" s="261" t="s">
        <v>119</v>
      </c>
      <c r="J68" s="262"/>
      <c r="K68" s="263" t="s">
        <v>973</v>
      </c>
      <c r="L68" s="264">
        <v>1</v>
      </c>
      <c r="M68" s="265">
        <f t="shared" ref="M68:T68" si="5">+M67*$D$74</f>
        <v>6.6022474682462001E-2</v>
      </c>
      <c r="N68" s="265">
        <f t="shared" si="5"/>
        <v>6.6866847595195691E-2</v>
      </c>
      <c r="O68" s="265">
        <f t="shared" si="5"/>
        <v>6.6916171569988525E-2</v>
      </c>
      <c r="P68" s="265">
        <f t="shared" si="5"/>
        <v>6.720305041563665E-2</v>
      </c>
      <c r="Q68" s="265">
        <f t="shared" si="5"/>
        <v>6.7363701237192652E-2</v>
      </c>
      <c r="R68" s="265">
        <f t="shared" si="5"/>
        <v>6.7385372143901417E-2</v>
      </c>
      <c r="S68" s="265">
        <f t="shared" si="5"/>
        <v>6.7293660334440203E-2</v>
      </c>
      <c r="T68" s="265">
        <f t="shared" si="5"/>
        <v>6.7107626410048637E-2</v>
      </c>
    </row>
    <row r="69" spans="2:20" ht="15.75" customHeight="1" x14ac:dyDescent="0.25">
      <c r="I69" s="261" t="s">
        <v>948</v>
      </c>
      <c r="J69" s="262"/>
      <c r="K69" s="263" t="s">
        <v>973</v>
      </c>
      <c r="L69" s="264">
        <v>1</v>
      </c>
      <c r="M69" s="265">
        <v>6.6920156894449958E-3</v>
      </c>
      <c r="N69" s="265">
        <v>7.1142331301549495E-3</v>
      </c>
      <c r="O69" s="265">
        <v>6.884185400222554E-3</v>
      </c>
      <c r="P69" s="265">
        <v>6.7217875799148548E-3</v>
      </c>
      <c r="Q69" s="265">
        <v>6.6017020910173795E-3</v>
      </c>
      <c r="R69" s="265">
        <v>6.5185070900598899E-3</v>
      </c>
      <c r="S69" s="265">
        <v>6.4624611243749045E-3</v>
      </c>
      <c r="T69" s="265">
        <v>6.4287265996042856E-3</v>
      </c>
    </row>
    <row r="70" spans="2:20" ht="15.75" customHeight="1" x14ac:dyDescent="0.25">
      <c r="I70" s="261" t="s">
        <v>123</v>
      </c>
      <c r="J70" s="262"/>
      <c r="K70" s="263" t="s">
        <v>973</v>
      </c>
      <c r="L70" s="264">
        <v>1</v>
      </c>
      <c r="M70" s="265">
        <f t="shared" ref="M70:T70" si="6">+M69*$D$73</f>
        <v>3.8560214180194803E-4</v>
      </c>
      <c r="N70" s="265">
        <f t="shared" si="6"/>
        <v>4.0993082795561089E-4</v>
      </c>
      <c r="O70" s="265">
        <f t="shared" si="6"/>
        <v>3.9667519594648081E-4</v>
      </c>
      <c r="P70" s="265">
        <f t="shared" si="6"/>
        <v>3.8731763460164031E-4</v>
      </c>
      <c r="Q70" s="265">
        <f t="shared" si="6"/>
        <v>3.8039816162562266E-4</v>
      </c>
      <c r="R70" s="265">
        <f t="shared" si="6"/>
        <v>3.756043637558685E-4</v>
      </c>
      <c r="S70" s="265">
        <f t="shared" si="6"/>
        <v>3.7237492655631504E-4</v>
      </c>
      <c r="T70" s="265">
        <f t="shared" si="6"/>
        <v>3.7043110191395227E-4</v>
      </c>
    </row>
    <row r="71" spans="2:20" ht="15.75" customHeight="1" x14ac:dyDescent="0.25">
      <c r="I71" s="12" t="s">
        <v>942</v>
      </c>
      <c r="J71" s="13"/>
      <c r="K71" s="14" t="s">
        <v>974</v>
      </c>
      <c r="L71" s="214">
        <v>1</v>
      </c>
      <c r="M71" s="228">
        <v>0.28838513671418559</v>
      </c>
      <c r="N71" s="228">
        <v>0.27894753836053338</v>
      </c>
      <c r="O71" s="228">
        <v>0.27865095335013057</v>
      </c>
      <c r="P71" s="228">
        <v>0.27575034188818925</v>
      </c>
      <c r="Q71" s="228">
        <v>0.27415515640088323</v>
      </c>
      <c r="R71" s="228">
        <v>0.2740069708402878</v>
      </c>
      <c r="S71" s="228">
        <v>0.27504222502551567</v>
      </c>
      <c r="T71" s="228">
        <v>0.27706224625587167</v>
      </c>
    </row>
    <row r="72" spans="2:20" ht="15.75" customHeight="1" x14ac:dyDescent="0.25">
      <c r="H72" s="12" t="s">
        <v>975</v>
      </c>
      <c r="I72" s="12" t="s">
        <v>942</v>
      </c>
      <c r="J72" s="13" t="s">
        <v>92</v>
      </c>
      <c r="K72" s="14" t="s">
        <v>974</v>
      </c>
      <c r="L72" s="214">
        <v>1</v>
      </c>
      <c r="M72" s="228">
        <v>0.94914717262718429</v>
      </c>
      <c r="N72" s="228">
        <v>0.94909397992018851</v>
      </c>
      <c r="O72" s="228">
        <v>0.94381625559454663</v>
      </c>
      <c r="P72" s="228">
        <v>0.94089342504252638</v>
      </c>
      <c r="Q72" s="228">
        <v>0.93845062398555323</v>
      </c>
      <c r="R72" s="228">
        <v>0.93558574737128919</v>
      </c>
      <c r="S72" s="228">
        <v>0.93394802666463828</v>
      </c>
      <c r="T72" s="228">
        <v>0.933269906252853</v>
      </c>
    </row>
    <row r="73" spans="2:20" ht="15.75" customHeight="1" x14ac:dyDescent="0.25">
      <c r="B73" s="12" t="s">
        <v>976</v>
      </c>
      <c r="D73" s="266">
        <f>+'Bases de Cálculo'!C22</f>
        <v>5.7621225008503835E-2</v>
      </c>
      <c r="I73" s="12" t="s">
        <v>67</v>
      </c>
      <c r="J73" s="13"/>
      <c r="K73" s="14" t="s">
        <v>974</v>
      </c>
      <c r="L73" s="214">
        <v>1</v>
      </c>
      <c r="M73" s="228">
        <v>5.0852827372815664E-2</v>
      </c>
      <c r="N73" s="228">
        <v>5.0906020079811459E-2</v>
      </c>
      <c r="O73" s="228">
        <v>5.6183744405453408E-2</v>
      </c>
      <c r="P73" s="228">
        <v>5.9106574957473554E-2</v>
      </c>
      <c r="Q73" s="228">
        <v>6.1549376014446808E-2</v>
      </c>
      <c r="R73" s="228">
        <v>6.4414252628710852E-2</v>
      </c>
      <c r="S73" s="228">
        <v>6.6051973335361724E-2</v>
      </c>
      <c r="T73" s="228">
        <v>6.6730093747146987E-2</v>
      </c>
    </row>
    <row r="74" spans="2:20" ht="15.75" customHeight="1" x14ac:dyDescent="0.25">
      <c r="B74" s="12" t="s">
        <v>977</v>
      </c>
      <c r="D74" s="266">
        <f>+'Bases de Cálculo'!D22</f>
        <v>9.3659149944684009E-2</v>
      </c>
      <c r="H74" s="12" t="s">
        <v>978</v>
      </c>
      <c r="I74" s="12" t="s">
        <v>942</v>
      </c>
      <c r="J74" s="13" t="s">
        <v>99</v>
      </c>
      <c r="K74" s="14" t="s">
        <v>974</v>
      </c>
      <c r="L74" s="214">
        <v>1</v>
      </c>
      <c r="M74" s="228">
        <v>0.73862618670258562</v>
      </c>
      <c r="N74" s="228">
        <v>0.74554154285971541</v>
      </c>
      <c r="O74" s="228">
        <v>0.75129509265895111</v>
      </c>
      <c r="P74" s="228">
        <v>0.75734173890202261</v>
      </c>
      <c r="Q74" s="228">
        <v>0.76288003210832334</v>
      </c>
      <c r="R74" s="228">
        <v>0.76798679968770389</v>
      </c>
      <c r="S74" s="228">
        <v>0.77271043225491287</v>
      </c>
      <c r="T74" s="228">
        <v>0.7770943916548716</v>
      </c>
    </row>
    <row r="75" spans="2:20" ht="15.75" customHeight="1" x14ac:dyDescent="0.25">
      <c r="I75" s="12" t="s">
        <v>67</v>
      </c>
      <c r="J75" s="13"/>
      <c r="K75" s="14" t="s">
        <v>974</v>
      </c>
      <c r="L75" s="214">
        <v>1</v>
      </c>
      <c r="M75" s="228">
        <v>0.26137381329741433</v>
      </c>
      <c r="N75" s="228">
        <v>0.25445845714028453</v>
      </c>
      <c r="O75" s="228">
        <v>0.24870490734104891</v>
      </c>
      <c r="P75" s="228">
        <v>0.24265826109797739</v>
      </c>
      <c r="Q75" s="228">
        <v>0.23711996789167664</v>
      </c>
      <c r="R75" s="228">
        <v>0.23201320031229605</v>
      </c>
      <c r="S75" s="228">
        <v>0.22728956774508716</v>
      </c>
      <c r="T75" s="228">
        <v>0.22290560834512835</v>
      </c>
    </row>
    <row r="76" spans="2:20" ht="15.75" customHeight="1" x14ac:dyDescent="0.25">
      <c r="H76" s="12" t="s">
        <v>979</v>
      </c>
      <c r="I76" s="261" t="s">
        <v>64</v>
      </c>
      <c r="J76" s="262" t="s">
        <v>104</v>
      </c>
      <c r="K76" s="263" t="s">
        <v>973</v>
      </c>
      <c r="L76" s="264">
        <v>1</v>
      </c>
      <c r="M76" s="265">
        <v>2.3815208477444158E-2</v>
      </c>
      <c r="N76" s="265">
        <v>2.2130945027794936E-2</v>
      </c>
      <c r="O76" s="265">
        <v>2.2932665713608379E-2</v>
      </c>
      <c r="P76" s="265">
        <v>2.2896265372607132E-2</v>
      </c>
      <c r="Q76" s="265">
        <v>2.2391833159756083E-2</v>
      </c>
      <c r="R76" s="265">
        <v>2.177574009314618E-2</v>
      </c>
      <c r="S76" s="265">
        <v>2.1387985767026867E-2</v>
      </c>
      <c r="T76" s="265">
        <v>2.1105475060029102E-2</v>
      </c>
    </row>
    <row r="77" spans="2:20" ht="15.75" customHeight="1" x14ac:dyDescent="0.25">
      <c r="I77" s="261" t="s">
        <v>119</v>
      </c>
      <c r="J77" s="262"/>
      <c r="K77" s="263" t="s">
        <v>973</v>
      </c>
      <c r="L77" s="264">
        <v>1</v>
      </c>
      <c r="M77" s="265">
        <f t="shared" ref="M77:T77" si="7">+M76*$D$74</f>
        <v>2.230512181752852E-3</v>
      </c>
      <c r="N77" s="265">
        <f t="shared" si="7"/>
        <v>2.0727654987758048E-3</v>
      </c>
      <c r="O77" s="265">
        <f t="shared" si="7"/>
        <v>2.1478539767021609E-3</v>
      </c>
      <c r="P77" s="265">
        <f t="shared" si="7"/>
        <v>2.1444447517062876E-3</v>
      </c>
      <c r="Q77" s="265">
        <f t="shared" si="7"/>
        <v>2.0972000594459425E-3</v>
      </c>
      <c r="R77" s="265">
        <f t="shared" si="7"/>
        <v>2.0394973065404453E-3</v>
      </c>
      <c r="S77" s="265">
        <f t="shared" si="7"/>
        <v>2.003180565968737E-3</v>
      </c>
      <c r="T77" s="265">
        <f t="shared" si="7"/>
        <v>1.9767208533010543E-3</v>
      </c>
    </row>
    <row r="78" spans="2:20" ht="15.75" customHeight="1" x14ac:dyDescent="0.25">
      <c r="I78" s="261" t="s">
        <v>948</v>
      </c>
      <c r="J78" s="262"/>
      <c r="K78" s="263" t="s">
        <v>973</v>
      </c>
      <c r="L78" s="264">
        <v>1</v>
      </c>
      <c r="M78" s="265">
        <v>2.0733084888629265E-3</v>
      </c>
      <c r="N78" s="265">
        <v>1.605929586164299E-3</v>
      </c>
      <c r="O78" s="265">
        <v>1.6549809268611576E-3</v>
      </c>
      <c r="P78" s="265">
        <v>1.6409824262324721E-3</v>
      </c>
      <c r="Q78" s="265">
        <v>1.58464374956299E-3</v>
      </c>
      <c r="R78" s="265">
        <v>1.5202058455406398E-3</v>
      </c>
      <c r="S78" s="265">
        <v>1.4820495625786701E-3</v>
      </c>
      <c r="T78" s="265">
        <v>1.4573539790034261E-3</v>
      </c>
    </row>
    <row r="79" spans="2:20" ht="15.75" customHeight="1" x14ac:dyDescent="0.25">
      <c r="I79" s="261" t="s">
        <v>123</v>
      </c>
      <c r="J79" s="262"/>
      <c r="K79" s="263" t="s">
        <v>973</v>
      </c>
      <c r="L79" s="264">
        <v>1</v>
      </c>
      <c r="M79" s="265">
        <f t="shared" ref="M79:T79" si="8">+M78*$D$73</f>
        <v>1.1946657494881176E-4</v>
      </c>
      <c r="N79" s="265">
        <f t="shared" si="8"/>
        <v>9.2535630032186518E-5</v>
      </c>
      <c r="O79" s="265">
        <f t="shared" si="8"/>
        <v>9.5362028371448988E-5</v>
      </c>
      <c r="P79" s="265">
        <f t="shared" si="8"/>
        <v>9.455541761694182E-5</v>
      </c>
      <c r="Q79" s="265">
        <f t="shared" si="8"/>
        <v>9.1309114051888244E-5</v>
      </c>
      <c r="R79" s="265">
        <f t="shared" si="8"/>
        <v>8.7596123085140028E-5</v>
      </c>
      <c r="S79" s="265">
        <f t="shared" si="8"/>
        <v>8.5397511319100229E-5</v>
      </c>
      <c r="T79" s="265">
        <f t="shared" si="8"/>
        <v>8.3974521541194786E-5</v>
      </c>
    </row>
    <row r="80" spans="2:20" ht="15.75" customHeight="1" x14ac:dyDescent="0.25">
      <c r="I80" s="12" t="s">
        <v>942</v>
      </c>
      <c r="J80" s="13"/>
      <c r="K80" s="14" t="s">
        <v>974</v>
      </c>
      <c r="L80" s="214">
        <v>1</v>
      </c>
      <c r="M80" s="228">
        <v>0.92987932910492899</v>
      </c>
      <c r="N80" s="228">
        <v>0.93058884084826032</v>
      </c>
      <c r="O80" s="228">
        <v>0.93376663960747408</v>
      </c>
      <c r="P80" s="228">
        <v>0.93688069662246576</v>
      </c>
      <c r="Q80" s="228">
        <v>0.94004040731158889</v>
      </c>
      <c r="R80" s="228">
        <v>0.94314873307226621</v>
      </c>
      <c r="S80" s="228">
        <v>0.94608397598622218</v>
      </c>
      <c r="T80" s="228">
        <v>0.94882285301864444</v>
      </c>
    </row>
    <row r="81" spans="8:20" ht="15.75" customHeight="1" x14ac:dyDescent="0.25">
      <c r="I81" s="12" t="s">
        <v>66</v>
      </c>
      <c r="J81" s="13"/>
      <c r="K81" s="14" t="s">
        <v>974</v>
      </c>
      <c r="L81" s="214">
        <v>1</v>
      </c>
      <c r="M81" s="228">
        <v>3.7747992514573081E-5</v>
      </c>
      <c r="N81" s="228">
        <v>3.9118797611694459E-5</v>
      </c>
      <c r="O81" s="228">
        <v>3.9511210407971213E-5</v>
      </c>
      <c r="P81" s="228">
        <v>3.7937124462826458E-5</v>
      </c>
      <c r="Q81" s="228">
        <v>3.6800830226729914E-5</v>
      </c>
      <c r="R81" s="228">
        <v>3.4916388678495262E-5</v>
      </c>
      <c r="S81" s="228">
        <v>3.3710306866127345E-5</v>
      </c>
      <c r="T81" s="228">
        <v>3.2563587076633333E-5</v>
      </c>
    </row>
    <row r="82" spans="8:20" ht="15.75" customHeight="1" x14ac:dyDescent="0.25">
      <c r="I82" s="12" t="s">
        <v>67</v>
      </c>
      <c r="J82" s="13"/>
      <c r="K82" s="14" t="s">
        <v>974</v>
      </c>
      <c r="L82" s="214">
        <v>1</v>
      </c>
      <c r="M82" s="228">
        <v>3.934284519831379E-2</v>
      </c>
      <c r="N82" s="228">
        <v>4.1462837142268893E-2</v>
      </c>
      <c r="O82" s="228">
        <v>3.7275235091701928E-2</v>
      </c>
      <c r="P82" s="228">
        <v>3.4209600191138528E-2</v>
      </c>
      <c r="Q82" s="228">
        <v>3.1685514825214457E-2</v>
      </c>
      <c r="R82" s="228">
        <v>2.9354610843418796E-2</v>
      </c>
      <c r="S82" s="228">
        <v>2.6908650486120688E-2</v>
      </c>
      <c r="T82" s="228">
        <v>2.4527320849557291E-2</v>
      </c>
    </row>
    <row r="83" spans="8:20" ht="15.75" customHeight="1" x14ac:dyDescent="0.25">
      <c r="I83" s="12" t="s">
        <v>70</v>
      </c>
      <c r="J83" s="13"/>
      <c r="K83" s="14" t="s">
        <v>974</v>
      </c>
      <c r="L83" s="214">
        <v>1</v>
      </c>
      <c r="M83" s="228">
        <v>4.1598287751059542E-3</v>
      </c>
      <c r="N83" s="228">
        <v>3.4764257772287419E-3</v>
      </c>
      <c r="O83" s="228">
        <v>3.6098878600010062E-3</v>
      </c>
      <c r="P83" s="228">
        <v>3.6177487626040034E-3</v>
      </c>
      <c r="Q83" s="228">
        <v>3.5682084987837324E-3</v>
      </c>
      <c r="R83" s="228">
        <v>3.5017109030452461E-3</v>
      </c>
      <c r="S83" s="228">
        <v>3.4559084235435194E-3</v>
      </c>
      <c r="T83" s="228">
        <v>3.4159736672684702E-3</v>
      </c>
    </row>
    <row r="84" spans="8:20" ht="15.75" customHeight="1" x14ac:dyDescent="0.25">
      <c r="I84" s="12" t="s">
        <v>75</v>
      </c>
      <c r="J84" s="13"/>
      <c r="K84" s="14" t="s">
        <v>974</v>
      </c>
      <c r="L84" s="214">
        <v>1</v>
      </c>
      <c r="M84" s="228">
        <v>6.9173196282955177E-4</v>
      </c>
      <c r="N84" s="228">
        <v>6.9590282067119613E-4</v>
      </c>
      <c r="O84" s="228">
        <v>7.2107958994547454E-4</v>
      </c>
      <c r="P84" s="228">
        <v>7.1676950048914668E-4</v>
      </c>
      <c r="Q84" s="228">
        <v>6.9259162486705697E-4</v>
      </c>
      <c r="R84" s="228">
        <v>6.6408285390445808E-4</v>
      </c>
      <c r="S84" s="228">
        <v>6.4771946764201826E-4</v>
      </c>
      <c r="T84" s="228">
        <v>6.3845983842054856E-4</v>
      </c>
    </row>
    <row r="85" spans="8:20" ht="15.75" customHeight="1" x14ac:dyDescent="0.25">
      <c r="I85" s="12" t="s">
        <v>82</v>
      </c>
      <c r="J85" s="13"/>
      <c r="K85" s="14" t="s">
        <v>974</v>
      </c>
      <c r="L85" s="214">
        <v>1</v>
      </c>
      <c r="M85" s="228">
        <v>0</v>
      </c>
      <c r="N85" s="228">
        <v>0</v>
      </c>
      <c r="O85" s="228">
        <v>0</v>
      </c>
      <c r="P85" s="228">
        <v>0</v>
      </c>
      <c r="Q85" s="228">
        <v>0</v>
      </c>
      <c r="R85" s="228">
        <v>0</v>
      </c>
      <c r="S85" s="228">
        <v>0</v>
      </c>
      <c r="T85" s="228">
        <v>0</v>
      </c>
    </row>
    <row r="86" spans="8:20" ht="15.75" customHeight="1" x14ac:dyDescent="0.25">
      <c r="H86" s="12" t="s">
        <v>980</v>
      </c>
      <c r="I86" s="261" t="s">
        <v>64</v>
      </c>
      <c r="J86" s="262" t="s">
        <v>109</v>
      </c>
      <c r="K86" s="263" t="s">
        <v>973</v>
      </c>
      <c r="L86" s="264">
        <v>1</v>
      </c>
      <c r="M86" s="265">
        <v>0.42556332971371874</v>
      </c>
      <c r="N86" s="265">
        <v>0.42885227003017673</v>
      </c>
      <c r="O86" s="265">
        <v>0.4301288355256343</v>
      </c>
      <c r="P86" s="265">
        <v>0.42782773669978968</v>
      </c>
      <c r="Q86" s="265">
        <v>0.41668817229295235</v>
      </c>
      <c r="R86" s="265">
        <v>0.39409044952974615</v>
      </c>
      <c r="S86" s="265">
        <v>0.36101605214575999</v>
      </c>
      <c r="T86" s="265">
        <v>0.32619321607544083</v>
      </c>
    </row>
    <row r="87" spans="8:20" ht="15.75" customHeight="1" x14ac:dyDescent="0.25">
      <c r="I87" s="261" t="s">
        <v>119</v>
      </c>
      <c r="J87" s="262"/>
      <c r="K87" s="263" t="s">
        <v>973</v>
      </c>
      <c r="L87" s="264">
        <v>1</v>
      </c>
      <c r="M87" s="265">
        <f t="shared" ref="M87:T87" si="9">+M86*$D$74</f>
        <v>3.9857899708616182E-2</v>
      </c>
      <c r="N87" s="265">
        <f t="shared" si="9"/>
        <v>4.0165939062874439E-2</v>
      </c>
      <c r="O87" s="265">
        <f t="shared" si="9"/>
        <v>4.0285501102027707E-2</v>
      </c>
      <c r="P87" s="265">
        <f t="shared" si="9"/>
        <v>4.0069982142060388E-2</v>
      </c>
      <c r="Q87" s="265">
        <f t="shared" si="9"/>
        <v>3.9026660008961947E-2</v>
      </c>
      <c r="R87" s="265">
        <f t="shared" si="9"/>
        <v>3.6910176504274417E-2</v>
      </c>
      <c r="S87" s="265">
        <f t="shared" si="9"/>
        <v>3.3812456560357598E-2</v>
      </c>
      <c r="T87" s="265">
        <f t="shared" si="9"/>
        <v>3.0550979335348422E-2</v>
      </c>
    </row>
    <row r="88" spans="8:20" ht="15.75" customHeight="1" x14ac:dyDescent="0.25">
      <c r="I88" s="261" t="s">
        <v>948</v>
      </c>
      <c r="J88" s="262"/>
      <c r="K88" s="263" t="s">
        <v>973</v>
      </c>
      <c r="L88" s="264">
        <v>1</v>
      </c>
      <c r="M88" s="265">
        <v>0.43290649023408723</v>
      </c>
      <c r="N88" s="265">
        <v>0.43334520055606424</v>
      </c>
      <c r="O88" s="265">
        <v>0.42676689042599353</v>
      </c>
      <c r="P88" s="265">
        <v>0.41280956616074077</v>
      </c>
      <c r="Q88" s="265">
        <v>0.39470185013541281</v>
      </c>
      <c r="R88" s="265">
        <v>0.37375110178859372</v>
      </c>
      <c r="S88" s="265">
        <v>0.35412901955996318</v>
      </c>
      <c r="T88" s="265">
        <v>0.33610432900293752</v>
      </c>
    </row>
    <row r="89" spans="8:20" ht="15.75" customHeight="1" x14ac:dyDescent="0.25">
      <c r="I89" s="261" t="s">
        <v>123</v>
      </c>
      <c r="J89" s="262"/>
      <c r="K89" s="263" t="s">
        <v>973</v>
      </c>
      <c r="L89" s="264">
        <v>1</v>
      </c>
      <c r="M89" s="265">
        <f t="shared" ref="M89:T89" si="10">+M88*$D$73</f>
        <v>2.4944602281420009E-2</v>
      </c>
      <c r="N89" s="265">
        <f t="shared" si="10"/>
        <v>2.4969881307596198E-2</v>
      </c>
      <c r="O89" s="265">
        <f t="shared" si="10"/>
        <v>2.4590831019415674E-2</v>
      </c>
      <c r="P89" s="265">
        <f t="shared" si="10"/>
        <v>2.3786592897410894E-2</v>
      </c>
      <c r="Q89" s="265">
        <f t="shared" si="10"/>
        <v>2.2743204117925381E-2</v>
      </c>
      <c r="R89" s="265">
        <f t="shared" si="10"/>
        <v>2.153599633333678E-2</v>
      </c>
      <c r="S89" s="265">
        <f t="shared" si="10"/>
        <v>2.0405347918105495E-2</v>
      </c>
      <c r="T89" s="265">
        <f t="shared" si="10"/>
        <v>1.9366743167810466E-2</v>
      </c>
    </row>
    <row r="90" spans="8:20" ht="15.75" customHeight="1" x14ac:dyDescent="0.25">
      <c r="I90" s="12" t="s">
        <v>942</v>
      </c>
      <c r="J90" s="13"/>
      <c r="K90" s="14" t="s">
        <v>974</v>
      </c>
      <c r="L90" s="214">
        <v>1</v>
      </c>
      <c r="M90" s="228">
        <v>3.638539169699493E-2</v>
      </c>
      <c r="N90" s="228">
        <v>3.4195910894110469E-2</v>
      </c>
      <c r="O90" s="228">
        <v>2.7821777272638556E-2</v>
      </c>
      <c r="P90" s="228">
        <v>2.934035639254148E-2</v>
      </c>
      <c r="Q90" s="228">
        <v>4.0087103729669921E-2</v>
      </c>
      <c r="R90" s="228">
        <v>6.3024887052906611E-2</v>
      </c>
      <c r="S90" s="228">
        <v>9.4953571196556966E-2</v>
      </c>
      <c r="T90" s="228">
        <v>0.1300448131911226</v>
      </c>
    </row>
    <row r="91" spans="8:20" ht="15.75" customHeight="1" x14ac:dyDescent="0.25">
      <c r="I91" s="12" t="s">
        <v>66</v>
      </c>
      <c r="J91" s="13"/>
      <c r="K91" s="14" t="s">
        <v>974</v>
      </c>
      <c r="L91" s="214">
        <v>1</v>
      </c>
      <c r="M91" s="228">
        <v>0.10288236971605716</v>
      </c>
      <c r="N91" s="228">
        <v>0.1011779066219103</v>
      </c>
      <c r="O91" s="228">
        <v>0.11262576139978951</v>
      </c>
      <c r="P91" s="228">
        <v>0.12700802912736228</v>
      </c>
      <c r="Q91" s="228">
        <v>0.14454567570501695</v>
      </c>
      <c r="R91" s="228">
        <v>0.16327899835227158</v>
      </c>
      <c r="S91" s="228">
        <v>0.18201419157065585</v>
      </c>
      <c r="T91" s="228">
        <v>0.19787361201483947</v>
      </c>
    </row>
    <row r="92" spans="8:20" ht="15.75" customHeight="1" x14ac:dyDescent="0.25">
      <c r="I92" s="12" t="s">
        <v>67</v>
      </c>
      <c r="J92" s="13"/>
      <c r="K92" s="14" t="s">
        <v>974</v>
      </c>
      <c r="L92" s="214">
        <v>1</v>
      </c>
      <c r="M92" s="228">
        <v>5.4111527860738156E-5</v>
      </c>
      <c r="N92" s="228">
        <v>5.1707184755704752E-5</v>
      </c>
      <c r="O92" s="228">
        <v>5.5852249779668886E-5</v>
      </c>
      <c r="P92" s="228">
        <v>1.2206842866928591E-4</v>
      </c>
      <c r="Q92" s="228">
        <v>7.216381291188117E-4</v>
      </c>
      <c r="R92" s="228">
        <v>2.2095540563750854E-3</v>
      </c>
      <c r="S92" s="228">
        <v>3.8226339316975969E-3</v>
      </c>
      <c r="T92" s="228">
        <v>5.3272777283629074E-3</v>
      </c>
    </row>
    <row r="93" spans="8:20" ht="15.75" customHeight="1" x14ac:dyDescent="0.25">
      <c r="I93" s="12" t="s">
        <v>70</v>
      </c>
      <c r="J93" s="13"/>
      <c r="K93" s="14" t="s">
        <v>974</v>
      </c>
      <c r="L93" s="214">
        <v>1</v>
      </c>
      <c r="M93" s="228">
        <v>1.2957188037907301E-3</v>
      </c>
      <c r="N93" s="228">
        <v>1.4795036110263455E-3</v>
      </c>
      <c r="O93" s="228">
        <v>1.6018485292991595E-3</v>
      </c>
      <c r="P93" s="228">
        <v>1.7656822825739534E-3</v>
      </c>
      <c r="Q93" s="228">
        <v>1.9734108574841298E-3</v>
      </c>
      <c r="R93" s="228">
        <v>2.1965936880489674E-3</v>
      </c>
      <c r="S93" s="228">
        <v>2.4499520724434688E-3</v>
      </c>
      <c r="T93" s="228">
        <v>2.7014653486442395E-3</v>
      </c>
    </row>
    <row r="94" spans="8:20" ht="15.75" customHeight="1" x14ac:dyDescent="0.25">
      <c r="I94" s="12" t="s">
        <v>114</v>
      </c>
      <c r="J94" s="13"/>
      <c r="K94" s="14" t="s">
        <v>974</v>
      </c>
      <c r="L94" s="214">
        <v>1</v>
      </c>
      <c r="M94" s="228">
        <v>9.1258830749058398E-4</v>
      </c>
      <c r="N94" s="228">
        <v>8.9750110195639654E-4</v>
      </c>
      <c r="O94" s="228">
        <v>9.9903459686536767E-4</v>
      </c>
      <c r="P94" s="228">
        <v>1.1265609083225784E-3</v>
      </c>
      <c r="Q94" s="228">
        <v>1.282149150345063E-3</v>
      </c>
      <c r="R94" s="228">
        <v>1.4484155320577225E-3</v>
      </c>
      <c r="S94" s="228">
        <v>1.6145795229228466E-3</v>
      </c>
      <c r="T94" s="228">
        <v>1.7552866386524909E-3</v>
      </c>
    </row>
    <row r="95" spans="8:20" ht="15.75" customHeight="1" x14ac:dyDescent="0.25">
      <c r="I95" s="12" t="s">
        <v>82</v>
      </c>
      <c r="J95" s="13"/>
      <c r="K95" s="14" t="s">
        <v>974</v>
      </c>
      <c r="L95" s="214">
        <v>1</v>
      </c>
      <c r="M95" s="228">
        <v>0</v>
      </c>
      <c r="N95" s="228">
        <v>0</v>
      </c>
      <c r="O95" s="228">
        <v>0</v>
      </c>
      <c r="P95" s="228">
        <v>0</v>
      </c>
      <c r="Q95" s="228">
        <v>0</v>
      </c>
      <c r="R95" s="228">
        <v>0</v>
      </c>
      <c r="S95" s="228">
        <v>0</v>
      </c>
      <c r="T95" s="228">
        <v>0</v>
      </c>
    </row>
    <row r="96" spans="8:20" ht="15.75" customHeight="1" x14ac:dyDescent="0.25">
      <c r="M96" s="267"/>
      <c r="N96" s="267"/>
      <c r="O96" s="267"/>
      <c r="P96" s="267"/>
      <c r="Q96" s="267"/>
      <c r="R96" s="267"/>
      <c r="S96" s="267"/>
      <c r="T96" s="267"/>
    </row>
    <row r="97" spans="8:18" ht="15.75" customHeight="1" x14ac:dyDescent="0.25"/>
    <row r="98" spans="8:18" ht="15.75" customHeight="1" x14ac:dyDescent="0.25">
      <c r="H98" s="268" t="s">
        <v>880</v>
      </c>
      <c r="J98" s="268"/>
      <c r="K98" s="269"/>
    </row>
    <row r="99" spans="8:18" ht="15.75" customHeight="1" x14ac:dyDescent="0.25">
      <c r="H99" s="270" t="s">
        <v>928</v>
      </c>
      <c r="I99" s="270" t="s">
        <v>43</v>
      </c>
      <c r="J99" s="270" t="s">
        <v>929</v>
      </c>
      <c r="K99" s="271">
        <v>2019</v>
      </c>
      <c r="L99" s="271">
        <v>2020</v>
      </c>
      <c r="M99" s="271">
        <v>2025</v>
      </c>
      <c r="N99" s="271">
        <v>2030</v>
      </c>
      <c r="O99" s="271">
        <v>2035</v>
      </c>
      <c r="P99" s="271">
        <v>2040</v>
      </c>
      <c r="Q99" s="271">
        <v>2045</v>
      </c>
      <c r="R99" s="271">
        <v>2050</v>
      </c>
    </row>
    <row r="100" spans="8:18" ht="15.75" customHeight="1" x14ac:dyDescent="0.25">
      <c r="H100" s="12" t="s">
        <v>937</v>
      </c>
      <c r="I100" s="12" t="str">
        <f>+COMM!Z30</f>
        <v>DAGR</v>
      </c>
      <c r="J100" s="12" t="s">
        <v>59</v>
      </c>
      <c r="K100" s="272">
        <v>31.6646</v>
      </c>
      <c r="L100" s="273">
        <v>27.873699999999999</v>
      </c>
      <c r="M100" s="273">
        <v>34.688200000000002</v>
      </c>
      <c r="N100" s="273">
        <v>41.387799999999999</v>
      </c>
      <c r="O100" s="273">
        <v>48.775300000000001</v>
      </c>
      <c r="P100" s="273">
        <v>57.037600000000005</v>
      </c>
      <c r="Q100" s="273">
        <v>66.4298</v>
      </c>
      <c r="R100" s="273">
        <v>76.873699999999999</v>
      </c>
    </row>
    <row r="101" spans="8:18" ht="15.75" customHeight="1" x14ac:dyDescent="0.25">
      <c r="H101" s="12" t="s">
        <v>937</v>
      </c>
      <c r="I101" s="12" t="str">
        <f>+COMM!Z31</f>
        <v>DTER</v>
      </c>
      <c r="J101" s="269" t="s">
        <v>59</v>
      </c>
      <c r="K101" s="273">
        <v>62.181400000000004</v>
      </c>
      <c r="L101" s="273">
        <v>54.353099999999998</v>
      </c>
      <c r="M101" s="273">
        <v>60.013800000000003</v>
      </c>
      <c r="N101" s="273">
        <v>67.605000000000004</v>
      </c>
      <c r="O101" s="273">
        <v>74.424799999999991</v>
      </c>
      <c r="P101" s="273">
        <v>80.742999999999995</v>
      </c>
      <c r="Q101" s="273">
        <v>90.7119</v>
      </c>
      <c r="R101" s="273">
        <v>104.0565</v>
      </c>
    </row>
    <row r="102" spans="8:18" ht="15.75" customHeight="1" x14ac:dyDescent="0.25">
      <c r="H102" s="269" t="s">
        <v>937</v>
      </c>
      <c r="I102" s="12" t="str">
        <f>+COMM!Z32</f>
        <v>DRSD</v>
      </c>
      <c r="J102" s="269" t="s">
        <v>59</v>
      </c>
      <c r="K102" s="273">
        <v>69.341300000000004</v>
      </c>
      <c r="L102" s="273">
        <v>71.078400000000002</v>
      </c>
      <c r="M102" s="273">
        <v>80.650599999999997</v>
      </c>
      <c r="N102" s="273">
        <v>89.464500000000001</v>
      </c>
      <c r="O102" s="273">
        <v>94.679500000000004</v>
      </c>
      <c r="P102" s="273">
        <v>98.240100000000012</v>
      </c>
      <c r="Q102" s="273">
        <v>103.37649999999999</v>
      </c>
      <c r="R102" s="273">
        <v>109.43870000000001</v>
      </c>
    </row>
    <row r="103" spans="8:18" ht="15.75" customHeight="1" x14ac:dyDescent="0.25">
      <c r="H103" s="12" t="s">
        <v>937</v>
      </c>
      <c r="I103" s="12" t="str">
        <f>+COMM!Z33</f>
        <v>DIND</v>
      </c>
      <c r="J103" s="269" t="s">
        <v>59</v>
      </c>
      <c r="K103" s="273">
        <v>105.9659</v>
      </c>
      <c r="L103" s="273">
        <v>97.14</v>
      </c>
      <c r="M103" s="273">
        <v>111.3608</v>
      </c>
      <c r="N103" s="273">
        <v>123.88920000000002</v>
      </c>
      <c r="O103" s="273">
        <v>135.8665</v>
      </c>
      <c r="P103" s="273">
        <v>148.9272</v>
      </c>
      <c r="Q103" s="273">
        <v>166.12129999999999</v>
      </c>
      <c r="R103" s="273">
        <v>187.32580000000002</v>
      </c>
    </row>
    <row r="104" spans="8:18" ht="15.75" customHeight="1" x14ac:dyDescent="0.25">
      <c r="H104" s="12" t="s">
        <v>937</v>
      </c>
      <c r="I104" s="12" t="str">
        <f>+COMM!Z34</f>
        <v>DTRA</v>
      </c>
      <c r="J104" s="269" t="s">
        <v>59</v>
      </c>
      <c r="K104" s="272">
        <v>574.73889999999994</v>
      </c>
      <c r="L104" s="273">
        <v>589.8599999999999</v>
      </c>
      <c r="M104" s="273">
        <v>666.04299999999989</v>
      </c>
      <c r="N104" s="273">
        <v>719.26869999999997</v>
      </c>
      <c r="O104" s="273">
        <v>757.1662</v>
      </c>
      <c r="P104" s="273">
        <v>794.73050000000012</v>
      </c>
      <c r="Q104" s="273">
        <v>829.68970000000013</v>
      </c>
      <c r="R104" s="273">
        <v>871.08279999999991</v>
      </c>
    </row>
    <row r="105" spans="8:18" ht="15.75" customHeight="1" x14ac:dyDescent="0.25">
      <c r="K105" s="274"/>
      <c r="L105" s="274"/>
      <c r="M105" s="274"/>
      <c r="N105" s="274"/>
      <c r="O105" s="274"/>
      <c r="P105" s="274"/>
      <c r="Q105" s="274"/>
      <c r="R105" s="274"/>
    </row>
    <row r="106" spans="8:18" ht="15.75" customHeight="1" x14ac:dyDescent="0.25">
      <c r="K106" s="231"/>
    </row>
    <row r="107" spans="8:18" ht="15.75" customHeight="1" x14ac:dyDescent="0.25"/>
    <row r="108" spans="8:18" ht="15.75" customHeight="1" x14ac:dyDescent="0.25">
      <c r="K108" s="275">
        <f>+M73*K101+M75*K102+K103+M92*K104</f>
        <v>127.2831</v>
      </c>
    </row>
    <row r="109" spans="8:18" ht="15.75" customHeight="1" x14ac:dyDescent="0.25"/>
    <row r="110" spans="8:18" ht="15.75" customHeight="1" x14ac:dyDescent="0.25"/>
    <row r="111" spans="8:18" ht="15.75" customHeight="1" x14ac:dyDescent="0.25"/>
    <row r="112" spans="8:1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O1000"/>
  <sheetViews>
    <sheetView showGridLines="0" topLeftCell="A19" workbookViewId="0">
      <selection activeCell="F41" sqref="F41:F43"/>
    </sheetView>
  </sheetViews>
  <sheetFormatPr baseColWidth="10" defaultColWidth="14.42578125" defaultRowHeight="15" customHeight="1" x14ac:dyDescent="0.25"/>
  <cols>
    <col min="1" max="1" width="10.7109375" customWidth="1"/>
    <col min="2" max="2" width="15" customWidth="1"/>
    <col min="3" max="6" width="10.7109375" customWidth="1"/>
    <col min="7" max="7" width="12" customWidth="1"/>
    <col min="8" max="26" width="10.7109375" customWidth="1"/>
  </cols>
  <sheetData>
    <row r="1" spans="2:8" x14ac:dyDescent="0.25">
      <c r="G1" s="24" t="s">
        <v>554</v>
      </c>
    </row>
    <row r="2" spans="2:8" x14ac:dyDescent="0.25">
      <c r="G2" s="276" t="s">
        <v>556</v>
      </c>
    </row>
    <row r="3" spans="2:8" x14ac:dyDescent="0.25">
      <c r="G3" s="277" t="s">
        <v>562</v>
      </c>
    </row>
    <row r="4" spans="2:8" x14ac:dyDescent="0.25">
      <c r="B4" s="278" t="str">
        <f t="array" ref="B4:D19">+COMM!X20:Z35</f>
        <v>NRG</v>
      </c>
      <c r="C4" s="279">
        <v>0</v>
      </c>
      <c r="D4" s="279" t="str">
        <v>DGSL</v>
      </c>
      <c r="F4" s="12" t="s">
        <v>948</v>
      </c>
    </row>
    <row r="5" spans="2:8" x14ac:dyDescent="0.25">
      <c r="B5" s="278">
        <v>0</v>
      </c>
      <c r="C5" s="279">
        <v>0</v>
      </c>
      <c r="D5" s="279" t="str">
        <v>DDSL</v>
      </c>
      <c r="F5" s="12" t="s">
        <v>64</v>
      </c>
    </row>
    <row r="6" spans="2:8" x14ac:dyDescent="0.25">
      <c r="B6" s="278">
        <v>0</v>
      </c>
      <c r="C6" s="279">
        <v>0</v>
      </c>
      <c r="D6" s="279" t="str">
        <v>DKER</v>
      </c>
      <c r="F6" s="12" t="s">
        <v>66</v>
      </c>
      <c r="G6" s="222">
        <f>+'Bases de Cálculo'!G12</f>
        <v>87.735056011523966</v>
      </c>
      <c r="H6" s="279">
        <v>87.735056011523966</v>
      </c>
    </row>
    <row r="7" spans="2:8" x14ac:dyDescent="0.25">
      <c r="B7" s="278">
        <v>0</v>
      </c>
      <c r="C7" s="279">
        <v>0</v>
      </c>
      <c r="D7" s="279" t="str">
        <v>DLPG</v>
      </c>
      <c r="F7" s="12" t="s">
        <v>67</v>
      </c>
      <c r="G7" s="222">
        <f>+'Bases de Cálculo'!G13</f>
        <v>47.28933824683137</v>
      </c>
      <c r="H7" s="279">
        <v>47.28933824683137</v>
      </c>
    </row>
    <row r="8" spans="2:8" x14ac:dyDescent="0.25">
      <c r="B8" s="278">
        <v>0</v>
      </c>
      <c r="C8" s="279">
        <v>0</v>
      </c>
      <c r="D8" s="279" t="str">
        <v>DHFO</v>
      </c>
      <c r="F8" s="12" t="s">
        <v>70</v>
      </c>
      <c r="G8" s="222">
        <f>+'Bases de Cálculo'!G14</f>
        <v>78.281203343664757</v>
      </c>
      <c r="H8" s="279">
        <v>78.281203343664757</v>
      </c>
    </row>
    <row r="9" spans="2:8" x14ac:dyDescent="0.25">
      <c r="B9" s="278">
        <v>0</v>
      </c>
      <c r="C9" s="279">
        <v>0</v>
      </c>
      <c r="D9" s="279" t="str">
        <v>DGAS</v>
      </c>
      <c r="F9" s="12" t="s">
        <v>942</v>
      </c>
      <c r="G9" s="222">
        <f>+'Bases de Cálculo'!G6</f>
        <v>55.539114956987063</v>
      </c>
      <c r="H9" s="279">
        <v>55.539114956987063</v>
      </c>
    </row>
    <row r="10" spans="2:8" x14ac:dyDescent="0.25">
      <c r="B10" s="278">
        <v>0</v>
      </c>
      <c r="C10" s="279">
        <v>0</v>
      </c>
      <c r="D10" s="279" t="str">
        <v>DLOIL</v>
      </c>
      <c r="F10" s="12" t="s">
        <v>75</v>
      </c>
      <c r="G10" s="222">
        <f>+'Bases de Cálculo'!G7</f>
        <v>77.841777688967127</v>
      </c>
      <c r="H10" s="279">
        <v>77.841777688967127</v>
      </c>
    </row>
    <row r="11" spans="2:8" x14ac:dyDescent="0.25">
      <c r="B11" s="278">
        <v>0</v>
      </c>
      <c r="C11" s="279">
        <v>0</v>
      </c>
      <c r="D11" s="279" t="str">
        <v>DMOIL</v>
      </c>
      <c r="F11" s="12" t="s">
        <v>78</v>
      </c>
      <c r="G11" s="222">
        <v>77.841777688967127</v>
      </c>
      <c r="H11" s="279">
        <v>77.841777688967127</v>
      </c>
    </row>
    <row r="12" spans="2:8" x14ac:dyDescent="0.25">
      <c r="B12" s="278">
        <v>0</v>
      </c>
      <c r="C12" s="279">
        <v>0</v>
      </c>
      <c r="D12" s="279" t="str">
        <v>DHOIL</v>
      </c>
      <c r="F12" s="12" t="s">
        <v>80</v>
      </c>
      <c r="G12" s="222">
        <v>77.841777688967127</v>
      </c>
      <c r="H12" s="279">
        <v>77.841777688967127</v>
      </c>
    </row>
    <row r="13" spans="2:8" x14ac:dyDescent="0.25">
      <c r="B13" s="278">
        <v>0</v>
      </c>
      <c r="C13" s="279">
        <v>0</v>
      </c>
      <c r="D13" s="279" t="str">
        <v>DH2</v>
      </c>
      <c r="F13" s="12" t="s">
        <v>82</v>
      </c>
      <c r="G13" s="222">
        <v>0</v>
      </c>
      <c r="H13" s="279">
        <v>0</v>
      </c>
    </row>
    <row r="14" spans="2:8" x14ac:dyDescent="0.25">
      <c r="B14" s="278" t="str">
        <v>DEM</v>
      </c>
      <c r="C14" s="279">
        <v>0</v>
      </c>
      <c r="D14" s="279" t="str">
        <v>DAGR</v>
      </c>
      <c r="F14" s="12" t="str">
        <f>+D19</f>
        <v>DAVG</v>
      </c>
      <c r="G14" s="222">
        <f>+'Bases de Cálculo'!G24</f>
        <v>56.337812381502502</v>
      </c>
      <c r="H14" s="279">
        <v>56.337812381502502</v>
      </c>
    </row>
    <row r="15" spans="2:8" x14ac:dyDescent="0.25">
      <c r="B15" s="278">
        <v>0</v>
      </c>
      <c r="C15" s="279">
        <v>0</v>
      </c>
      <c r="D15" s="279" t="str">
        <v>DTER</v>
      </c>
    </row>
    <row r="16" spans="2:8" x14ac:dyDescent="0.25">
      <c r="B16" s="278">
        <v>0</v>
      </c>
      <c r="C16" s="279">
        <v>0</v>
      </c>
      <c r="D16" s="279" t="str">
        <v>DRSD</v>
      </c>
      <c r="F16" s="12" t="s">
        <v>981</v>
      </c>
      <c r="G16" s="222">
        <v>0.16600000000000001</v>
      </c>
      <c r="H16" s="12" t="s">
        <v>982</v>
      </c>
    </row>
    <row r="17" spans="2:15" x14ac:dyDescent="0.25">
      <c r="B17" s="278">
        <v>0</v>
      </c>
      <c r="C17" s="279">
        <v>0</v>
      </c>
      <c r="D17" s="279" t="str">
        <v>DIND</v>
      </c>
      <c r="F17" s="12" t="s">
        <v>981</v>
      </c>
      <c r="G17" s="280">
        <f>+(G16/1000000)</f>
        <v>1.66E-7</v>
      </c>
      <c r="H17" s="12" t="s">
        <v>983</v>
      </c>
    </row>
    <row r="18" spans="2:15" x14ac:dyDescent="0.25">
      <c r="B18" s="278">
        <v>0</v>
      </c>
      <c r="C18" s="279">
        <v>0</v>
      </c>
      <c r="D18" s="279" t="str">
        <v>DTRA</v>
      </c>
      <c r="F18" s="12" t="s">
        <v>981</v>
      </c>
      <c r="G18" s="12">
        <f>+G17*(1000000)</f>
        <v>0.16600000000000001</v>
      </c>
      <c r="H18" s="12" t="s">
        <v>984</v>
      </c>
    </row>
    <row r="19" spans="2:15" x14ac:dyDescent="0.25">
      <c r="B19" s="278" t="str">
        <v>NRG</v>
      </c>
      <c r="C19" s="279">
        <v>0</v>
      </c>
      <c r="D19" s="279" t="str">
        <v>DAVG</v>
      </c>
      <c r="F19" s="281" t="s">
        <v>981</v>
      </c>
      <c r="G19" s="281">
        <f>+G18/0.0036</f>
        <v>46.111111111111114</v>
      </c>
      <c r="H19" s="281" t="s">
        <v>985</v>
      </c>
    </row>
    <row r="21" spans="2:15" ht="15.75" customHeight="1" x14ac:dyDescent="0.3">
      <c r="B21" s="282" t="s">
        <v>986</v>
      </c>
    </row>
    <row r="22" spans="2:15" ht="15.75" customHeight="1" x14ac:dyDescent="0.25"/>
    <row r="23" spans="2:15" ht="15.75" customHeight="1" x14ac:dyDescent="0.25">
      <c r="B23" s="283" t="s">
        <v>987</v>
      </c>
    </row>
    <row r="24" spans="2:15" ht="15.75" customHeight="1" x14ac:dyDescent="0.25">
      <c r="B24" s="284" t="s">
        <v>43</v>
      </c>
      <c r="C24" s="285" t="s">
        <v>948</v>
      </c>
      <c r="D24" s="285" t="s">
        <v>64</v>
      </c>
      <c r="E24" s="285" t="s">
        <v>123</v>
      </c>
      <c r="F24" s="285" t="s">
        <v>119</v>
      </c>
      <c r="G24" s="285" t="s">
        <v>66</v>
      </c>
      <c r="H24" s="285" t="s">
        <v>67</v>
      </c>
      <c r="I24" s="285" t="s">
        <v>70</v>
      </c>
      <c r="J24" s="285" t="s">
        <v>942</v>
      </c>
      <c r="K24" s="285" t="s">
        <v>75</v>
      </c>
      <c r="L24" s="285" t="s">
        <v>78</v>
      </c>
      <c r="M24" s="285" t="s">
        <v>80</v>
      </c>
      <c r="N24" s="285" t="s">
        <v>82</v>
      </c>
      <c r="O24" s="285" t="s">
        <v>114</v>
      </c>
    </row>
    <row r="25" spans="2:15" ht="15.75" customHeight="1" x14ac:dyDescent="0.25">
      <c r="B25" s="211" t="s">
        <v>935</v>
      </c>
      <c r="C25" s="212" t="s">
        <v>556</v>
      </c>
      <c r="D25" s="212" t="s">
        <v>556</v>
      </c>
      <c r="E25" s="212" t="s">
        <v>556</v>
      </c>
      <c r="F25" s="212" t="s">
        <v>556</v>
      </c>
      <c r="G25" s="212" t="s">
        <v>556</v>
      </c>
      <c r="H25" s="212" t="s">
        <v>556</v>
      </c>
      <c r="I25" s="212" t="s">
        <v>556</v>
      </c>
      <c r="J25" s="212" t="s">
        <v>556</v>
      </c>
      <c r="K25" s="212" t="s">
        <v>556</v>
      </c>
      <c r="L25" s="212" t="s">
        <v>556</v>
      </c>
      <c r="M25" s="212" t="s">
        <v>556</v>
      </c>
      <c r="N25" s="212" t="s">
        <v>556</v>
      </c>
      <c r="O25" s="212" t="s">
        <v>556</v>
      </c>
    </row>
    <row r="26" spans="2:15" ht="15.75" customHeight="1" x14ac:dyDescent="0.25">
      <c r="B26" s="12" t="str">
        <f>+COMM!AK43</f>
        <v>CO2e-Scope3</v>
      </c>
      <c r="C26" s="286">
        <f>+'Bases de Cálculo'!G10</f>
        <v>69.193827140333724</v>
      </c>
      <c r="D26" s="286">
        <f>+'Bases de Cálculo'!G11</f>
        <v>75.166375708662926</v>
      </c>
      <c r="E26" s="286">
        <f>+'Bases de Cálculo'!G15</f>
        <v>84.75811612074672</v>
      </c>
      <c r="F26" s="286">
        <f>+'Bases de Cálculo'!G16</f>
        <v>54.806487022879928</v>
      </c>
      <c r="G26" s="286">
        <v>87.735056011523966</v>
      </c>
      <c r="H26" s="286">
        <v>47.28933824683137</v>
      </c>
      <c r="I26" s="286">
        <v>78.281203343664757</v>
      </c>
      <c r="J26" s="286">
        <v>55.539114956987063</v>
      </c>
      <c r="K26" s="286">
        <v>77.841777688967127</v>
      </c>
      <c r="L26" s="286">
        <v>77.841777688967127</v>
      </c>
      <c r="M26" s="286">
        <v>77.841777688967127</v>
      </c>
      <c r="N26" s="287">
        <v>0</v>
      </c>
      <c r="O26" s="286">
        <v>56.337812381502502</v>
      </c>
    </row>
    <row r="27" spans="2:15" ht="15.75" customHeight="1" x14ac:dyDescent="0.25"/>
    <row r="28" spans="2:15" ht="15.75" customHeight="1" x14ac:dyDescent="0.25"/>
    <row r="29" spans="2:15" ht="15.75" customHeight="1" x14ac:dyDescent="0.25"/>
    <row r="30" spans="2:15" ht="15.75" customHeight="1" x14ac:dyDescent="0.25"/>
    <row r="31" spans="2:15" ht="15.75" customHeight="1" x14ac:dyDescent="0.35">
      <c r="B31" s="288" t="s">
        <v>988</v>
      </c>
    </row>
    <row r="32" spans="2:15" ht="15.75" customHeight="1" x14ac:dyDescent="0.25"/>
    <row r="33" spans="2:6" ht="15.75" customHeight="1" x14ac:dyDescent="0.25">
      <c r="B33" s="283" t="s">
        <v>987</v>
      </c>
    </row>
    <row r="34" spans="2:6" ht="15.75" customHeight="1" x14ac:dyDescent="0.25">
      <c r="B34" s="284" t="s">
        <v>43</v>
      </c>
      <c r="C34" s="285" t="str">
        <f>+'4.1 Ref_Cart'!D46</f>
        <v>GAS-REF1</v>
      </c>
      <c r="D34" s="285" t="str">
        <f>+'4.1 Ref_Cart'!D47</f>
        <v>HFO-REF1</v>
      </c>
      <c r="E34" s="285" t="str">
        <f>+'4.1 Ref_Cart'!O77</f>
        <v>RFG1</v>
      </c>
      <c r="F34" s="285"/>
    </row>
    <row r="35" spans="2:6" ht="15.75" customHeight="1" x14ac:dyDescent="0.25">
      <c r="B35" s="211" t="s">
        <v>935</v>
      </c>
      <c r="C35" s="212" t="s">
        <v>556</v>
      </c>
      <c r="D35" s="212" t="s">
        <v>556</v>
      </c>
      <c r="E35" s="212" t="s">
        <v>556</v>
      </c>
      <c r="F35" s="212"/>
    </row>
    <row r="36" spans="2:6" ht="15.75" customHeight="1" x14ac:dyDescent="0.25">
      <c r="B36" s="12" t="str">
        <f>+COMM!AK44</f>
        <v>CO2e-REF1</v>
      </c>
      <c r="C36" s="286">
        <f>+G9</f>
        <v>55.539114956987063</v>
      </c>
      <c r="D36" s="286">
        <f>+G8</f>
        <v>78.281203343664757</v>
      </c>
      <c r="E36" s="286">
        <f>+'Bases de Cálculo'!G25</f>
        <v>40.784041574326501</v>
      </c>
      <c r="F36" s="286"/>
    </row>
    <row r="37" spans="2:6" ht="15.75" customHeight="1" x14ac:dyDescent="0.25"/>
    <row r="38" spans="2:6" ht="15.75" customHeight="1" x14ac:dyDescent="0.25"/>
    <row r="39" spans="2:6" ht="15.75" customHeight="1" x14ac:dyDescent="0.25"/>
    <row r="40" spans="2:6" ht="15.75" customHeight="1" x14ac:dyDescent="0.25">
      <c r="B40" s="283" t="s">
        <v>987</v>
      </c>
    </row>
    <row r="41" spans="2:6" ht="15.75" customHeight="1" x14ac:dyDescent="0.25">
      <c r="B41" s="284" t="s">
        <v>43</v>
      </c>
      <c r="C41" s="285" t="s">
        <v>989</v>
      </c>
      <c r="D41" s="285" t="s">
        <v>990</v>
      </c>
      <c r="E41" s="285" t="s">
        <v>125</v>
      </c>
      <c r="F41" s="285"/>
    </row>
    <row r="42" spans="2:6" ht="15.75" customHeight="1" x14ac:dyDescent="0.25">
      <c r="B42" s="211" t="s">
        <v>935</v>
      </c>
      <c r="C42" s="212" t="s">
        <v>556</v>
      </c>
      <c r="D42" s="212" t="s">
        <v>556</v>
      </c>
      <c r="E42" s="212" t="s">
        <v>556</v>
      </c>
      <c r="F42" s="212"/>
    </row>
    <row r="43" spans="2:6" ht="15.75" customHeight="1" x14ac:dyDescent="0.25">
      <c r="B43" s="12" t="s">
        <v>137</v>
      </c>
      <c r="C43" s="286">
        <v>55.539114956987063</v>
      </c>
      <c r="D43" s="286">
        <v>78.281203343664757</v>
      </c>
      <c r="E43" s="286">
        <v>40.784041574326501</v>
      </c>
      <c r="F43" s="286"/>
    </row>
    <row r="44" spans="2:6" ht="15.75" customHeight="1" x14ac:dyDescent="0.25"/>
    <row r="45" spans="2:6" ht="15.75" customHeight="1" x14ac:dyDescent="0.25"/>
    <row r="46" spans="2:6" ht="15.75" customHeight="1" x14ac:dyDescent="0.25"/>
    <row r="47" spans="2:6" ht="15.75" customHeight="1" x14ac:dyDescent="0.25"/>
    <row r="48" spans="2:6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BF9000"/>
  </sheetPr>
  <dimension ref="B1:Q1000"/>
  <sheetViews>
    <sheetView showGridLines="0" topLeftCell="A19" workbookViewId="0"/>
  </sheetViews>
  <sheetFormatPr baseColWidth="10" defaultColWidth="14.42578125" defaultRowHeight="15" customHeight="1" x14ac:dyDescent="0.25"/>
  <cols>
    <col min="1" max="1" width="10.7109375" customWidth="1"/>
    <col min="2" max="2" width="13.5703125" customWidth="1"/>
    <col min="3" max="3" width="25.28515625" customWidth="1"/>
    <col min="4" max="9" width="10.7109375" customWidth="1"/>
    <col min="10" max="10" width="11.42578125" customWidth="1"/>
    <col min="11" max="11" width="14.5703125" customWidth="1"/>
    <col min="12" max="26" width="10.7109375" customWidth="1"/>
  </cols>
  <sheetData>
    <row r="1" spans="2:10" x14ac:dyDescent="0.25">
      <c r="B1" s="70"/>
    </row>
    <row r="2" spans="2:10" x14ac:dyDescent="0.25">
      <c r="B2" s="70"/>
    </row>
    <row r="3" spans="2:10" x14ac:dyDescent="0.25">
      <c r="B3" s="70"/>
      <c r="C3" s="12" t="s">
        <v>992</v>
      </c>
    </row>
    <row r="4" spans="2:10" x14ac:dyDescent="0.25">
      <c r="B4" s="70"/>
      <c r="C4" s="70"/>
      <c r="J4" s="12" t="s">
        <v>993</v>
      </c>
    </row>
    <row r="5" spans="2:10" x14ac:dyDescent="0.25">
      <c r="B5" s="289"/>
      <c r="C5" s="202"/>
      <c r="D5" s="838" t="s">
        <v>994</v>
      </c>
      <c r="E5" s="812"/>
      <c r="F5" s="812"/>
    </row>
    <row r="6" spans="2:10" x14ac:dyDescent="0.25">
      <c r="B6" s="289"/>
      <c r="C6" s="290"/>
      <c r="D6" s="290" t="s">
        <v>995</v>
      </c>
      <c r="E6" s="290" t="s">
        <v>996</v>
      </c>
      <c r="F6" s="290" t="s">
        <v>997</v>
      </c>
    </row>
    <row r="7" spans="2:10" x14ac:dyDescent="0.25">
      <c r="B7" s="839" t="s">
        <v>998</v>
      </c>
      <c r="C7" s="290" t="s">
        <v>999</v>
      </c>
      <c r="D7" s="291">
        <v>62846</v>
      </c>
      <c r="E7" s="291">
        <v>105000</v>
      </c>
      <c r="F7" s="291">
        <f t="shared" ref="F7:F9" si="0">+E7+D7</f>
        <v>167846</v>
      </c>
    </row>
    <row r="8" spans="2:10" x14ac:dyDescent="0.25">
      <c r="B8" s="812"/>
      <c r="C8" s="290" t="s">
        <v>1000</v>
      </c>
      <c r="D8" s="291">
        <v>146640</v>
      </c>
      <c r="E8" s="291">
        <v>45000</v>
      </c>
      <c r="F8" s="291">
        <f t="shared" si="0"/>
        <v>191640</v>
      </c>
    </row>
    <row r="9" spans="2:10" x14ac:dyDescent="0.25">
      <c r="B9" s="289"/>
      <c r="C9" s="290" t="s">
        <v>997</v>
      </c>
      <c r="D9" s="291">
        <f t="shared" ref="D9:E9" si="1">+SUM(D7:D8)</f>
        <v>209486</v>
      </c>
      <c r="E9" s="291">
        <f t="shared" si="1"/>
        <v>150000</v>
      </c>
      <c r="F9" s="291">
        <f t="shared" si="0"/>
        <v>359486</v>
      </c>
    </row>
    <row r="10" spans="2:10" x14ac:dyDescent="0.25">
      <c r="B10" s="70" t="s">
        <v>1001</v>
      </c>
      <c r="C10" s="290" t="s">
        <v>1002</v>
      </c>
      <c r="E10" s="292">
        <v>0.6</v>
      </c>
      <c r="F10" s="293"/>
    </row>
    <row r="11" spans="2:10" x14ac:dyDescent="0.25">
      <c r="B11" s="70"/>
      <c r="C11" s="290" t="s">
        <v>1003</v>
      </c>
      <c r="D11" s="294"/>
      <c r="E11" s="292">
        <v>0.25</v>
      </c>
      <c r="F11" s="293"/>
    </row>
    <row r="12" spans="2:10" x14ac:dyDescent="0.25">
      <c r="B12" s="70"/>
      <c r="C12" s="290" t="s">
        <v>1004</v>
      </c>
      <c r="D12" s="292"/>
      <c r="E12" s="295">
        <v>0.15</v>
      </c>
    </row>
    <row r="13" spans="2:10" x14ac:dyDescent="0.25">
      <c r="B13" s="70"/>
    </row>
    <row r="14" spans="2:10" x14ac:dyDescent="0.25">
      <c r="B14" s="70"/>
      <c r="C14" s="214"/>
      <c r="D14" s="214" t="s">
        <v>995</v>
      </c>
      <c r="E14" s="214" t="s">
        <v>996</v>
      </c>
      <c r="F14" s="214" t="s">
        <v>997</v>
      </c>
    </row>
    <row r="15" spans="2:10" x14ac:dyDescent="0.25">
      <c r="B15" s="70" t="s">
        <v>998</v>
      </c>
      <c r="C15" s="214" t="s">
        <v>1005</v>
      </c>
      <c r="D15" s="292">
        <f t="shared" ref="D15:F15" si="2">+D8/D9</f>
        <v>0.69999904528226231</v>
      </c>
      <c r="E15" s="292">
        <f t="shared" si="2"/>
        <v>0.3</v>
      </c>
      <c r="F15" s="292">
        <f t="shared" si="2"/>
        <v>0.53309447377644748</v>
      </c>
    </row>
    <row r="16" spans="2:10" x14ac:dyDescent="0.25">
      <c r="B16" s="70" t="s">
        <v>1006</v>
      </c>
      <c r="C16" s="14" t="s">
        <v>1007</v>
      </c>
      <c r="D16" s="295">
        <v>0.7</v>
      </c>
      <c r="E16" s="295">
        <f>45000/150000</f>
        <v>0.3</v>
      </c>
    </row>
    <row r="17" spans="2:5" x14ac:dyDescent="0.25">
      <c r="B17" s="70"/>
    </row>
    <row r="18" spans="2:5" x14ac:dyDescent="0.25">
      <c r="B18" s="70"/>
    </row>
    <row r="19" spans="2:5" x14ac:dyDescent="0.25">
      <c r="B19" s="70"/>
    </row>
    <row r="20" spans="2:5" x14ac:dyDescent="0.25">
      <c r="B20" s="70"/>
      <c r="C20" s="14"/>
      <c r="D20" s="14" t="s">
        <v>995</v>
      </c>
      <c r="E20" s="12" t="s">
        <v>996</v>
      </c>
    </row>
    <row r="21" spans="2:5" ht="15.75" customHeight="1" x14ac:dyDescent="0.25">
      <c r="B21" s="70"/>
      <c r="C21" s="14" t="s">
        <v>1008</v>
      </c>
      <c r="D21" s="14">
        <v>250</v>
      </c>
      <c r="E21" s="14">
        <v>150</v>
      </c>
    </row>
    <row r="22" spans="2:5" ht="15.75" customHeight="1" x14ac:dyDescent="0.25">
      <c r="B22" s="70"/>
    </row>
    <row r="23" spans="2:5" ht="15.75" customHeight="1" x14ac:dyDescent="0.25">
      <c r="B23" s="70"/>
    </row>
    <row r="24" spans="2:5" ht="15.75" customHeight="1" x14ac:dyDescent="0.25">
      <c r="B24" s="70"/>
      <c r="D24" s="14" t="s">
        <v>995</v>
      </c>
      <c r="E24" s="12" t="s">
        <v>996</v>
      </c>
    </row>
    <row r="25" spans="2:5" ht="15.75" customHeight="1" x14ac:dyDescent="0.25">
      <c r="B25" s="70" t="s">
        <v>1009</v>
      </c>
      <c r="C25" s="12" t="s">
        <v>1010</v>
      </c>
      <c r="D25" s="266">
        <v>0.83</v>
      </c>
      <c r="E25" s="266">
        <v>0.93700000000000006</v>
      </c>
    </row>
    <row r="26" spans="2:5" ht="15.75" customHeight="1" x14ac:dyDescent="0.25">
      <c r="B26" s="70" t="s">
        <v>1001</v>
      </c>
      <c r="D26" s="293">
        <v>220000</v>
      </c>
      <c r="E26" s="293">
        <v>150000</v>
      </c>
    </row>
    <row r="27" spans="2:5" ht="15.75" customHeight="1" x14ac:dyDescent="0.25">
      <c r="B27" s="70"/>
    </row>
    <row r="28" spans="2:5" ht="15.75" customHeight="1" x14ac:dyDescent="0.25">
      <c r="B28" s="70"/>
      <c r="D28" s="14" t="s">
        <v>995</v>
      </c>
      <c r="E28" s="12" t="s">
        <v>996</v>
      </c>
    </row>
    <row r="29" spans="2:5" ht="15.75" customHeight="1" x14ac:dyDescent="0.25">
      <c r="B29" s="70" t="s">
        <v>1009</v>
      </c>
      <c r="C29" s="12" t="s">
        <v>1011</v>
      </c>
      <c r="D29" s="228">
        <v>0.61</v>
      </c>
      <c r="E29" s="228">
        <v>0.97</v>
      </c>
    </row>
    <row r="30" spans="2:5" ht="15.75" customHeight="1" x14ac:dyDescent="0.25">
      <c r="B30" s="70"/>
      <c r="D30" s="14" t="s">
        <v>995</v>
      </c>
      <c r="E30" s="12" t="s">
        <v>996</v>
      </c>
    </row>
    <row r="31" spans="2:5" ht="15.75" customHeight="1" x14ac:dyDescent="0.25">
      <c r="B31" s="70" t="s">
        <v>1012</v>
      </c>
      <c r="C31" s="12" t="s">
        <v>1013</v>
      </c>
      <c r="D31" s="12">
        <v>180000</v>
      </c>
      <c r="E31" s="12">
        <v>130000</v>
      </c>
    </row>
    <row r="32" spans="2:5" ht="15.75" customHeight="1" x14ac:dyDescent="0.25">
      <c r="B32" s="70"/>
      <c r="C32" s="12" t="s">
        <v>1014</v>
      </c>
      <c r="D32" s="12">
        <v>222000</v>
      </c>
      <c r="E32" s="12">
        <v>165000</v>
      </c>
    </row>
    <row r="33" spans="2:9" ht="15.75" customHeight="1" x14ac:dyDescent="0.25">
      <c r="B33" s="70"/>
      <c r="C33" s="12" t="s">
        <v>1015</v>
      </c>
      <c r="D33" s="296">
        <f t="shared" ref="D33:E33" si="3">+D31/D32</f>
        <v>0.81081081081081086</v>
      </c>
      <c r="E33" s="296">
        <f t="shared" si="3"/>
        <v>0.78787878787878785</v>
      </c>
    </row>
    <row r="34" spans="2:9" ht="15.75" customHeight="1" x14ac:dyDescent="0.25">
      <c r="B34" s="70" t="s">
        <v>1009</v>
      </c>
      <c r="C34" s="12" t="s">
        <v>1013</v>
      </c>
      <c r="D34" s="12">
        <v>209000</v>
      </c>
      <c r="E34" s="12">
        <v>147888</v>
      </c>
    </row>
    <row r="35" spans="2:9" ht="15.75" customHeight="1" x14ac:dyDescent="0.25">
      <c r="B35" s="70"/>
      <c r="C35" s="12" t="s">
        <v>1014</v>
      </c>
      <c r="D35" s="12">
        <v>211820</v>
      </c>
      <c r="E35" s="12">
        <v>150000</v>
      </c>
    </row>
    <row r="36" spans="2:9" ht="15.75" customHeight="1" x14ac:dyDescent="0.25">
      <c r="B36" s="70"/>
      <c r="C36" s="12" t="s">
        <v>1015</v>
      </c>
      <c r="D36" s="296">
        <f t="shared" ref="D36:E36" si="4">+D34/D35</f>
        <v>0.98668680955528276</v>
      </c>
      <c r="E36" s="296">
        <f t="shared" si="4"/>
        <v>0.98592000000000002</v>
      </c>
    </row>
    <row r="37" spans="2:9" ht="15.75" customHeight="1" x14ac:dyDescent="0.25">
      <c r="B37" s="70"/>
    </row>
    <row r="38" spans="2:9" ht="15.75" customHeight="1" x14ac:dyDescent="0.25">
      <c r="B38" s="70"/>
    </row>
    <row r="39" spans="2:9" ht="15.75" customHeight="1" x14ac:dyDescent="0.25">
      <c r="B39" s="70"/>
      <c r="D39" s="14" t="s">
        <v>995</v>
      </c>
      <c r="E39" s="12" t="s">
        <v>996</v>
      </c>
    </row>
    <row r="40" spans="2:9" ht="15.75" customHeight="1" x14ac:dyDescent="0.25">
      <c r="B40" s="70"/>
      <c r="C40" s="12" t="s">
        <v>1016</v>
      </c>
      <c r="D40" s="12">
        <v>2027</v>
      </c>
      <c r="E40" s="12">
        <v>2026</v>
      </c>
    </row>
    <row r="41" spans="2:9" ht="15.75" customHeight="1" x14ac:dyDescent="0.25">
      <c r="B41" s="70"/>
      <c r="C41" s="12" t="s">
        <v>1017</v>
      </c>
      <c r="D41" s="12">
        <v>2032</v>
      </c>
      <c r="E41" s="12">
        <v>2029</v>
      </c>
    </row>
    <row r="42" spans="2:9" ht="15.75" customHeight="1" x14ac:dyDescent="0.25">
      <c r="B42" s="70"/>
    </row>
    <row r="43" spans="2:9" ht="15.75" customHeight="1" x14ac:dyDescent="0.25">
      <c r="B43" s="70"/>
    </row>
    <row r="44" spans="2:9" ht="15.75" customHeight="1" x14ac:dyDescent="0.25">
      <c r="B44" s="70"/>
    </row>
    <row r="45" spans="2:9" ht="15.75" customHeight="1" x14ac:dyDescent="0.25">
      <c r="B45" s="840" t="s">
        <v>1006</v>
      </c>
      <c r="C45" s="12" t="s">
        <v>1018</v>
      </c>
    </row>
    <row r="46" spans="2:9" ht="15.75" customHeight="1" x14ac:dyDescent="0.25">
      <c r="B46" s="812"/>
      <c r="D46" s="14" t="s">
        <v>995</v>
      </c>
      <c r="E46" s="12" t="s">
        <v>996</v>
      </c>
      <c r="F46" s="12" t="s">
        <v>1019</v>
      </c>
    </row>
    <row r="47" spans="2:9" ht="15.75" customHeight="1" x14ac:dyDescent="0.25">
      <c r="B47" s="812"/>
      <c r="C47" s="12" t="s">
        <v>60</v>
      </c>
      <c r="D47" s="293">
        <v>62000</v>
      </c>
      <c r="E47" s="298">
        <v>27000</v>
      </c>
      <c r="F47" s="293">
        <v>113000</v>
      </c>
      <c r="G47" s="293"/>
      <c r="I47" s="293"/>
    </row>
    <row r="48" spans="2:9" ht="15.75" customHeight="1" x14ac:dyDescent="0.25">
      <c r="B48" s="812"/>
      <c r="C48" s="12" t="s">
        <v>63</v>
      </c>
      <c r="D48" s="293">
        <v>64000</v>
      </c>
      <c r="E48" s="298">
        <v>77000</v>
      </c>
      <c r="F48" s="293">
        <v>113300</v>
      </c>
      <c r="H48" s="293"/>
      <c r="I48" s="293"/>
    </row>
    <row r="49" spans="2:15" ht="15.75" customHeight="1" x14ac:dyDescent="0.25">
      <c r="B49" s="812"/>
      <c r="C49" s="12" t="s">
        <v>1020</v>
      </c>
      <c r="D49" s="293">
        <v>21000</v>
      </c>
      <c r="E49" s="298">
        <v>7000</v>
      </c>
      <c r="F49" s="293">
        <v>36200</v>
      </c>
      <c r="H49" s="293"/>
      <c r="I49" s="293"/>
    </row>
    <row r="50" spans="2:15" ht="15.75" customHeight="1" x14ac:dyDescent="0.25">
      <c r="B50" s="812"/>
      <c r="C50" s="12" t="s">
        <v>1021</v>
      </c>
      <c r="D50" s="293">
        <v>62000</v>
      </c>
      <c r="E50" s="298">
        <v>13800</v>
      </c>
      <c r="F50" s="293">
        <v>92888</v>
      </c>
      <c r="H50" s="293"/>
    </row>
    <row r="51" spans="2:15" ht="15.75" customHeight="1" x14ac:dyDescent="0.25">
      <c r="B51" s="297"/>
      <c r="D51" s="293">
        <f t="shared" ref="D51:E51" si="5">+SUM(D47:D50)</f>
        <v>209000</v>
      </c>
      <c r="E51" s="293">
        <f t="shared" si="5"/>
        <v>124800</v>
      </c>
      <c r="F51" s="293"/>
      <c r="H51" s="293"/>
    </row>
    <row r="52" spans="2:15" ht="15.75" customHeight="1" x14ac:dyDescent="0.25">
      <c r="B52" s="297"/>
      <c r="C52" s="12" t="s">
        <v>1022</v>
      </c>
      <c r="D52" s="293"/>
      <c r="E52" s="293">
        <f>150000*0.937</f>
        <v>140550</v>
      </c>
      <c r="F52" s="293"/>
      <c r="H52" s="299">
        <f>+E51/E52</f>
        <v>0.88794023479188899</v>
      </c>
    </row>
    <row r="53" spans="2:15" ht="15.75" customHeight="1" x14ac:dyDescent="0.25">
      <c r="B53" s="297"/>
      <c r="D53" s="293"/>
      <c r="E53" s="293"/>
      <c r="F53" s="293"/>
      <c r="H53" s="293"/>
    </row>
    <row r="54" spans="2:15" ht="15.75" customHeight="1" x14ac:dyDescent="0.25">
      <c r="B54" s="70"/>
      <c r="D54" s="14"/>
      <c r="E54" s="12" t="s">
        <v>996</v>
      </c>
      <c r="H54" s="293"/>
    </row>
    <row r="55" spans="2:15" ht="15.75" customHeight="1" x14ac:dyDescent="0.25">
      <c r="B55" s="70" t="s">
        <v>1023</v>
      </c>
      <c r="C55" s="12" t="s">
        <v>60</v>
      </c>
      <c r="D55" s="293">
        <v>56700</v>
      </c>
      <c r="E55" s="298">
        <v>29000</v>
      </c>
      <c r="F55" s="293"/>
      <c r="H55" s="293"/>
    </row>
    <row r="56" spans="2:15" ht="15.75" customHeight="1" x14ac:dyDescent="0.25">
      <c r="B56" s="70"/>
      <c r="C56" s="12" t="s">
        <v>63</v>
      </c>
      <c r="D56" s="293">
        <v>58000</v>
      </c>
      <c r="E56" s="298">
        <v>75000</v>
      </c>
      <c r="F56" s="293"/>
      <c r="H56" s="293"/>
    </row>
    <row r="57" spans="2:15" ht="15.75" customHeight="1" x14ac:dyDescent="0.25">
      <c r="B57" s="70"/>
      <c r="C57" s="12" t="s">
        <v>1020</v>
      </c>
      <c r="D57" s="293">
        <v>23000</v>
      </c>
      <c r="E57" s="298">
        <v>9000</v>
      </c>
      <c r="F57" s="293"/>
      <c r="H57" s="293"/>
    </row>
    <row r="58" spans="2:15" ht="15.75" customHeight="1" x14ac:dyDescent="0.25">
      <c r="B58" s="70"/>
      <c r="C58" s="12" t="s">
        <v>1021</v>
      </c>
      <c r="D58" s="293"/>
      <c r="E58" s="298"/>
      <c r="F58" s="293"/>
      <c r="H58" s="293"/>
    </row>
    <row r="59" spans="2:15" ht="15.75" customHeight="1" x14ac:dyDescent="0.25">
      <c r="B59" s="70"/>
      <c r="D59" s="293"/>
      <c r="E59" s="298"/>
      <c r="F59" s="293"/>
      <c r="H59" s="293"/>
    </row>
    <row r="60" spans="2:15" ht="15.75" customHeight="1" x14ac:dyDescent="0.25">
      <c r="B60" s="70"/>
    </row>
    <row r="61" spans="2:15" ht="15.75" customHeight="1" x14ac:dyDescent="0.25">
      <c r="B61" s="70"/>
    </row>
    <row r="62" spans="2:15" ht="15.75" customHeight="1" x14ac:dyDescent="0.25">
      <c r="B62" s="300" t="s">
        <v>1006</v>
      </c>
      <c r="C62" s="301" t="s">
        <v>1024</v>
      </c>
      <c r="D62" s="302"/>
      <c r="E62" s="302"/>
      <c r="F62" s="302"/>
      <c r="G62" s="303">
        <v>209500</v>
      </c>
    </row>
    <row r="63" spans="2:15" ht="15.75" customHeight="1" x14ac:dyDescent="0.25">
      <c r="B63" s="304"/>
      <c r="D63" s="14" t="s">
        <v>995</v>
      </c>
      <c r="E63" s="12" t="s">
        <v>996</v>
      </c>
      <c r="G63" s="305"/>
    </row>
    <row r="64" spans="2:15" ht="15.75" customHeight="1" x14ac:dyDescent="0.25">
      <c r="B64" s="304"/>
      <c r="C64" s="12" t="s">
        <v>1025</v>
      </c>
      <c r="D64" s="11">
        <v>0.29599999999999999</v>
      </c>
      <c r="E64" s="228">
        <v>0.34799999999999998</v>
      </c>
      <c r="G64" s="305">
        <f t="shared" ref="G64:G67" si="6">+D64*$G$62</f>
        <v>62012</v>
      </c>
      <c r="K64" s="12" t="s">
        <v>8</v>
      </c>
      <c r="L64" s="228">
        <v>0.34799999999999998</v>
      </c>
      <c r="M64" s="12">
        <f t="shared" ref="M64:M67" si="7">+$M$68*L64</f>
        <v>0.34799999999999998</v>
      </c>
      <c r="N64" s="12" t="s">
        <v>1026</v>
      </c>
      <c r="O64" s="12">
        <f>+M64*'4.1 Ref_Cart'!E11</f>
        <v>1.8551527595955706</v>
      </c>
    </row>
    <row r="65" spans="2:17" ht="15.75" customHeight="1" x14ac:dyDescent="0.25">
      <c r="B65" s="304"/>
      <c r="C65" s="12" t="s">
        <v>63</v>
      </c>
      <c r="D65" s="11">
        <v>0.307</v>
      </c>
      <c r="E65" s="228">
        <v>0.51300000000000001</v>
      </c>
      <c r="G65" s="305">
        <f t="shared" si="6"/>
        <v>64316.5</v>
      </c>
      <c r="I65" s="12" t="s">
        <v>1027</v>
      </c>
      <c r="K65" s="12" t="s">
        <v>14</v>
      </c>
      <c r="L65" s="228">
        <v>0.51300000000000001</v>
      </c>
      <c r="M65" s="12">
        <f t="shared" si="7"/>
        <v>0.51300000000000001</v>
      </c>
      <c r="N65" s="12" t="s">
        <v>1026</v>
      </c>
      <c r="O65" s="12">
        <f>+M65*'4.1 Ref_Cart'!E12</f>
        <v>2.9091459679514378</v>
      </c>
    </row>
    <row r="66" spans="2:17" ht="15.75" customHeight="1" x14ac:dyDescent="0.25">
      <c r="B66" s="304"/>
      <c r="C66" s="12" t="s">
        <v>1020</v>
      </c>
      <c r="D66" s="11">
        <v>0.10100000000000001</v>
      </c>
      <c r="E66" s="228">
        <v>4.7E-2</v>
      </c>
      <c r="G66" s="305">
        <f t="shared" si="6"/>
        <v>21159.5</v>
      </c>
      <c r="I66" s="306" t="s">
        <v>8</v>
      </c>
      <c r="J66" s="307">
        <v>0.28962955526553558</v>
      </c>
      <c r="K66" s="12" t="s">
        <v>1028</v>
      </c>
      <c r="L66" s="228">
        <v>4.7E-2</v>
      </c>
      <c r="M66" s="12">
        <f t="shared" si="7"/>
        <v>4.7E-2</v>
      </c>
      <c r="N66" s="12" t="s">
        <v>1026</v>
      </c>
      <c r="O66" s="12">
        <f>+L66*'4.1 Ref_Cart'!F13</f>
        <v>4.1235476325416265</v>
      </c>
      <c r="Q66" s="12">
        <f>+SUM(O64:O66)</f>
        <v>8.8878463600886342</v>
      </c>
    </row>
    <row r="67" spans="2:17" ht="15.75" customHeight="1" x14ac:dyDescent="0.25">
      <c r="B67" s="304"/>
      <c r="C67" s="12" t="s">
        <v>1021</v>
      </c>
      <c r="D67" s="11">
        <v>0.29599999999999999</v>
      </c>
      <c r="E67" s="228">
        <v>9.1999999999999998E-2</v>
      </c>
      <c r="G67" s="305">
        <f t="shared" si="6"/>
        <v>62012</v>
      </c>
      <c r="I67" s="306" t="s">
        <v>14</v>
      </c>
      <c r="J67" s="307">
        <v>0.25690191747816488</v>
      </c>
      <c r="K67" s="12" t="s">
        <v>1021</v>
      </c>
      <c r="L67" s="228">
        <v>9.1999999999999998E-2</v>
      </c>
      <c r="M67" s="12">
        <f t="shared" si="7"/>
        <v>9.1999999999999998E-2</v>
      </c>
      <c r="N67" s="12" t="s">
        <v>1026</v>
      </c>
    </row>
    <row r="68" spans="2:17" ht="15.75" customHeight="1" x14ac:dyDescent="0.25">
      <c r="B68" s="304"/>
      <c r="D68" s="11">
        <f t="shared" ref="D68:E68" si="8">+SUM(D64:D67)</f>
        <v>1</v>
      </c>
      <c r="E68" s="228">
        <f t="shared" si="8"/>
        <v>1</v>
      </c>
      <c r="G68" s="305"/>
      <c r="I68" s="306" t="s">
        <v>18</v>
      </c>
      <c r="J68" s="307">
        <v>8.7340628450958732E-2</v>
      </c>
      <c r="L68" s="228">
        <v>1</v>
      </c>
      <c r="M68" s="12">
        <v>1</v>
      </c>
      <c r="N68" s="12" t="s">
        <v>1026</v>
      </c>
      <c r="O68" s="12">
        <f>+M68*'4.1 Ref_Cart'!E8</f>
        <v>6.0871741676095334</v>
      </c>
    </row>
    <row r="69" spans="2:17" ht="15.75" customHeight="1" x14ac:dyDescent="0.25">
      <c r="B69" s="308" t="s">
        <v>1023</v>
      </c>
      <c r="D69" s="14" t="s">
        <v>995</v>
      </c>
      <c r="E69" s="12" t="s">
        <v>996</v>
      </c>
      <c r="G69" s="305"/>
      <c r="I69" s="1" t="s">
        <v>22</v>
      </c>
      <c r="J69" s="309">
        <v>4.6280493926312651E-2</v>
      </c>
    </row>
    <row r="70" spans="2:17" ht="15.75" customHeight="1" x14ac:dyDescent="0.25">
      <c r="B70" s="304"/>
      <c r="C70" s="12" t="s">
        <v>1025</v>
      </c>
      <c r="D70" s="11">
        <v>0.28000000000000003</v>
      </c>
      <c r="E70" s="228">
        <v>0.34799999999999998</v>
      </c>
      <c r="G70" s="305"/>
      <c r="I70" s="1" t="s">
        <v>26</v>
      </c>
      <c r="J70" s="309">
        <v>0.29294247565505466</v>
      </c>
    </row>
    <row r="71" spans="2:17" ht="15.75" customHeight="1" x14ac:dyDescent="0.25">
      <c r="B71" s="304"/>
      <c r="C71" s="12" t="s">
        <v>63</v>
      </c>
      <c r="D71" s="11">
        <v>0.28100000000000003</v>
      </c>
      <c r="E71" s="228">
        <v>0.56100000000000005</v>
      </c>
      <c r="G71" s="305"/>
      <c r="I71" s="1" t="s">
        <v>107</v>
      </c>
      <c r="J71" s="309">
        <v>2.6904929223973497E-2</v>
      </c>
      <c r="L71" s="228">
        <f>+SUM(J69:J71)</f>
        <v>0.3661278988053408</v>
      </c>
    </row>
    <row r="72" spans="2:17" ht="15.75" customHeight="1" x14ac:dyDescent="0.25">
      <c r="B72" s="304"/>
      <c r="C72" s="12" t="s">
        <v>1020</v>
      </c>
      <c r="D72" s="11">
        <v>9.8000000000000004E-2</v>
      </c>
      <c r="E72" s="228">
        <v>5.8000000000000003E-2</v>
      </c>
      <c r="G72" s="305"/>
    </row>
    <row r="73" spans="2:17" ht="15.75" customHeight="1" x14ac:dyDescent="0.25">
      <c r="B73" s="304"/>
      <c r="C73" s="12" t="s">
        <v>1021</v>
      </c>
      <c r="D73" s="11">
        <v>0.32</v>
      </c>
      <c r="E73" s="228">
        <v>7.0000000000000007E-2</v>
      </c>
      <c r="G73" s="305"/>
    </row>
    <row r="74" spans="2:17" ht="15.75" customHeight="1" x14ac:dyDescent="0.25">
      <c r="B74" s="304"/>
      <c r="D74" s="11">
        <f t="shared" ref="D74:E74" si="9">+SUM(D70:D73)</f>
        <v>0.97900000000000009</v>
      </c>
      <c r="E74" s="228">
        <f t="shared" si="9"/>
        <v>1.0370000000000001</v>
      </c>
      <c r="G74" s="305"/>
    </row>
    <row r="75" spans="2:17" ht="15.75" customHeight="1" x14ac:dyDescent="0.25">
      <c r="B75" s="308" t="s">
        <v>1029</v>
      </c>
      <c r="D75" s="14" t="s">
        <v>995</v>
      </c>
      <c r="E75" s="12" t="s">
        <v>996</v>
      </c>
      <c r="G75" s="305"/>
      <c r="J75" s="228">
        <f>+SUM(J66:J70)</f>
        <v>0.97309507077602642</v>
      </c>
    </row>
    <row r="76" spans="2:17" ht="15.75" customHeight="1" x14ac:dyDescent="0.25">
      <c r="B76" s="304"/>
      <c r="C76" s="12" t="s">
        <v>60</v>
      </c>
      <c r="D76" s="266">
        <v>0.32400000000000001</v>
      </c>
      <c r="G76" s="305"/>
    </row>
    <row r="77" spans="2:17" ht="15.75" customHeight="1" x14ac:dyDescent="0.25">
      <c r="B77" s="304"/>
      <c r="C77" s="12" t="s">
        <v>63</v>
      </c>
      <c r="D77" s="266">
        <v>0.32900000000000001</v>
      </c>
      <c r="G77" s="305"/>
    </row>
    <row r="78" spans="2:17" ht="15.75" customHeight="1" x14ac:dyDescent="0.25">
      <c r="B78" s="304"/>
      <c r="C78" s="12" t="s">
        <v>1020</v>
      </c>
      <c r="D78" s="266">
        <v>9.9000000000000005E-2</v>
      </c>
      <c r="G78" s="305"/>
    </row>
    <row r="79" spans="2:17" ht="15.75" customHeight="1" x14ac:dyDescent="0.25">
      <c r="B79" s="304"/>
      <c r="C79" s="12" t="s">
        <v>1030</v>
      </c>
      <c r="D79" s="266">
        <v>0.248</v>
      </c>
      <c r="G79" s="305"/>
    </row>
    <row r="80" spans="2:17" ht="15.75" customHeight="1" x14ac:dyDescent="0.25">
      <c r="B80" s="310"/>
      <c r="C80" s="118"/>
      <c r="D80" s="311">
        <f>+SUM(D76:D79)</f>
        <v>1</v>
      </c>
      <c r="E80" s="118"/>
      <c r="F80" s="118"/>
      <c r="G80" s="312"/>
    </row>
    <row r="81" spans="2:5" ht="15.75" customHeight="1" x14ac:dyDescent="0.25">
      <c r="B81" s="70" t="s">
        <v>1029</v>
      </c>
      <c r="C81" s="306" t="s">
        <v>1031</v>
      </c>
      <c r="D81" s="14" t="s">
        <v>995</v>
      </c>
      <c r="E81" s="12" t="s">
        <v>996</v>
      </c>
    </row>
    <row r="82" spans="2:5" ht="15.75" customHeight="1" x14ac:dyDescent="0.25">
      <c r="B82" s="70"/>
      <c r="C82" s="12" t="s">
        <v>60</v>
      </c>
      <c r="D82" s="228">
        <v>0.24</v>
      </c>
      <c r="E82" s="228">
        <v>0.19</v>
      </c>
    </row>
    <row r="83" spans="2:5" ht="15.75" customHeight="1" x14ac:dyDescent="0.25">
      <c r="B83" s="70"/>
      <c r="C83" s="12" t="s">
        <v>63</v>
      </c>
      <c r="D83" s="228">
        <v>0.28999999999999998</v>
      </c>
      <c r="E83" s="228">
        <v>0.52</v>
      </c>
    </row>
    <row r="84" spans="2:5" ht="15.75" customHeight="1" x14ac:dyDescent="0.25">
      <c r="B84" s="70"/>
      <c r="C84" s="12" t="s">
        <v>1020</v>
      </c>
      <c r="D84" s="228">
        <v>0.09</v>
      </c>
      <c r="E84" s="228">
        <v>7.0000000000000007E-2</v>
      </c>
    </row>
    <row r="85" spans="2:5" ht="15.75" customHeight="1" x14ac:dyDescent="0.25">
      <c r="B85" s="70"/>
      <c r="C85" s="12" t="s">
        <v>22</v>
      </c>
      <c r="D85" s="228">
        <v>0.01</v>
      </c>
      <c r="E85" s="228">
        <v>0.01</v>
      </c>
    </row>
    <row r="86" spans="2:5" ht="15.75" customHeight="1" x14ac:dyDescent="0.25">
      <c r="B86" s="70"/>
      <c r="D86" s="266">
        <f t="shared" ref="D86:E86" si="10">+SUM(D82:D85)</f>
        <v>0.63</v>
      </c>
      <c r="E86" s="228">
        <f t="shared" si="10"/>
        <v>0.79</v>
      </c>
    </row>
    <row r="87" spans="2:5" ht="15.75" customHeight="1" x14ac:dyDescent="0.25">
      <c r="B87" s="70"/>
    </row>
    <row r="88" spans="2:5" ht="15.75" customHeight="1" x14ac:dyDescent="0.25">
      <c r="B88" s="70"/>
    </row>
    <row r="89" spans="2:5" ht="15.75" customHeight="1" x14ac:dyDescent="0.25">
      <c r="B89" s="70"/>
    </row>
    <row r="90" spans="2:5" ht="15.75" customHeight="1" x14ac:dyDescent="0.25">
      <c r="B90" s="70" t="s">
        <v>1006</v>
      </c>
    </row>
    <row r="91" spans="2:5" ht="15.75" customHeight="1" x14ac:dyDescent="0.25">
      <c r="B91" s="70"/>
      <c r="C91" s="214"/>
      <c r="D91" s="214" t="s">
        <v>1032</v>
      </c>
      <c r="E91" s="214"/>
    </row>
    <row r="92" spans="2:5" ht="15.75" customHeight="1" x14ac:dyDescent="0.25">
      <c r="B92" s="70"/>
      <c r="C92" s="214" t="s">
        <v>1033</v>
      </c>
      <c r="D92" s="313" t="s">
        <v>1034</v>
      </c>
      <c r="E92" s="214" t="s">
        <v>1035</v>
      </c>
    </row>
    <row r="93" spans="2:5" ht="15.75" customHeight="1" x14ac:dyDescent="0.25">
      <c r="B93" s="70"/>
      <c r="C93" s="214" t="s">
        <v>1036</v>
      </c>
      <c r="D93" s="313">
        <v>0.307</v>
      </c>
      <c r="E93" s="313">
        <v>0.43</v>
      </c>
    </row>
    <row r="94" spans="2:5" ht="15.75" customHeight="1" x14ac:dyDescent="0.25">
      <c r="B94" s="70"/>
      <c r="C94" s="214" t="s">
        <v>1037</v>
      </c>
      <c r="D94" s="313">
        <v>0.29599999999999999</v>
      </c>
      <c r="E94" s="313">
        <v>0.33600000000000002</v>
      </c>
    </row>
    <row r="95" spans="2:5" ht="15.75" customHeight="1" x14ac:dyDescent="0.25">
      <c r="B95" s="70"/>
      <c r="C95" s="214" t="s">
        <v>1038</v>
      </c>
      <c r="D95" s="313">
        <v>0.10100000000000001</v>
      </c>
      <c r="E95" s="313">
        <v>0.114</v>
      </c>
    </row>
    <row r="96" spans="2:5" ht="15.75" customHeight="1" x14ac:dyDescent="0.25">
      <c r="B96" s="70"/>
      <c r="C96" s="214" t="s">
        <v>1021</v>
      </c>
      <c r="D96" s="314">
        <v>0.29599999999999999</v>
      </c>
      <c r="E96" s="314">
        <v>0.12</v>
      </c>
    </row>
    <row r="97" spans="2:4" ht="15.75" customHeight="1" x14ac:dyDescent="0.25">
      <c r="B97" s="70"/>
    </row>
    <row r="98" spans="2:4" ht="15.75" customHeight="1" x14ac:dyDescent="0.25">
      <c r="B98" s="70"/>
    </row>
    <row r="99" spans="2:4" ht="15.75" customHeight="1" x14ac:dyDescent="0.25">
      <c r="B99" s="70"/>
    </row>
    <row r="100" spans="2:4" ht="15.75" customHeight="1" x14ac:dyDescent="0.25">
      <c r="B100" s="70" t="s">
        <v>1029</v>
      </c>
      <c r="C100" s="70"/>
      <c r="D100" s="12" t="s">
        <v>1039</v>
      </c>
    </row>
    <row r="101" spans="2:4" ht="15.75" customHeight="1" x14ac:dyDescent="0.25">
      <c r="B101" s="70"/>
      <c r="C101" s="12" t="s">
        <v>1025</v>
      </c>
      <c r="D101" s="266">
        <v>0.60299999999999998</v>
      </c>
    </row>
    <row r="102" spans="2:4" ht="15.75" customHeight="1" x14ac:dyDescent="0.25">
      <c r="B102" s="70"/>
      <c r="C102" s="12" t="s">
        <v>63</v>
      </c>
      <c r="D102" s="266">
        <v>0.57799999999999996</v>
      </c>
    </row>
    <row r="103" spans="2:4" ht="15.75" customHeight="1" x14ac:dyDescent="0.25">
      <c r="B103" s="70"/>
      <c r="C103" s="12" t="s">
        <v>1020</v>
      </c>
      <c r="D103" s="228">
        <v>0.64</v>
      </c>
    </row>
    <row r="104" spans="2:4" ht="15.75" customHeight="1" x14ac:dyDescent="0.25">
      <c r="B104" s="70"/>
      <c r="C104" s="12" t="s">
        <v>1040</v>
      </c>
      <c r="D104" s="228">
        <v>0.7</v>
      </c>
    </row>
    <row r="105" spans="2:4" ht="15.75" customHeight="1" x14ac:dyDescent="0.25">
      <c r="B105" s="70"/>
    </row>
    <row r="106" spans="2:4" ht="15.75" customHeight="1" x14ac:dyDescent="0.25">
      <c r="B106" s="70"/>
    </row>
    <row r="107" spans="2:4" ht="15.75" customHeight="1" x14ac:dyDescent="0.25">
      <c r="B107" s="70"/>
    </row>
    <row r="108" spans="2:4" ht="15.75" customHeight="1" x14ac:dyDescent="0.25">
      <c r="B108" s="70"/>
    </row>
    <row r="109" spans="2:4" ht="15.75" customHeight="1" x14ac:dyDescent="0.25">
      <c r="B109" s="70"/>
    </row>
    <row r="110" spans="2:4" ht="15.75" customHeight="1" x14ac:dyDescent="0.25">
      <c r="B110" s="70"/>
    </row>
    <row r="111" spans="2:4" ht="15.75" customHeight="1" x14ac:dyDescent="0.25">
      <c r="B111" s="70"/>
    </row>
    <row r="112" spans="2:4" ht="15.75" customHeight="1" x14ac:dyDescent="0.25">
      <c r="B112" s="70"/>
    </row>
    <row r="113" spans="2:2" ht="15.75" customHeight="1" x14ac:dyDescent="0.25">
      <c r="B113" s="70"/>
    </row>
    <row r="114" spans="2:2" ht="15.75" customHeight="1" x14ac:dyDescent="0.25">
      <c r="B114" s="70"/>
    </row>
    <row r="115" spans="2:2" ht="15.75" customHeight="1" x14ac:dyDescent="0.25">
      <c r="B115" s="70"/>
    </row>
    <row r="116" spans="2:2" ht="15.75" customHeight="1" x14ac:dyDescent="0.25">
      <c r="B116" s="70"/>
    </row>
    <row r="117" spans="2:2" ht="15.75" customHeight="1" x14ac:dyDescent="0.25">
      <c r="B117" s="70"/>
    </row>
    <row r="118" spans="2:2" ht="15.75" customHeight="1" x14ac:dyDescent="0.25">
      <c r="B118" s="70"/>
    </row>
    <row r="119" spans="2:2" ht="15.75" customHeight="1" x14ac:dyDescent="0.25">
      <c r="B119" s="70"/>
    </row>
    <row r="120" spans="2:2" ht="15.75" customHeight="1" x14ac:dyDescent="0.25">
      <c r="B120" s="70"/>
    </row>
    <row r="121" spans="2:2" ht="15.75" customHeight="1" x14ac:dyDescent="0.25">
      <c r="B121" s="70"/>
    </row>
    <row r="122" spans="2:2" ht="15.75" customHeight="1" x14ac:dyDescent="0.25">
      <c r="B122" s="70"/>
    </row>
    <row r="123" spans="2:2" ht="15.75" customHeight="1" x14ac:dyDescent="0.25">
      <c r="B123" s="70"/>
    </row>
    <row r="124" spans="2:2" ht="15.75" customHeight="1" x14ac:dyDescent="0.25">
      <c r="B124" s="70"/>
    </row>
    <row r="125" spans="2:2" ht="15.75" customHeight="1" x14ac:dyDescent="0.25">
      <c r="B125" s="70"/>
    </row>
    <row r="126" spans="2:2" ht="15.75" customHeight="1" x14ac:dyDescent="0.25">
      <c r="B126" s="70"/>
    </row>
    <row r="127" spans="2:2" ht="15.75" customHeight="1" x14ac:dyDescent="0.25">
      <c r="B127" s="70"/>
    </row>
    <row r="128" spans="2:2" ht="15.75" customHeight="1" x14ac:dyDescent="0.25">
      <c r="B128" s="70"/>
    </row>
    <row r="129" spans="2:2" ht="15.75" customHeight="1" x14ac:dyDescent="0.25">
      <c r="B129" s="70"/>
    </row>
    <row r="130" spans="2:2" ht="15.75" customHeight="1" x14ac:dyDescent="0.25">
      <c r="B130" s="70"/>
    </row>
    <row r="131" spans="2:2" ht="15.75" customHeight="1" x14ac:dyDescent="0.25">
      <c r="B131" s="70"/>
    </row>
    <row r="132" spans="2:2" ht="15.75" customHeight="1" x14ac:dyDescent="0.25">
      <c r="B132" s="70"/>
    </row>
    <row r="133" spans="2:2" ht="15.75" customHeight="1" x14ac:dyDescent="0.25">
      <c r="B133" s="70"/>
    </row>
    <row r="134" spans="2:2" ht="15.75" customHeight="1" x14ac:dyDescent="0.25">
      <c r="B134" s="70"/>
    </row>
    <row r="135" spans="2:2" ht="15.75" customHeight="1" x14ac:dyDescent="0.25">
      <c r="B135" s="70"/>
    </row>
    <row r="136" spans="2:2" ht="15.75" customHeight="1" x14ac:dyDescent="0.25">
      <c r="B136" s="70"/>
    </row>
    <row r="137" spans="2:2" ht="15.75" customHeight="1" x14ac:dyDescent="0.25">
      <c r="B137" s="70"/>
    </row>
    <row r="138" spans="2:2" ht="15.75" customHeight="1" x14ac:dyDescent="0.25">
      <c r="B138" s="70"/>
    </row>
    <row r="139" spans="2:2" ht="15.75" customHeight="1" x14ac:dyDescent="0.25">
      <c r="B139" s="70"/>
    </row>
    <row r="140" spans="2:2" ht="15.75" customHeight="1" x14ac:dyDescent="0.25">
      <c r="B140" s="70"/>
    </row>
    <row r="141" spans="2:2" ht="15.75" customHeight="1" x14ac:dyDescent="0.25">
      <c r="B141" s="70"/>
    </row>
    <row r="142" spans="2:2" ht="15.75" customHeight="1" x14ac:dyDescent="0.25">
      <c r="B142" s="70"/>
    </row>
    <row r="143" spans="2:2" ht="15.75" customHeight="1" x14ac:dyDescent="0.25">
      <c r="B143" s="70"/>
    </row>
    <row r="144" spans="2:2" ht="15.75" customHeight="1" x14ac:dyDescent="0.25">
      <c r="B144" s="70"/>
    </row>
    <row r="145" spans="2:2" ht="15.75" customHeight="1" x14ac:dyDescent="0.25">
      <c r="B145" s="70"/>
    </row>
    <row r="146" spans="2:2" ht="15.75" customHeight="1" x14ac:dyDescent="0.25">
      <c r="B146" s="70"/>
    </row>
    <row r="147" spans="2:2" ht="15.75" customHeight="1" x14ac:dyDescent="0.25">
      <c r="B147" s="70"/>
    </row>
    <row r="148" spans="2:2" ht="15.75" customHeight="1" x14ac:dyDescent="0.25">
      <c r="B148" s="70"/>
    </row>
    <row r="149" spans="2:2" ht="15.75" customHeight="1" x14ac:dyDescent="0.25">
      <c r="B149" s="70"/>
    </row>
    <row r="150" spans="2:2" ht="15.75" customHeight="1" x14ac:dyDescent="0.25">
      <c r="B150" s="70"/>
    </row>
    <row r="151" spans="2:2" ht="15.75" customHeight="1" x14ac:dyDescent="0.25">
      <c r="B151" s="70"/>
    </row>
    <row r="152" spans="2:2" ht="15.75" customHeight="1" x14ac:dyDescent="0.25">
      <c r="B152" s="70"/>
    </row>
    <row r="153" spans="2:2" ht="15.75" customHeight="1" x14ac:dyDescent="0.25">
      <c r="B153" s="70"/>
    </row>
    <row r="154" spans="2:2" ht="15.75" customHeight="1" x14ac:dyDescent="0.25">
      <c r="B154" s="70"/>
    </row>
    <row r="155" spans="2:2" ht="15.75" customHeight="1" x14ac:dyDescent="0.25">
      <c r="B155" s="70"/>
    </row>
    <row r="156" spans="2:2" ht="15.75" customHeight="1" x14ac:dyDescent="0.25">
      <c r="B156" s="70"/>
    </row>
    <row r="157" spans="2:2" ht="15.75" customHeight="1" x14ac:dyDescent="0.25">
      <c r="B157" s="70"/>
    </row>
    <row r="158" spans="2:2" ht="15.75" customHeight="1" x14ac:dyDescent="0.25">
      <c r="B158" s="70"/>
    </row>
    <row r="159" spans="2:2" ht="15.75" customHeight="1" x14ac:dyDescent="0.25">
      <c r="B159" s="70"/>
    </row>
    <row r="160" spans="2:2" ht="15.75" customHeight="1" x14ac:dyDescent="0.25">
      <c r="B160" s="70"/>
    </row>
    <row r="161" spans="2:2" ht="15.75" customHeight="1" x14ac:dyDescent="0.25">
      <c r="B161" s="70"/>
    </row>
    <row r="162" spans="2:2" ht="15.75" customHeight="1" x14ac:dyDescent="0.25">
      <c r="B162" s="70"/>
    </row>
    <row r="163" spans="2:2" ht="15.75" customHeight="1" x14ac:dyDescent="0.25">
      <c r="B163" s="70"/>
    </row>
    <row r="164" spans="2:2" ht="15.75" customHeight="1" x14ac:dyDescent="0.25">
      <c r="B164" s="70"/>
    </row>
    <row r="165" spans="2:2" ht="15.75" customHeight="1" x14ac:dyDescent="0.25">
      <c r="B165" s="70"/>
    </row>
    <row r="166" spans="2:2" ht="15.75" customHeight="1" x14ac:dyDescent="0.25">
      <c r="B166" s="70"/>
    </row>
    <row r="167" spans="2:2" ht="15.75" customHeight="1" x14ac:dyDescent="0.25">
      <c r="B167" s="70"/>
    </row>
    <row r="168" spans="2:2" ht="15.75" customHeight="1" x14ac:dyDescent="0.25">
      <c r="B168" s="70"/>
    </row>
    <row r="169" spans="2:2" ht="15.75" customHeight="1" x14ac:dyDescent="0.25">
      <c r="B169" s="70"/>
    </row>
    <row r="170" spans="2:2" ht="15.75" customHeight="1" x14ac:dyDescent="0.25">
      <c r="B170" s="70"/>
    </row>
    <row r="171" spans="2:2" ht="15.75" customHeight="1" x14ac:dyDescent="0.25">
      <c r="B171" s="70"/>
    </row>
    <row r="172" spans="2:2" ht="15.75" customHeight="1" x14ac:dyDescent="0.25">
      <c r="B172" s="70"/>
    </row>
    <row r="173" spans="2:2" ht="15.75" customHeight="1" x14ac:dyDescent="0.25">
      <c r="B173" s="70"/>
    </row>
    <row r="174" spans="2:2" ht="15.75" customHeight="1" x14ac:dyDescent="0.25">
      <c r="B174" s="70"/>
    </row>
    <row r="175" spans="2:2" ht="15.75" customHeight="1" x14ac:dyDescent="0.25">
      <c r="B175" s="70"/>
    </row>
    <row r="176" spans="2:2" ht="15.75" customHeight="1" x14ac:dyDescent="0.25">
      <c r="B176" s="70"/>
    </row>
    <row r="177" spans="2:2" ht="15.75" customHeight="1" x14ac:dyDescent="0.25">
      <c r="B177" s="70"/>
    </row>
    <row r="178" spans="2:2" ht="15.75" customHeight="1" x14ac:dyDescent="0.25">
      <c r="B178" s="70"/>
    </row>
    <row r="179" spans="2:2" ht="15.75" customHeight="1" x14ac:dyDescent="0.25">
      <c r="B179" s="70"/>
    </row>
    <row r="180" spans="2:2" ht="15.75" customHeight="1" x14ac:dyDescent="0.25">
      <c r="B180" s="70"/>
    </row>
    <row r="181" spans="2:2" ht="15.75" customHeight="1" x14ac:dyDescent="0.25">
      <c r="B181" s="70"/>
    </row>
    <row r="182" spans="2:2" ht="15.75" customHeight="1" x14ac:dyDescent="0.25">
      <c r="B182" s="70"/>
    </row>
    <row r="183" spans="2:2" ht="15.75" customHeight="1" x14ac:dyDescent="0.25">
      <c r="B183" s="70"/>
    </row>
    <row r="184" spans="2:2" ht="15.75" customHeight="1" x14ac:dyDescent="0.25">
      <c r="B184" s="70"/>
    </row>
    <row r="185" spans="2:2" ht="15.75" customHeight="1" x14ac:dyDescent="0.25">
      <c r="B185" s="70"/>
    </row>
    <row r="186" spans="2:2" ht="15.75" customHeight="1" x14ac:dyDescent="0.25">
      <c r="B186" s="70"/>
    </row>
    <row r="187" spans="2:2" ht="15.75" customHeight="1" x14ac:dyDescent="0.25">
      <c r="B187" s="70"/>
    </row>
    <row r="188" spans="2:2" ht="15.75" customHeight="1" x14ac:dyDescent="0.25">
      <c r="B188" s="70"/>
    </row>
    <row r="189" spans="2:2" ht="15.75" customHeight="1" x14ac:dyDescent="0.25">
      <c r="B189" s="70"/>
    </row>
    <row r="190" spans="2:2" ht="15.75" customHeight="1" x14ac:dyDescent="0.25">
      <c r="B190" s="70"/>
    </row>
    <row r="191" spans="2:2" ht="15.75" customHeight="1" x14ac:dyDescent="0.25">
      <c r="B191" s="70"/>
    </row>
    <row r="192" spans="2:2" ht="15.75" customHeight="1" x14ac:dyDescent="0.25">
      <c r="B192" s="70"/>
    </row>
    <row r="193" spans="2:2" ht="15.75" customHeight="1" x14ac:dyDescent="0.25">
      <c r="B193" s="70"/>
    </row>
    <row r="194" spans="2:2" ht="15.75" customHeight="1" x14ac:dyDescent="0.25">
      <c r="B194" s="70"/>
    </row>
    <row r="195" spans="2:2" ht="15.75" customHeight="1" x14ac:dyDescent="0.25">
      <c r="B195" s="70"/>
    </row>
    <row r="196" spans="2:2" ht="15.75" customHeight="1" x14ac:dyDescent="0.25">
      <c r="B196" s="70"/>
    </row>
    <row r="197" spans="2:2" ht="15.75" customHeight="1" x14ac:dyDescent="0.25">
      <c r="B197" s="70"/>
    </row>
    <row r="198" spans="2:2" ht="15.75" customHeight="1" x14ac:dyDescent="0.25">
      <c r="B198" s="70"/>
    </row>
    <row r="199" spans="2:2" ht="15.75" customHeight="1" x14ac:dyDescent="0.25">
      <c r="B199" s="70"/>
    </row>
    <row r="200" spans="2:2" ht="15.75" customHeight="1" x14ac:dyDescent="0.25">
      <c r="B200" s="70"/>
    </row>
    <row r="201" spans="2:2" ht="15.75" customHeight="1" x14ac:dyDescent="0.25">
      <c r="B201" s="70"/>
    </row>
    <row r="202" spans="2:2" ht="15.75" customHeight="1" x14ac:dyDescent="0.25">
      <c r="B202" s="70"/>
    </row>
    <row r="203" spans="2:2" ht="15.75" customHeight="1" x14ac:dyDescent="0.25">
      <c r="B203" s="70"/>
    </row>
    <row r="204" spans="2:2" ht="15.75" customHeight="1" x14ac:dyDescent="0.25">
      <c r="B204" s="70"/>
    </row>
    <row r="205" spans="2:2" ht="15.75" customHeight="1" x14ac:dyDescent="0.25">
      <c r="B205" s="70"/>
    </row>
    <row r="206" spans="2:2" ht="15.75" customHeight="1" x14ac:dyDescent="0.25">
      <c r="B206" s="70"/>
    </row>
    <row r="207" spans="2:2" ht="15.75" customHeight="1" x14ac:dyDescent="0.25">
      <c r="B207" s="70"/>
    </row>
    <row r="208" spans="2:2" ht="15.75" customHeight="1" x14ac:dyDescent="0.25">
      <c r="B208" s="70"/>
    </row>
    <row r="209" spans="2:2" ht="15.75" customHeight="1" x14ac:dyDescent="0.25">
      <c r="B209" s="70"/>
    </row>
    <row r="210" spans="2:2" ht="15.75" customHeight="1" x14ac:dyDescent="0.25">
      <c r="B210" s="70"/>
    </row>
    <row r="211" spans="2:2" ht="15.75" customHeight="1" x14ac:dyDescent="0.25">
      <c r="B211" s="70"/>
    </row>
    <row r="212" spans="2:2" ht="15.75" customHeight="1" x14ac:dyDescent="0.25">
      <c r="B212" s="70"/>
    </row>
    <row r="213" spans="2:2" ht="15.75" customHeight="1" x14ac:dyDescent="0.25">
      <c r="B213" s="70"/>
    </row>
    <row r="214" spans="2:2" ht="15.75" customHeight="1" x14ac:dyDescent="0.25">
      <c r="B214" s="70"/>
    </row>
    <row r="215" spans="2:2" ht="15.75" customHeight="1" x14ac:dyDescent="0.25">
      <c r="B215" s="70"/>
    </row>
    <row r="216" spans="2:2" ht="15.75" customHeight="1" x14ac:dyDescent="0.25">
      <c r="B216" s="70"/>
    </row>
    <row r="217" spans="2:2" ht="15.75" customHeight="1" x14ac:dyDescent="0.25">
      <c r="B217" s="70"/>
    </row>
    <row r="218" spans="2:2" ht="15.75" customHeight="1" x14ac:dyDescent="0.25">
      <c r="B218" s="70"/>
    </row>
    <row r="219" spans="2:2" ht="15.75" customHeight="1" x14ac:dyDescent="0.25">
      <c r="B219" s="70"/>
    </row>
    <row r="220" spans="2:2" ht="15.75" customHeight="1" x14ac:dyDescent="0.25">
      <c r="B220" s="70"/>
    </row>
    <row r="221" spans="2:2" ht="15.75" customHeight="1" x14ac:dyDescent="0.25">
      <c r="B221" s="70"/>
    </row>
    <row r="222" spans="2:2" ht="15.75" customHeight="1" x14ac:dyDescent="0.25">
      <c r="B222" s="70"/>
    </row>
    <row r="223" spans="2:2" ht="15.75" customHeight="1" x14ac:dyDescent="0.25">
      <c r="B223" s="70"/>
    </row>
    <row r="224" spans="2:2" ht="15.75" customHeight="1" x14ac:dyDescent="0.25">
      <c r="B224" s="70"/>
    </row>
    <row r="225" spans="2:2" ht="15.75" customHeight="1" x14ac:dyDescent="0.25">
      <c r="B225" s="70"/>
    </row>
    <row r="226" spans="2:2" ht="15.75" customHeight="1" x14ac:dyDescent="0.25">
      <c r="B226" s="70"/>
    </row>
    <row r="227" spans="2:2" ht="15.75" customHeight="1" x14ac:dyDescent="0.25">
      <c r="B227" s="70"/>
    </row>
    <row r="228" spans="2:2" ht="15.75" customHeight="1" x14ac:dyDescent="0.25">
      <c r="B228" s="70"/>
    </row>
    <row r="229" spans="2:2" ht="15.75" customHeight="1" x14ac:dyDescent="0.25">
      <c r="B229" s="70"/>
    </row>
    <row r="230" spans="2:2" ht="15.75" customHeight="1" x14ac:dyDescent="0.25">
      <c r="B230" s="70"/>
    </row>
    <row r="231" spans="2:2" ht="15.75" customHeight="1" x14ac:dyDescent="0.25">
      <c r="B231" s="70"/>
    </row>
    <row r="232" spans="2:2" ht="15.75" customHeight="1" x14ac:dyDescent="0.25">
      <c r="B232" s="70"/>
    </row>
    <row r="233" spans="2:2" ht="15.75" customHeight="1" x14ac:dyDescent="0.25">
      <c r="B233" s="70"/>
    </row>
    <row r="234" spans="2:2" ht="15.75" customHeight="1" x14ac:dyDescent="0.25">
      <c r="B234" s="70"/>
    </row>
    <row r="235" spans="2:2" ht="15.75" customHeight="1" x14ac:dyDescent="0.25">
      <c r="B235" s="70"/>
    </row>
    <row r="236" spans="2:2" ht="15.75" customHeight="1" x14ac:dyDescent="0.25">
      <c r="B236" s="70"/>
    </row>
    <row r="237" spans="2:2" ht="15.75" customHeight="1" x14ac:dyDescent="0.25">
      <c r="B237" s="70"/>
    </row>
    <row r="238" spans="2:2" ht="15.75" customHeight="1" x14ac:dyDescent="0.25">
      <c r="B238" s="70"/>
    </row>
    <row r="239" spans="2:2" ht="15.75" customHeight="1" x14ac:dyDescent="0.25">
      <c r="B239" s="70"/>
    </row>
    <row r="240" spans="2:2" ht="15.75" customHeight="1" x14ac:dyDescent="0.25">
      <c r="B240" s="70"/>
    </row>
    <row r="241" spans="2:2" ht="15.75" customHeight="1" x14ac:dyDescent="0.25">
      <c r="B241" s="70"/>
    </row>
    <row r="242" spans="2:2" ht="15.75" customHeight="1" x14ac:dyDescent="0.25">
      <c r="B242" s="70"/>
    </row>
    <row r="243" spans="2:2" ht="15.75" customHeight="1" x14ac:dyDescent="0.25">
      <c r="B243" s="70"/>
    </row>
    <row r="244" spans="2:2" ht="15.75" customHeight="1" x14ac:dyDescent="0.25">
      <c r="B244" s="70"/>
    </row>
    <row r="245" spans="2:2" ht="15.75" customHeight="1" x14ac:dyDescent="0.25">
      <c r="B245" s="70"/>
    </row>
    <row r="246" spans="2:2" ht="15.75" customHeight="1" x14ac:dyDescent="0.25">
      <c r="B246" s="70"/>
    </row>
    <row r="247" spans="2:2" ht="15.75" customHeight="1" x14ac:dyDescent="0.25">
      <c r="B247" s="70"/>
    </row>
    <row r="248" spans="2:2" ht="15.75" customHeight="1" x14ac:dyDescent="0.25">
      <c r="B248" s="70"/>
    </row>
    <row r="249" spans="2:2" ht="15.75" customHeight="1" x14ac:dyDescent="0.25">
      <c r="B249" s="70"/>
    </row>
    <row r="250" spans="2:2" ht="15.75" customHeight="1" x14ac:dyDescent="0.25">
      <c r="B250" s="70"/>
    </row>
    <row r="251" spans="2:2" ht="15.75" customHeight="1" x14ac:dyDescent="0.25">
      <c r="B251" s="70"/>
    </row>
    <row r="252" spans="2:2" ht="15.75" customHeight="1" x14ac:dyDescent="0.25">
      <c r="B252" s="70"/>
    </row>
    <row r="253" spans="2:2" ht="15.75" customHeight="1" x14ac:dyDescent="0.25">
      <c r="B253" s="70"/>
    </row>
    <row r="254" spans="2:2" ht="15.75" customHeight="1" x14ac:dyDescent="0.25">
      <c r="B254" s="70"/>
    </row>
    <row r="255" spans="2:2" ht="15.75" customHeight="1" x14ac:dyDescent="0.25">
      <c r="B255" s="70"/>
    </row>
    <row r="256" spans="2:2" ht="15.75" customHeight="1" x14ac:dyDescent="0.25">
      <c r="B256" s="70"/>
    </row>
    <row r="257" spans="2:2" ht="15.75" customHeight="1" x14ac:dyDescent="0.25">
      <c r="B257" s="70"/>
    </row>
    <row r="258" spans="2:2" ht="15.75" customHeight="1" x14ac:dyDescent="0.25">
      <c r="B258" s="70"/>
    </row>
    <row r="259" spans="2:2" ht="15.75" customHeight="1" x14ac:dyDescent="0.25">
      <c r="B259" s="70"/>
    </row>
    <row r="260" spans="2:2" ht="15.75" customHeight="1" x14ac:dyDescent="0.25">
      <c r="B260" s="70"/>
    </row>
    <row r="261" spans="2:2" ht="15.75" customHeight="1" x14ac:dyDescent="0.25">
      <c r="B261" s="70"/>
    </row>
    <row r="262" spans="2:2" ht="15.75" customHeight="1" x14ac:dyDescent="0.25">
      <c r="B262" s="70"/>
    </row>
    <row r="263" spans="2:2" ht="15.75" customHeight="1" x14ac:dyDescent="0.25">
      <c r="B263" s="70"/>
    </row>
    <row r="264" spans="2:2" ht="15.75" customHeight="1" x14ac:dyDescent="0.25">
      <c r="B264" s="70"/>
    </row>
    <row r="265" spans="2:2" ht="15.75" customHeight="1" x14ac:dyDescent="0.25">
      <c r="B265" s="70"/>
    </row>
    <row r="266" spans="2:2" ht="15.75" customHeight="1" x14ac:dyDescent="0.25">
      <c r="B266" s="70"/>
    </row>
    <row r="267" spans="2:2" ht="15.75" customHeight="1" x14ac:dyDescent="0.25">
      <c r="B267" s="70"/>
    </row>
    <row r="268" spans="2:2" ht="15.75" customHeight="1" x14ac:dyDescent="0.25">
      <c r="B268" s="70"/>
    </row>
    <row r="269" spans="2:2" ht="15.75" customHeight="1" x14ac:dyDescent="0.25">
      <c r="B269" s="70"/>
    </row>
    <row r="270" spans="2:2" ht="15.75" customHeight="1" x14ac:dyDescent="0.25">
      <c r="B270" s="70"/>
    </row>
    <row r="271" spans="2:2" ht="15.75" customHeight="1" x14ac:dyDescent="0.25">
      <c r="B271" s="70"/>
    </row>
    <row r="272" spans="2:2" ht="15.75" customHeight="1" x14ac:dyDescent="0.25">
      <c r="B272" s="70"/>
    </row>
    <row r="273" spans="2:2" ht="15.75" customHeight="1" x14ac:dyDescent="0.25">
      <c r="B273" s="70"/>
    </row>
    <row r="274" spans="2:2" ht="15.75" customHeight="1" x14ac:dyDescent="0.25">
      <c r="B274" s="70"/>
    </row>
    <row r="275" spans="2:2" ht="15.75" customHeight="1" x14ac:dyDescent="0.25">
      <c r="B275" s="70"/>
    </row>
    <row r="276" spans="2:2" ht="15.75" customHeight="1" x14ac:dyDescent="0.25">
      <c r="B276" s="70"/>
    </row>
    <row r="277" spans="2:2" ht="15.75" customHeight="1" x14ac:dyDescent="0.25">
      <c r="B277" s="70"/>
    </row>
    <row r="278" spans="2:2" ht="15.75" customHeight="1" x14ac:dyDescent="0.25">
      <c r="B278" s="70"/>
    </row>
    <row r="279" spans="2:2" ht="15.75" customHeight="1" x14ac:dyDescent="0.25">
      <c r="B279" s="70"/>
    </row>
    <row r="280" spans="2:2" ht="15.75" customHeight="1" x14ac:dyDescent="0.25">
      <c r="B280" s="70"/>
    </row>
    <row r="281" spans="2:2" ht="15.75" customHeight="1" x14ac:dyDescent="0.25">
      <c r="B281" s="70"/>
    </row>
    <row r="282" spans="2:2" ht="15.75" customHeight="1" x14ac:dyDescent="0.25">
      <c r="B282" s="70"/>
    </row>
    <row r="283" spans="2:2" ht="15.75" customHeight="1" x14ac:dyDescent="0.25">
      <c r="B283" s="70"/>
    </row>
    <row r="284" spans="2:2" ht="15.75" customHeight="1" x14ac:dyDescent="0.25">
      <c r="B284" s="70"/>
    </row>
    <row r="285" spans="2:2" ht="15.75" customHeight="1" x14ac:dyDescent="0.25">
      <c r="B285" s="70"/>
    </row>
    <row r="286" spans="2:2" ht="15.75" customHeight="1" x14ac:dyDescent="0.25">
      <c r="B286" s="70"/>
    </row>
    <row r="287" spans="2:2" ht="15.75" customHeight="1" x14ac:dyDescent="0.25">
      <c r="B287" s="70"/>
    </row>
    <row r="288" spans="2:2" ht="15.75" customHeight="1" x14ac:dyDescent="0.25">
      <c r="B288" s="70"/>
    </row>
    <row r="289" spans="2:2" ht="15.75" customHeight="1" x14ac:dyDescent="0.25">
      <c r="B289" s="70"/>
    </row>
    <row r="290" spans="2:2" ht="15.75" customHeight="1" x14ac:dyDescent="0.25">
      <c r="B290" s="70"/>
    </row>
    <row r="291" spans="2:2" ht="15.75" customHeight="1" x14ac:dyDescent="0.25">
      <c r="B291" s="70"/>
    </row>
    <row r="292" spans="2:2" ht="15.75" customHeight="1" x14ac:dyDescent="0.25">
      <c r="B292" s="70"/>
    </row>
    <row r="293" spans="2:2" ht="15.75" customHeight="1" x14ac:dyDescent="0.25">
      <c r="B293" s="70"/>
    </row>
    <row r="294" spans="2:2" ht="15.75" customHeight="1" x14ac:dyDescent="0.25">
      <c r="B294" s="70"/>
    </row>
    <row r="295" spans="2:2" ht="15.75" customHeight="1" x14ac:dyDescent="0.25">
      <c r="B295" s="70"/>
    </row>
    <row r="296" spans="2:2" ht="15.75" customHeight="1" x14ac:dyDescent="0.25">
      <c r="B296" s="70"/>
    </row>
    <row r="297" spans="2:2" ht="15.75" customHeight="1" x14ac:dyDescent="0.25">
      <c r="B297" s="70"/>
    </row>
    <row r="298" spans="2:2" ht="15.75" customHeight="1" x14ac:dyDescent="0.25">
      <c r="B298" s="70"/>
    </row>
    <row r="299" spans="2:2" ht="15.75" customHeight="1" x14ac:dyDescent="0.25">
      <c r="B299" s="70"/>
    </row>
    <row r="300" spans="2:2" ht="15.75" customHeight="1" x14ac:dyDescent="0.25">
      <c r="B300" s="70"/>
    </row>
    <row r="301" spans="2:2" ht="15.75" customHeight="1" x14ac:dyDescent="0.25">
      <c r="B301" s="70"/>
    </row>
    <row r="302" spans="2:2" ht="15.75" customHeight="1" x14ac:dyDescent="0.25">
      <c r="B302" s="70"/>
    </row>
    <row r="303" spans="2:2" ht="15.75" customHeight="1" x14ac:dyDescent="0.25">
      <c r="B303" s="70"/>
    </row>
    <row r="304" spans="2:2" ht="15.75" customHeight="1" x14ac:dyDescent="0.25">
      <c r="B304" s="70"/>
    </row>
    <row r="305" spans="2:2" ht="15.75" customHeight="1" x14ac:dyDescent="0.25">
      <c r="B305" s="70"/>
    </row>
    <row r="306" spans="2:2" ht="15.75" customHeight="1" x14ac:dyDescent="0.25">
      <c r="B306" s="70"/>
    </row>
    <row r="307" spans="2:2" ht="15.75" customHeight="1" x14ac:dyDescent="0.25">
      <c r="B307" s="70"/>
    </row>
    <row r="308" spans="2:2" ht="15.75" customHeight="1" x14ac:dyDescent="0.25">
      <c r="B308" s="70"/>
    </row>
    <row r="309" spans="2:2" ht="15.75" customHeight="1" x14ac:dyDescent="0.25">
      <c r="B309" s="70"/>
    </row>
    <row r="310" spans="2:2" ht="15.75" customHeight="1" x14ac:dyDescent="0.25">
      <c r="B310" s="70"/>
    </row>
    <row r="311" spans="2:2" ht="15.75" customHeight="1" x14ac:dyDescent="0.25">
      <c r="B311" s="70"/>
    </row>
    <row r="312" spans="2:2" ht="15.75" customHeight="1" x14ac:dyDescent="0.25">
      <c r="B312" s="70"/>
    </row>
    <row r="313" spans="2:2" ht="15.75" customHeight="1" x14ac:dyDescent="0.25">
      <c r="B313" s="70"/>
    </row>
    <row r="314" spans="2:2" ht="15.75" customHeight="1" x14ac:dyDescent="0.25">
      <c r="B314" s="70"/>
    </row>
    <row r="315" spans="2:2" ht="15.75" customHeight="1" x14ac:dyDescent="0.25">
      <c r="B315" s="70"/>
    </row>
    <row r="316" spans="2:2" ht="15.75" customHeight="1" x14ac:dyDescent="0.25">
      <c r="B316" s="70"/>
    </row>
    <row r="317" spans="2:2" ht="15.75" customHeight="1" x14ac:dyDescent="0.25">
      <c r="B317" s="70"/>
    </row>
    <row r="318" spans="2:2" ht="15.75" customHeight="1" x14ac:dyDescent="0.25">
      <c r="B318" s="70"/>
    </row>
    <row r="319" spans="2:2" ht="15.75" customHeight="1" x14ac:dyDescent="0.25">
      <c r="B319" s="70"/>
    </row>
    <row r="320" spans="2:2" ht="15.75" customHeight="1" x14ac:dyDescent="0.25">
      <c r="B320" s="70"/>
    </row>
    <row r="321" spans="2:2" ht="15.75" customHeight="1" x14ac:dyDescent="0.25">
      <c r="B321" s="70"/>
    </row>
    <row r="322" spans="2:2" ht="15.75" customHeight="1" x14ac:dyDescent="0.25">
      <c r="B322" s="70"/>
    </row>
    <row r="323" spans="2:2" ht="15.75" customHeight="1" x14ac:dyDescent="0.25">
      <c r="B323" s="70"/>
    </row>
    <row r="324" spans="2:2" ht="15.75" customHeight="1" x14ac:dyDescent="0.25">
      <c r="B324" s="70"/>
    </row>
    <row r="325" spans="2:2" ht="15.75" customHeight="1" x14ac:dyDescent="0.25">
      <c r="B325" s="70"/>
    </row>
    <row r="326" spans="2:2" ht="15.75" customHeight="1" x14ac:dyDescent="0.25">
      <c r="B326" s="70"/>
    </row>
    <row r="327" spans="2:2" ht="15.75" customHeight="1" x14ac:dyDescent="0.25">
      <c r="B327" s="70"/>
    </row>
    <row r="328" spans="2:2" ht="15.75" customHeight="1" x14ac:dyDescent="0.25">
      <c r="B328" s="70"/>
    </row>
    <row r="329" spans="2:2" ht="15.75" customHeight="1" x14ac:dyDescent="0.25">
      <c r="B329" s="70"/>
    </row>
    <row r="330" spans="2:2" ht="15.75" customHeight="1" x14ac:dyDescent="0.25">
      <c r="B330" s="70"/>
    </row>
    <row r="331" spans="2:2" ht="15.75" customHeight="1" x14ac:dyDescent="0.25">
      <c r="B331" s="70"/>
    </row>
    <row r="332" spans="2:2" ht="15.75" customHeight="1" x14ac:dyDescent="0.25">
      <c r="B332" s="70"/>
    </row>
    <row r="333" spans="2:2" ht="15.75" customHeight="1" x14ac:dyDescent="0.25">
      <c r="B333" s="70"/>
    </row>
    <row r="334" spans="2:2" ht="15.75" customHeight="1" x14ac:dyDescent="0.25">
      <c r="B334" s="70"/>
    </row>
    <row r="335" spans="2:2" ht="15.75" customHeight="1" x14ac:dyDescent="0.25">
      <c r="B335" s="70"/>
    </row>
    <row r="336" spans="2:2" ht="15.75" customHeight="1" x14ac:dyDescent="0.25">
      <c r="B336" s="70"/>
    </row>
    <row r="337" spans="2:2" ht="15.75" customHeight="1" x14ac:dyDescent="0.25">
      <c r="B337" s="70"/>
    </row>
    <row r="338" spans="2:2" ht="15.75" customHeight="1" x14ac:dyDescent="0.25">
      <c r="B338" s="70"/>
    </row>
    <row r="339" spans="2:2" ht="15.75" customHeight="1" x14ac:dyDescent="0.25">
      <c r="B339" s="70"/>
    </row>
    <row r="340" spans="2:2" ht="15.75" customHeight="1" x14ac:dyDescent="0.25">
      <c r="B340" s="70"/>
    </row>
    <row r="341" spans="2:2" ht="15.75" customHeight="1" x14ac:dyDescent="0.25">
      <c r="B341" s="70"/>
    </row>
    <row r="342" spans="2:2" ht="15.75" customHeight="1" x14ac:dyDescent="0.25">
      <c r="B342" s="70"/>
    </row>
    <row r="343" spans="2:2" ht="15.75" customHeight="1" x14ac:dyDescent="0.25">
      <c r="B343" s="70"/>
    </row>
    <row r="344" spans="2:2" ht="15.75" customHeight="1" x14ac:dyDescent="0.25">
      <c r="B344" s="70"/>
    </row>
    <row r="345" spans="2:2" ht="15.75" customHeight="1" x14ac:dyDescent="0.25">
      <c r="B345" s="70"/>
    </row>
    <row r="346" spans="2:2" ht="15.75" customHeight="1" x14ac:dyDescent="0.25">
      <c r="B346" s="70"/>
    </row>
    <row r="347" spans="2:2" ht="15.75" customHeight="1" x14ac:dyDescent="0.25">
      <c r="B347" s="70"/>
    </row>
    <row r="348" spans="2:2" ht="15.75" customHeight="1" x14ac:dyDescent="0.25">
      <c r="B348" s="70"/>
    </row>
    <row r="349" spans="2:2" ht="15.75" customHeight="1" x14ac:dyDescent="0.25">
      <c r="B349" s="70"/>
    </row>
    <row r="350" spans="2:2" ht="15.75" customHeight="1" x14ac:dyDescent="0.25">
      <c r="B350" s="70"/>
    </row>
    <row r="351" spans="2:2" ht="15.75" customHeight="1" x14ac:dyDescent="0.25">
      <c r="B351" s="70"/>
    </row>
    <row r="352" spans="2:2" ht="15.75" customHeight="1" x14ac:dyDescent="0.25">
      <c r="B352" s="70"/>
    </row>
    <row r="353" spans="2:2" ht="15.75" customHeight="1" x14ac:dyDescent="0.25">
      <c r="B353" s="70"/>
    </row>
    <row r="354" spans="2:2" ht="15.75" customHeight="1" x14ac:dyDescent="0.25">
      <c r="B354" s="70"/>
    </row>
    <row r="355" spans="2:2" ht="15.75" customHeight="1" x14ac:dyDescent="0.25">
      <c r="B355" s="70"/>
    </row>
    <row r="356" spans="2:2" ht="15.75" customHeight="1" x14ac:dyDescent="0.25">
      <c r="B356" s="70"/>
    </row>
    <row r="357" spans="2:2" ht="15.75" customHeight="1" x14ac:dyDescent="0.25">
      <c r="B357" s="70"/>
    </row>
    <row r="358" spans="2:2" ht="15.75" customHeight="1" x14ac:dyDescent="0.25">
      <c r="B358" s="70"/>
    </row>
    <row r="359" spans="2:2" ht="15.75" customHeight="1" x14ac:dyDescent="0.25">
      <c r="B359" s="70"/>
    </row>
    <row r="360" spans="2:2" ht="15.75" customHeight="1" x14ac:dyDescent="0.25">
      <c r="B360" s="70"/>
    </row>
    <row r="361" spans="2:2" ht="15.75" customHeight="1" x14ac:dyDescent="0.25">
      <c r="B361" s="70"/>
    </row>
    <row r="362" spans="2:2" ht="15.75" customHeight="1" x14ac:dyDescent="0.25">
      <c r="B362" s="70"/>
    </row>
    <row r="363" spans="2:2" ht="15.75" customHeight="1" x14ac:dyDescent="0.25">
      <c r="B363" s="70"/>
    </row>
    <row r="364" spans="2:2" ht="15.75" customHeight="1" x14ac:dyDescent="0.25">
      <c r="B364" s="70"/>
    </row>
    <row r="365" spans="2:2" ht="15.75" customHeight="1" x14ac:dyDescent="0.25">
      <c r="B365" s="70"/>
    </row>
    <row r="366" spans="2:2" ht="15.75" customHeight="1" x14ac:dyDescent="0.25">
      <c r="B366" s="70"/>
    </row>
    <row r="367" spans="2:2" ht="15.75" customHeight="1" x14ac:dyDescent="0.25">
      <c r="B367" s="70"/>
    </row>
    <row r="368" spans="2:2" ht="15.75" customHeight="1" x14ac:dyDescent="0.25">
      <c r="B368" s="70"/>
    </row>
    <row r="369" spans="2:2" ht="15.75" customHeight="1" x14ac:dyDescent="0.25">
      <c r="B369" s="70"/>
    </row>
    <row r="370" spans="2:2" ht="15.75" customHeight="1" x14ac:dyDescent="0.25">
      <c r="B370" s="70"/>
    </row>
    <row r="371" spans="2:2" ht="15.75" customHeight="1" x14ac:dyDescent="0.25">
      <c r="B371" s="70"/>
    </row>
    <row r="372" spans="2:2" ht="15.75" customHeight="1" x14ac:dyDescent="0.25">
      <c r="B372" s="70"/>
    </row>
    <row r="373" spans="2:2" ht="15.75" customHeight="1" x14ac:dyDescent="0.25">
      <c r="B373" s="70"/>
    </row>
    <row r="374" spans="2:2" ht="15.75" customHeight="1" x14ac:dyDescent="0.25">
      <c r="B374" s="70"/>
    </row>
    <row r="375" spans="2:2" ht="15.75" customHeight="1" x14ac:dyDescent="0.25">
      <c r="B375" s="70"/>
    </row>
    <row r="376" spans="2:2" ht="15.75" customHeight="1" x14ac:dyDescent="0.25">
      <c r="B376" s="70"/>
    </row>
    <row r="377" spans="2:2" ht="15.75" customHeight="1" x14ac:dyDescent="0.25">
      <c r="B377" s="70"/>
    </row>
    <row r="378" spans="2:2" ht="15.75" customHeight="1" x14ac:dyDescent="0.25">
      <c r="B378" s="70"/>
    </row>
    <row r="379" spans="2:2" ht="15.75" customHeight="1" x14ac:dyDescent="0.25">
      <c r="B379" s="70"/>
    </row>
    <row r="380" spans="2:2" ht="15.75" customHeight="1" x14ac:dyDescent="0.25">
      <c r="B380" s="70"/>
    </row>
    <row r="381" spans="2:2" ht="15.75" customHeight="1" x14ac:dyDescent="0.25">
      <c r="B381" s="70"/>
    </row>
    <row r="382" spans="2:2" ht="15.75" customHeight="1" x14ac:dyDescent="0.25">
      <c r="B382" s="70"/>
    </row>
    <row r="383" spans="2:2" ht="15.75" customHeight="1" x14ac:dyDescent="0.25">
      <c r="B383" s="70"/>
    </row>
    <row r="384" spans="2:2" ht="15.75" customHeight="1" x14ac:dyDescent="0.25">
      <c r="B384" s="70"/>
    </row>
    <row r="385" spans="2:2" ht="15.75" customHeight="1" x14ac:dyDescent="0.25">
      <c r="B385" s="70"/>
    </row>
    <row r="386" spans="2:2" ht="15.75" customHeight="1" x14ac:dyDescent="0.25">
      <c r="B386" s="70"/>
    </row>
    <row r="387" spans="2:2" ht="15.75" customHeight="1" x14ac:dyDescent="0.25">
      <c r="B387" s="70"/>
    </row>
    <row r="388" spans="2:2" ht="15.75" customHeight="1" x14ac:dyDescent="0.25">
      <c r="B388" s="70"/>
    </row>
    <row r="389" spans="2:2" ht="15.75" customHeight="1" x14ac:dyDescent="0.25">
      <c r="B389" s="70"/>
    </row>
    <row r="390" spans="2:2" ht="15.75" customHeight="1" x14ac:dyDescent="0.25">
      <c r="B390" s="70"/>
    </row>
    <row r="391" spans="2:2" ht="15.75" customHeight="1" x14ac:dyDescent="0.25">
      <c r="B391" s="70"/>
    </row>
    <row r="392" spans="2:2" ht="15.75" customHeight="1" x14ac:dyDescent="0.25">
      <c r="B392" s="70"/>
    </row>
    <row r="393" spans="2:2" ht="15.75" customHeight="1" x14ac:dyDescent="0.25">
      <c r="B393" s="70"/>
    </row>
    <row r="394" spans="2:2" ht="15.75" customHeight="1" x14ac:dyDescent="0.25">
      <c r="B394" s="70"/>
    </row>
    <row r="395" spans="2:2" ht="15.75" customHeight="1" x14ac:dyDescent="0.25">
      <c r="B395" s="70"/>
    </row>
    <row r="396" spans="2:2" ht="15.75" customHeight="1" x14ac:dyDescent="0.25">
      <c r="B396" s="70"/>
    </row>
    <row r="397" spans="2:2" ht="15.75" customHeight="1" x14ac:dyDescent="0.25">
      <c r="B397" s="70"/>
    </row>
    <row r="398" spans="2:2" ht="15.75" customHeight="1" x14ac:dyDescent="0.25">
      <c r="B398" s="70"/>
    </row>
    <row r="399" spans="2:2" ht="15.75" customHeight="1" x14ac:dyDescent="0.25">
      <c r="B399" s="70"/>
    </row>
    <row r="400" spans="2:2" ht="15.75" customHeight="1" x14ac:dyDescent="0.25">
      <c r="B400" s="70"/>
    </row>
    <row r="401" spans="2:2" ht="15.75" customHeight="1" x14ac:dyDescent="0.25">
      <c r="B401" s="70"/>
    </row>
    <row r="402" spans="2:2" ht="15.75" customHeight="1" x14ac:dyDescent="0.25">
      <c r="B402" s="70"/>
    </row>
    <row r="403" spans="2:2" ht="15.75" customHeight="1" x14ac:dyDescent="0.25">
      <c r="B403" s="70"/>
    </row>
    <row r="404" spans="2:2" ht="15.75" customHeight="1" x14ac:dyDescent="0.25">
      <c r="B404" s="70"/>
    </row>
    <row r="405" spans="2:2" ht="15.75" customHeight="1" x14ac:dyDescent="0.25">
      <c r="B405" s="70"/>
    </row>
    <row r="406" spans="2:2" ht="15.75" customHeight="1" x14ac:dyDescent="0.25">
      <c r="B406" s="70"/>
    </row>
    <row r="407" spans="2:2" ht="15.75" customHeight="1" x14ac:dyDescent="0.25">
      <c r="B407" s="70"/>
    </row>
    <row r="408" spans="2:2" ht="15.75" customHeight="1" x14ac:dyDescent="0.25">
      <c r="B408" s="70"/>
    </row>
    <row r="409" spans="2:2" ht="15.75" customHeight="1" x14ac:dyDescent="0.25">
      <c r="B409" s="70"/>
    </row>
    <row r="410" spans="2:2" ht="15.75" customHeight="1" x14ac:dyDescent="0.25">
      <c r="B410" s="70"/>
    </row>
    <row r="411" spans="2:2" ht="15.75" customHeight="1" x14ac:dyDescent="0.25">
      <c r="B411" s="70"/>
    </row>
    <row r="412" spans="2:2" ht="15.75" customHeight="1" x14ac:dyDescent="0.25">
      <c r="B412" s="70"/>
    </row>
    <row r="413" spans="2:2" ht="15.75" customHeight="1" x14ac:dyDescent="0.25">
      <c r="B413" s="70"/>
    </row>
    <row r="414" spans="2:2" ht="15.75" customHeight="1" x14ac:dyDescent="0.25">
      <c r="B414" s="70"/>
    </row>
    <row r="415" spans="2:2" ht="15.75" customHeight="1" x14ac:dyDescent="0.25">
      <c r="B415" s="70"/>
    </row>
    <row r="416" spans="2:2" ht="15.75" customHeight="1" x14ac:dyDescent="0.25">
      <c r="B416" s="70"/>
    </row>
    <row r="417" spans="2:2" ht="15.75" customHeight="1" x14ac:dyDescent="0.25">
      <c r="B417" s="70"/>
    </row>
    <row r="418" spans="2:2" ht="15.75" customHeight="1" x14ac:dyDescent="0.25">
      <c r="B418" s="70"/>
    </row>
    <row r="419" spans="2:2" ht="15.75" customHeight="1" x14ac:dyDescent="0.25">
      <c r="B419" s="70"/>
    </row>
    <row r="420" spans="2:2" ht="15.75" customHeight="1" x14ac:dyDescent="0.25">
      <c r="B420" s="70"/>
    </row>
    <row r="421" spans="2:2" ht="15.75" customHeight="1" x14ac:dyDescent="0.25">
      <c r="B421" s="70"/>
    </row>
    <row r="422" spans="2:2" ht="15.75" customHeight="1" x14ac:dyDescent="0.25">
      <c r="B422" s="70"/>
    </row>
    <row r="423" spans="2:2" ht="15.75" customHeight="1" x14ac:dyDescent="0.25">
      <c r="B423" s="70"/>
    </row>
    <row r="424" spans="2:2" ht="15.75" customHeight="1" x14ac:dyDescent="0.25">
      <c r="B424" s="70"/>
    </row>
    <row r="425" spans="2:2" ht="15.75" customHeight="1" x14ac:dyDescent="0.25">
      <c r="B425" s="70"/>
    </row>
    <row r="426" spans="2:2" ht="15.75" customHeight="1" x14ac:dyDescent="0.25">
      <c r="B426" s="70"/>
    </row>
    <row r="427" spans="2:2" ht="15.75" customHeight="1" x14ac:dyDescent="0.25">
      <c r="B427" s="70"/>
    </row>
    <row r="428" spans="2:2" ht="15.75" customHeight="1" x14ac:dyDescent="0.25">
      <c r="B428" s="70"/>
    </row>
    <row r="429" spans="2:2" ht="15.75" customHeight="1" x14ac:dyDescent="0.25">
      <c r="B429" s="70"/>
    </row>
    <row r="430" spans="2:2" ht="15.75" customHeight="1" x14ac:dyDescent="0.25">
      <c r="B430" s="70"/>
    </row>
    <row r="431" spans="2:2" ht="15.75" customHeight="1" x14ac:dyDescent="0.25">
      <c r="B431" s="70"/>
    </row>
    <row r="432" spans="2:2" ht="15.75" customHeight="1" x14ac:dyDescent="0.25">
      <c r="B432" s="70"/>
    </row>
    <row r="433" spans="2:2" ht="15.75" customHeight="1" x14ac:dyDescent="0.25">
      <c r="B433" s="70"/>
    </row>
    <row r="434" spans="2:2" ht="15.75" customHeight="1" x14ac:dyDescent="0.25">
      <c r="B434" s="70"/>
    </row>
    <row r="435" spans="2:2" ht="15.75" customHeight="1" x14ac:dyDescent="0.25">
      <c r="B435" s="70"/>
    </row>
    <row r="436" spans="2:2" ht="15.75" customHeight="1" x14ac:dyDescent="0.25">
      <c r="B436" s="70"/>
    </row>
    <row r="437" spans="2:2" ht="15.75" customHeight="1" x14ac:dyDescent="0.25">
      <c r="B437" s="70"/>
    </row>
    <row r="438" spans="2:2" ht="15.75" customHeight="1" x14ac:dyDescent="0.25">
      <c r="B438" s="70"/>
    </row>
    <row r="439" spans="2:2" ht="15.75" customHeight="1" x14ac:dyDescent="0.25">
      <c r="B439" s="70"/>
    </row>
    <row r="440" spans="2:2" ht="15.75" customHeight="1" x14ac:dyDescent="0.25">
      <c r="B440" s="70"/>
    </row>
    <row r="441" spans="2:2" ht="15.75" customHeight="1" x14ac:dyDescent="0.25">
      <c r="B441" s="70"/>
    </row>
    <row r="442" spans="2:2" ht="15.75" customHeight="1" x14ac:dyDescent="0.25">
      <c r="B442" s="70"/>
    </row>
    <row r="443" spans="2:2" ht="15.75" customHeight="1" x14ac:dyDescent="0.25">
      <c r="B443" s="70"/>
    </row>
    <row r="444" spans="2:2" ht="15.75" customHeight="1" x14ac:dyDescent="0.25">
      <c r="B444" s="70"/>
    </row>
    <row r="445" spans="2:2" ht="15.75" customHeight="1" x14ac:dyDescent="0.25">
      <c r="B445" s="70"/>
    </row>
    <row r="446" spans="2:2" ht="15.75" customHeight="1" x14ac:dyDescent="0.25">
      <c r="B446" s="70"/>
    </row>
    <row r="447" spans="2:2" ht="15.75" customHeight="1" x14ac:dyDescent="0.25">
      <c r="B447" s="70"/>
    </row>
    <row r="448" spans="2:2" ht="15.75" customHeight="1" x14ac:dyDescent="0.25">
      <c r="B448" s="70"/>
    </row>
    <row r="449" spans="2:2" ht="15.75" customHeight="1" x14ac:dyDescent="0.25">
      <c r="B449" s="70"/>
    </row>
    <row r="450" spans="2:2" ht="15.75" customHeight="1" x14ac:dyDescent="0.25">
      <c r="B450" s="70"/>
    </row>
    <row r="451" spans="2:2" ht="15.75" customHeight="1" x14ac:dyDescent="0.25">
      <c r="B451" s="70"/>
    </row>
    <row r="452" spans="2:2" ht="15.75" customHeight="1" x14ac:dyDescent="0.25">
      <c r="B452" s="70"/>
    </row>
    <row r="453" spans="2:2" ht="15.75" customHeight="1" x14ac:dyDescent="0.25">
      <c r="B453" s="70"/>
    </row>
    <row r="454" spans="2:2" ht="15.75" customHeight="1" x14ac:dyDescent="0.25">
      <c r="B454" s="70"/>
    </row>
    <row r="455" spans="2:2" ht="15.75" customHeight="1" x14ac:dyDescent="0.25">
      <c r="B455" s="70"/>
    </row>
    <row r="456" spans="2:2" ht="15.75" customHeight="1" x14ac:dyDescent="0.25">
      <c r="B456" s="70"/>
    </row>
    <row r="457" spans="2:2" ht="15.75" customHeight="1" x14ac:dyDescent="0.25">
      <c r="B457" s="70"/>
    </row>
    <row r="458" spans="2:2" ht="15.75" customHeight="1" x14ac:dyDescent="0.25">
      <c r="B458" s="70"/>
    </row>
    <row r="459" spans="2:2" ht="15.75" customHeight="1" x14ac:dyDescent="0.25">
      <c r="B459" s="70"/>
    </row>
    <row r="460" spans="2:2" ht="15.75" customHeight="1" x14ac:dyDescent="0.25">
      <c r="B460" s="70"/>
    </row>
    <row r="461" spans="2:2" ht="15.75" customHeight="1" x14ac:dyDescent="0.25">
      <c r="B461" s="70"/>
    </row>
    <row r="462" spans="2:2" ht="15.75" customHeight="1" x14ac:dyDescent="0.25">
      <c r="B462" s="70"/>
    </row>
    <row r="463" spans="2:2" ht="15.75" customHeight="1" x14ac:dyDescent="0.25">
      <c r="B463" s="70"/>
    </row>
    <row r="464" spans="2:2" ht="15.75" customHeight="1" x14ac:dyDescent="0.25">
      <c r="B464" s="70"/>
    </row>
    <row r="465" spans="2:2" ht="15.75" customHeight="1" x14ac:dyDescent="0.25">
      <c r="B465" s="70"/>
    </row>
    <row r="466" spans="2:2" ht="15.75" customHeight="1" x14ac:dyDescent="0.25">
      <c r="B466" s="70"/>
    </row>
    <row r="467" spans="2:2" ht="15.75" customHeight="1" x14ac:dyDescent="0.25">
      <c r="B467" s="70"/>
    </row>
    <row r="468" spans="2:2" ht="15.75" customHeight="1" x14ac:dyDescent="0.25">
      <c r="B468" s="70"/>
    </row>
    <row r="469" spans="2:2" ht="15.75" customHeight="1" x14ac:dyDescent="0.25">
      <c r="B469" s="70"/>
    </row>
    <row r="470" spans="2:2" ht="15.75" customHeight="1" x14ac:dyDescent="0.25">
      <c r="B470" s="70"/>
    </row>
    <row r="471" spans="2:2" ht="15.75" customHeight="1" x14ac:dyDescent="0.25">
      <c r="B471" s="70"/>
    </row>
    <row r="472" spans="2:2" ht="15.75" customHeight="1" x14ac:dyDescent="0.25">
      <c r="B472" s="70"/>
    </row>
    <row r="473" spans="2:2" ht="15.75" customHeight="1" x14ac:dyDescent="0.25">
      <c r="B473" s="70"/>
    </row>
    <row r="474" spans="2:2" ht="15.75" customHeight="1" x14ac:dyDescent="0.25">
      <c r="B474" s="70"/>
    </row>
    <row r="475" spans="2:2" ht="15.75" customHeight="1" x14ac:dyDescent="0.25">
      <c r="B475" s="70"/>
    </row>
    <row r="476" spans="2:2" ht="15.75" customHeight="1" x14ac:dyDescent="0.25">
      <c r="B476" s="70"/>
    </row>
    <row r="477" spans="2:2" ht="15.75" customHeight="1" x14ac:dyDescent="0.25">
      <c r="B477" s="70"/>
    </row>
    <row r="478" spans="2:2" ht="15.75" customHeight="1" x14ac:dyDescent="0.25">
      <c r="B478" s="70"/>
    </row>
    <row r="479" spans="2:2" ht="15.75" customHeight="1" x14ac:dyDescent="0.25">
      <c r="B479" s="70"/>
    </row>
    <row r="480" spans="2:2" ht="15.75" customHeight="1" x14ac:dyDescent="0.25">
      <c r="B480" s="70"/>
    </row>
    <row r="481" spans="2:2" ht="15.75" customHeight="1" x14ac:dyDescent="0.25">
      <c r="B481" s="70"/>
    </row>
    <row r="482" spans="2:2" ht="15.75" customHeight="1" x14ac:dyDescent="0.25">
      <c r="B482" s="70"/>
    </row>
    <row r="483" spans="2:2" ht="15.75" customHeight="1" x14ac:dyDescent="0.25">
      <c r="B483" s="70"/>
    </row>
    <row r="484" spans="2:2" ht="15.75" customHeight="1" x14ac:dyDescent="0.25">
      <c r="B484" s="70"/>
    </row>
    <row r="485" spans="2:2" ht="15.75" customHeight="1" x14ac:dyDescent="0.25">
      <c r="B485" s="70"/>
    </row>
    <row r="486" spans="2:2" ht="15.75" customHeight="1" x14ac:dyDescent="0.25">
      <c r="B486" s="70"/>
    </row>
    <row r="487" spans="2:2" ht="15.75" customHeight="1" x14ac:dyDescent="0.25">
      <c r="B487" s="70"/>
    </row>
    <row r="488" spans="2:2" ht="15.75" customHeight="1" x14ac:dyDescent="0.25">
      <c r="B488" s="70"/>
    </row>
    <row r="489" spans="2:2" ht="15.75" customHeight="1" x14ac:dyDescent="0.25">
      <c r="B489" s="70"/>
    </row>
    <row r="490" spans="2:2" ht="15.75" customHeight="1" x14ac:dyDescent="0.25">
      <c r="B490" s="70"/>
    </row>
    <row r="491" spans="2:2" ht="15.75" customHeight="1" x14ac:dyDescent="0.25">
      <c r="B491" s="70"/>
    </row>
    <row r="492" spans="2:2" ht="15.75" customHeight="1" x14ac:dyDescent="0.25">
      <c r="B492" s="70"/>
    </row>
    <row r="493" spans="2:2" ht="15.75" customHeight="1" x14ac:dyDescent="0.25">
      <c r="B493" s="70"/>
    </row>
    <row r="494" spans="2:2" ht="15.75" customHeight="1" x14ac:dyDescent="0.25">
      <c r="B494" s="70"/>
    </row>
    <row r="495" spans="2:2" ht="15.75" customHeight="1" x14ac:dyDescent="0.25">
      <c r="B495" s="70"/>
    </row>
    <row r="496" spans="2:2" ht="15.75" customHeight="1" x14ac:dyDescent="0.25">
      <c r="B496" s="70"/>
    </row>
    <row r="497" spans="2:2" ht="15.75" customHeight="1" x14ac:dyDescent="0.25">
      <c r="B497" s="70"/>
    </row>
    <row r="498" spans="2:2" ht="15.75" customHeight="1" x14ac:dyDescent="0.25">
      <c r="B498" s="70"/>
    </row>
    <row r="499" spans="2:2" ht="15.75" customHeight="1" x14ac:dyDescent="0.25">
      <c r="B499" s="70"/>
    </row>
    <row r="500" spans="2:2" ht="15.75" customHeight="1" x14ac:dyDescent="0.25">
      <c r="B500" s="70"/>
    </row>
    <row r="501" spans="2:2" ht="15.75" customHeight="1" x14ac:dyDescent="0.25">
      <c r="B501" s="70"/>
    </row>
    <row r="502" spans="2:2" ht="15.75" customHeight="1" x14ac:dyDescent="0.25">
      <c r="B502" s="70"/>
    </row>
    <row r="503" spans="2:2" ht="15.75" customHeight="1" x14ac:dyDescent="0.25">
      <c r="B503" s="70"/>
    </row>
    <row r="504" spans="2:2" ht="15.75" customHeight="1" x14ac:dyDescent="0.25">
      <c r="B504" s="70"/>
    </row>
    <row r="505" spans="2:2" ht="15.75" customHeight="1" x14ac:dyDescent="0.25">
      <c r="B505" s="70"/>
    </row>
    <row r="506" spans="2:2" ht="15.75" customHeight="1" x14ac:dyDescent="0.25">
      <c r="B506" s="70"/>
    </row>
    <row r="507" spans="2:2" ht="15.75" customHeight="1" x14ac:dyDescent="0.25">
      <c r="B507" s="70"/>
    </row>
    <row r="508" spans="2:2" ht="15.75" customHeight="1" x14ac:dyDescent="0.25">
      <c r="B508" s="70"/>
    </row>
    <row r="509" spans="2:2" ht="15.75" customHeight="1" x14ac:dyDescent="0.25">
      <c r="B509" s="70"/>
    </row>
    <row r="510" spans="2:2" ht="15.75" customHeight="1" x14ac:dyDescent="0.25">
      <c r="B510" s="70"/>
    </row>
    <row r="511" spans="2:2" ht="15.75" customHeight="1" x14ac:dyDescent="0.25">
      <c r="B511" s="70"/>
    </row>
    <row r="512" spans="2:2" ht="15.75" customHeight="1" x14ac:dyDescent="0.25">
      <c r="B512" s="70"/>
    </row>
    <row r="513" spans="2:2" ht="15.75" customHeight="1" x14ac:dyDescent="0.25">
      <c r="B513" s="70"/>
    </row>
    <row r="514" spans="2:2" ht="15.75" customHeight="1" x14ac:dyDescent="0.25">
      <c r="B514" s="70"/>
    </row>
    <row r="515" spans="2:2" ht="15.75" customHeight="1" x14ac:dyDescent="0.25">
      <c r="B515" s="70"/>
    </row>
    <row r="516" spans="2:2" ht="15.75" customHeight="1" x14ac:dyDescent="0.25">
      <c r="B516" s="70"/>
    </row>
    <row r="517" spans="2:2" ht="15.75" customHeight="1" x14ac:dyDescent="0.25">
      <c r="B517" s="70"/>
    </row>
    <row r="518" spans="2:2" ht="15.75" customHeight="1" x14ac:dyDescent="0.25">
      <c r="B518" s="70"/>
    </row>
    <row r="519" spans="2:2" ht="15.75" customHeight="1" x14ac:dyDescent="0.25">
      <c r="B519" s="70"/>
    </row>
    <row r="520" spans="2:2" ht="15.75" customHeight="1" x14ac:dyDescent="0.25">
      <c r="B520" s="70"/>
    </row>
    <row r="521" spans="2:2" ht="15.75" customHeight="1" x14ac:dyDescent="0.25">
      <c r="B521" s="70"/>
    </row>
    <row r="522" spans="2:2" ht="15.75" customHeight="1" x14ac:dyDescent="0.25">
      <c r="B522" s="70"/>
    </row>
    <row r="523" spans="2:2" ht="15.75" customHeight="1" x14ac:dyDescent="0.25">
      <c r="B523" s="70"/>
    </row>
    <row r="524" spans="2:2" ht="15.75" customHeight="1" x14ac:dyDescent="0.25">
      <c r="B524" s="70"/>
    </row>
    <row r="525" spans="2:2" ht="15.75" customHeight="1" x14ac:dyDescent="0.25">
      <c r="B525" s="70"/>
    </row>
    <row r="526" spans="2:2" ht="15.75" customHeight="1" x14ac:dyDescent="0.25">
      <c r="B526" s="70"/>
    </row>
    <row r="527" spans="2:2" ht="15.75" customHeight="1" x14ac:dyDescent="0.25">
      <c r="B527" s="70"/>
    </row>
    <row r="528" spans="2:2" ht="15.75" customHeight="1" x14ac:dyDescent="0.25">
      <c r="B528" s="70"/>
    </row>
    <row r="529" spans="2:2" ht="15.75" customHeight="1" x14ac:dyDescent="0.25">
      <c r="B529" s="70"/>
    </row>
    <row r="530" spans="2:2" ht="15.75" customHeight="1" x14ac:dyDescent="0.25">
      <c r="B530" s="70"/>
    </row>
    <row r="531" spans="2:2" ht="15.75" customHeight="1" x14ac:dyDescent="0.25">
      <c r="B531" s="70"/>
    </row>
    <row r="532" spans="2:2" ht="15.75" customHeight="1" x14ac:dyDescent="0.25">
      <c r="B532" s="70"/>
    </row>
    <row r="533" spans="2:2" ht="15.75" customHeight="1" x14ac:dyDescent="0.25">
      <c r="B533" s="70"/>
    </row>
    <row r="534" spans="2:2" ht="15.75" customHeight="1" x14ac:dyDescent="0.25">
      <c r="B534" s="70"/>
    </row>
    <row r="535" spans="2:2" ht="15.75" customHeight="1" x14ac:dyDescent="0.25">
      <c r="B535" s="70"/>
    </row>
    <row r="536" spans="2:2" ht="15.75" customHeight="1" x14ac:dyDescent="0.25">
      <c r="B536" s="70"/>
    </row>
    <row r="537" spans="2:2" ht="15.75" customHeight="1" x14ac:dyDescent="0.25">
      <c r="B537" s="70"/>
    </row>
    <row r="538" spans="2:2" ht="15.75" customHeight="1" x14ac:dyDescent="0.25">
      <c r="B538" s="70"/>
    </row>
    <row r="539" spans="2:2" ht="15.75" customHeight="1" x14ac:dyDescent="0.25">
      <c r="B539" s="70"/>
    </row>
    <row r="540" spans="2:2" ht="15.75" customHeight="1" x14ac:dyDescent="0.25">
      <c r="B540" s="70"/>
    </row>
    <row r="541" spans="2:2" ht="15.75" customHeight="1" x14ac:dyDescent="0.25">
      <c r="B541" s="70"/>
    </row>
    <row r="542" spans="2:2" ht="15.75" customHeight="1" x14ac:dyDescent="0.25">
      <c r="B542" s="70"/>
    </row>
    <row r="543" spans="2:2" ht="15.75" customHeight="1" x14ac:dyDescent="0.25">
      <c r="B543" s="70"/>
    </row>
    <row r="544" spans="2:2" ht="15.75" customHeight="1" x14ac:dyDescent="0.25">
      <c r="B544" s="70"/>
    </row>
    <row r="545" spans="2:2" ht="15.75" customHeight="1" x14ac:dyDescent="0.25">
      <c r="B545" s="70"/>
    </row>
    <row r="546" spans="2:2" ht="15.75" customHeight="1" x14ac:dyDescent="0.25">
      <c r="B546" s="70"/>
    </row>
    <row r="547" spans="2:2" ht="15.75" customHeight="1" x14ac:dyDescent="0.25">
      <c r="B547" s="70"/>
    </row>
    <row r="548" spans="2:2" ht="15.75" customHeight="1" x14ac:dyDescent="0.25">
      <c r="B548" s="70"/>
    </row>
    <row r="549" spans="2:2" ht="15.75" customHeight="1" x14ac:dyDescent="0.25">
      <c r="B549" s="70"/>
    </row>
    <row r="550" spans="2:2" ht="15.75" customHeight="1" x14ac:dyDescent="0.25">
      <c r="B550" s="70"/>
    </row>
    <row r="551" spans="2:2" ht="15.75" customHeight="1" x14ac:dyDescent="0.25">
      <c r="B551" s="70"/>
    </row>
    <row r="552" spans="2:2" ht="15.75" customHeight="1" x14ac:dyDescent="0.25">
      <c r="B552" s="70"/>
    </row>
    <row r="553" spans="2:2" ht="15.75" customHeight="1" x14ac:dyDescent="0.25">
      <c r="B553" s="70"/>
    </row>
    <row r="554" spans="2:2" ht="15.75" customHeight="1" x14ac:dyDescent="0.25">
      <c r="B554" s="70"/>
    </row>
    <row r="555" spans="2:2" ht="15.75" customHeight="1" x14ac:dyDescent="0.25">
      <c r="B555" s="70"/>
    </row>
    <row r="556" spans="2:2" ht="15.75" customHeight="1" x14ac:dyDescent="0.25">
      <c r="B556" s="70"/>
    </row>
    <row r="557" spans="2:2" ht="15.75" customHeight="1" x14ac:dyDescent="0.25">
      <c r="B557" s="70"/>
    </row>
    <row r="558" spans="2:2" ht="15.75" customHeight="1" x14ac:dyDescent="0.25">
      <c r="B558" s="70"/>
    </row>
    <row r="559" spans="2:2" ht="15.75" customHeight="1" x14ac:dyDescent="0.25">
      <c r="B559" s="70"/>
    </row>
    <row r="560" spans="2:2" ht="15.75" customHeight="1" x14ac:dyDescent="0.25">
      <c r="B560" s="70"/>
    </row>
    <row r="561" spans="2:2" ht="15.75" customHeight="1" x14ac:dyDescent="0.25">
      <c r="B561" s="70"/>
    </row>
    <row r="562" spans="2:2" ht="15.75" customHeight="1" x14ac:dyDescent="0.25">
      <c r="B562" s="70"/>
    </row>
    <row r="563" spans="2:2" ht="15.75" customHeight="1" x14ac:dyDescent="0.25">
      <c r="B563" s="70"/>
    </row>
    <row r="564" spans="2:2" ht="15.75" customHeight="1" x14ac:dyDescent="0.25">
      <c r="B564" s="70"/>
    </row>
    <row r="565" spans="2:2" ht="15.75" customHeight="1" x14ac:dyDescent="0.25">
      <c r="B565" s="70"/>
    </row>
    <row r="566" spans="2:2" ht="15.75" customHeight="1" x14ac:dyDescent="0.25">
      <c r="B566" s="70"/>
    </row>
    <row r="567" spans="2:2" ht="15.75" customHeight="1" x14ac:dyDescent="0.25">
      <c r="B567" s="70"/>
    </row>
    <row r="568" spans="2:2" ht="15.75" customHeight="1" x14ac:dyDescent="0.25">
      <c r="B568" s="70"/>
    </row>
    <row r="569" spans="2:2" ht="15.75" customHeight="1" x14ac:dyDescent="0.25">
      <c r="B569" s="70"/>
    </row>
    <row r="570" spans="2:2" ht="15.75" customHeight="1" x14ac:dyDescent="0.25">
      <c r="B570" s="70"/>
    </row>
    <row r="571" spans="2:2" ht="15.75" customHeight="1" x14ac:dyDescent="0.25">
      <c r="B571" s="70"/>
    </row>
    <row r="572" spans="2:2" ht="15.75" customHeight="1" x14ac:dyDescent="0.25">
      <c r="B572" s="70"/>
    </row>
    <row r="573" spans="2:2" ht="15.75" customHeight="1" x14ac:dyDescent="0.25">
      <c r="B573" s="70"/>
    </row>
    <row r="574" spans="2:2" ht="15.75" customHeight="1" x14ac:dyDescent="0.25">
      <c r="B574" s="70"/>
    </row>
    <row r="575" spans="2:2" ht="15.75" customHeight="1" x14ac:dyDescent="0.25">
      <c r="B575" s="70"/>
    </row>
    <row r="576" spans="2:2" ht="15.75" customHeight="1" x14ac:dyDescent="0.25">
      <c r="B576" s="70"/>
    </row>
    <row r="577" spans="2:2" ht="15.75" customHeight="1" x14ac:dyDescent="0.25">
      <c r="B577" s="70"/>
    </row>
    <row r="578" spans="2:2" ht="15.75" customHeight="1" x14ac:dyDescent="0.25">
      <c r="B578" s="70"/>
    </row>
    <row r="579" spans="2:2" ht="15.75" customHeight="1" x14ac:dyDescent="0.25">
      <c r="B579" s="70"/>
    </row>
    <row r="580" spans="2:2" ht="15.75" customHeight="1" x14ac:dyDescent="0.25">
      <c r="B580" s="70"/>
    </row>
    <row r="581" spans="2:2" ht="15.75" customHeight="1" x14ac:dyDescent="0.25">
      <c r="B581" s="70"/>
    </row>
    <row r="582" spans="2:2" ht="15.75" customHeight="1" x14ac:dyDescent="0.25">
      <c r="B582" s="70"/>
    </row>
    <row r="583" spans="2:2" ht="15.75" customHeight="1" x14ac:dyDescent="0.25">
      <c r="B583" s="70"/>
    </row>
    <row r="584" spans="2:2" ht="15.75" customHeight="1" x14ac:dyDescent="0.25">
      <c r="B584" s="70"/>
    </row>
    <row r="585" spans="2:2" ht="15.75" customHeight="1" x14ac:dyDescent="0.25">
      <c r="B585" s="70"/>
    </row>
    <row r="586" spans="2:2" ht="15.75" customHeight="1" x14ac:dyDescent="0.25">
      <c r="B586" s="70"/>
    </row>
    <row r="587" spans="2:2" ht="15.75" customHeight="1" x14ac:dyDescent="0.25">
      <c r="B587" s="70"/>
    </row>
    <row r="588" spans="2:2" ht="15.75" customHeight="1" x14ac:dyDescent="0.25">
      <c r="B588" s="70"/>
    </row>
    <row r="589" spans="2:2" ht="15.75" customHeight="1" x14ac:dyDescent="0.25">
      <c r="B589" s="70"/>
    </row>
    <row r="590" spans="2:2" ht="15.75" customHeight="1" x14ac:dyDescent="0.25">
      <c r="B590" s="70"/>
    </row>
    <row r="591" spans="2:2" ht="15.75" customHeight="1" x14ac:dyDescent="0.25">
      <c r="B591" s="70"/>
    </row>
    <row r="592" spans="2:2" ht="15.75" customHeight="1" x14ac:dyDescent="0.25">
      <c r="B592" s="70"/>
    </row>
    <row r="593" spans="2:2" ht="15.75" customHeight="1" x14ac:dyDescent="0.25">
      <c r="B593" s="70"/>
    </row>
    <row r="594" spans="2:2" ht="15.75" customHeight="1" x14ac:dyDescent="0.25">
      <c r="B594" s="70"/>
    </row>
    <row r="595" spans="2:2" ht="15.75" customHeight="1" x14ac:dyDescent="0.25">
      <c r="B595" s="70"/>
    </row>
    <row r="596" spans="2:2" ht="15.75" customHeight="1" x14ac:dyDescent="0.25">
      <c r="B596" s="70"/>
    </row>
    <row r="597" spans="2:2" ht="15.75" customHeight="1" x14ac:dyDescent="0.25">
      <c r="B597" s="70"/>
    </row>
    <row r="598" spans="2:2" ht="15.75" customHeight="1" x14ac:dyDescent="0.25">
      <c r="B598" s="70"/>
    </row>
    <row r="599" spans="2:2" ht="15.75" customHeight="1" x14ac:dyDescent="0.25">
      <c r="B599" s="70"/>
    </row>
    <row r="600" spans="2:2" ht="15.75" customHeight="1" x14ac:dyDescent="0.25">
      <c r="B600" s="70"/>
    </row>
    <row r="601" spans="2:2" ht="15.75" customHeight="1" x14ac:dyDescent="0.25">
      <c r="B601" s="70"/>
    </row>
    <row r="602" spans="2:2" ht="15.75" customHeight="1" x14ac:dyDescent="0.25">
      <c r="B602" s="70"/>
    </row>
    <row r="603" spans="2:2" ht="15.75" customHeight="1" x14ac:dyDescent="0.25">
      <c r="B603" s="70"/>
    </row>
    <row r="604" spans="2:2" ht="15.75" customHeight="1" x14ac:dyDescent="0.25">
      <c r="B604" s="70"/>
    </row>
    <row r="605" spans="2:2" ht="15.75" customHeight="1" x14ac:dyDescent="0.25">
      <c r="B605" s="70"/>
    </row>
    <row r="606" spans="2:2" ht="15.75" customHeight="1" x14ac:dyDescent="0.25">
      <c r="B606" s="70"/>
    </row>
    <row r="607" spans="2:2" ht="15.75" customHeight="1" x14ac:dyDescent="0.25">
      <c r="B607" s="70"/>
    </row>
    <row r="608" spans="2:2" ht="15.75" customHeight="1" x14ac:dyDescent="0.25">
      <c r="B608" s="70"/>
    </row>
    <row r="609" spans="2:2" ht="15.75" customHeight="1" x14ac:dyDescent="0.25">
      <c r="B609" s="70"/>
    </row>
    <row r="610" spans="2:2" ht="15.75" customHeight="1" x14ac:dyDescent="0.25">
      <c r="B610" s="70"/>
    </row>
    <row r="611" spans="2:2" ht="15.75" customHeight="1" x14ac:dyDescent="0.25">
      <c r="B611" s="70"/>
    </row>
    <row r="612" spans="2:2" ht="15.75" customHeight="1" x14ac:dyDescent="0.25">
      <c r="B612" s="70"/>
    </row>
    <row r="613" spans="2:2" ht="15.75" customHeight="1" x14ac:dyDescent="0.25">
      <c r="B613" s="70"/>
    </row>
    <row r="614" spans="2:2" ht="15.75" customHeight="1" x14ac:dyDescent="0.25">
      <c r="B614" s="70"/>
    </row>
    <row r="615" spans="2:2" ht="15.75" customHeight="1" x14ac:dyDescent="0.25">
      <c r="B615" s="70"/>
    </row>
    <row r="616" spans="2:2" ht="15.75" customHeight="1" x14ac:dyDescent="0.25">
      <c r="B616" s="70"/>
    </row>
    <row r="617" spans="2:2" ht="15.75" customHeight="1" x14ac:dyDescent="0.25">
      <c r="B617" s="70"/>
    </row>
    <row r="618" spans="2:2" ht="15.75" customHeight="1" x14ac:dyDescent="0.25">
      <c r="B618" s="70"/>
    </row>
    <row r="619" spans="2:2" ht="15.75" customHeight="1" x14ac:dyDescent="0.25">
      <c r="B619" s="70"/>
    </row>
    <row r="620" spans="2:2" ht="15.75" customHeight="1" x14ac:dyDescent="0.25">
      <c r="B620" s="70"/>
    </row>
    <row r="621" spans="2:2" ht="15.75" customHeight="1" x14ac:dyDescent="0.25">
      <c r="B621" s="70"/>
    </row>
    <row r="622" spans="2:2" ht="15.75" customHeight="1" x14ac:dyDescent="0.25">
      <c r="B622" s="70"/>
    </row>
    <row r="623" spans="2:2" ht="15.75" customHeight="1" x14ac:dyDescent="0.25">
      <c r="B623" s="70"/>
    </row>
    <row r="624" spans="2:2" ht="15.75" customHeight="1" x14ac:dyDescent="0.25">
      <c r="B624" s="70"/>
    </row>
    <row r="625" spans="2:2" ht="15.75" customHeight="1" x14ac:dyDescent="0.25">
      <c r="B625" s="70"/>
    </row>
    <row r="626" spans="2:2" ht="15.75" customHeight="1" x14ac:dyDescent="0.25">
      <c r="B626" s="70"/>
    </row>
    <row r="627" spans="2:2" ht="15.75" customHeight="1" x14ac:dyDescent="0.25">
      <c r="B627" s="70"/>
    </row>
    <row r="628" spans="2:2" ht="15.75" customHeight="1" x14ac:dyDescent="0.25">
      <c r="B628" s="70"/>
    </row>
    <row r="629" spans="2:2" ht="15.75" customHeight="1" x14ac:dyDescent="0.25">
      <c r="B629" s="70"/>
    </row>
    <row r="630" spans="2:2" ht="15.75" customHeight="1" x14ac:dyDescent="0.25">
      <c r="B630" s="70"/>
    </row>
    <row r="631" spans="2:2" ht="15.75" customHeight="1" x14ac:dyDescent="0.25">
      <c r="B631" s="70"/>
    </row>
    <row r="632" spans="2:2" ht="15.75" customHeight="1" x14ac:dyDescent="0.25">
      <c r="B632" s="70"/>
    </row>
    <row r="633" spans="2:2" ht="15.75" customHeight="1" x14ac:dyDescent="0.25">
      <c r="B633" s="70"/>
    </row>
    <row r="634" spans="2:2" ht="15.75" customHeight="1" x14ac:dyDescent="0.25">
      <c r="B634" s="70"/>
    </row>
    <row r="635" spans="2:2" ht="15.75" customHeight="1" x14ac:dyDescent="0.25">
      <c r="B635" s="70"/>
    </row>
    <row r="636" spans="2:2" ht="15.75" customHeight="1" x14ac:dyDescent="0.25">
      <c r="B636" s="70"/>
    </row>
    <row r="637" spans="2:2" ht="15.75" customHeight="1" x14ac:dyDescent="0.25">
      <c r="B637" s="70"/>
    </row>
    <row r="638" spans="2:2" ht="15.75" customHeight="1" x14ac:dyDescent="0.25">
      <c r="B638" s="70"/>
    </row>
    <row r="639" spans="2:2" ht="15.75" customHeight="1" x14ac:dyDescent="0.25">
      <c r="B639" s="70"/>
    </row>
    <row r="640" spans="2:2" ht="15.75" customHeight="1" x14ac:dyDescent="0.25">
      <c r="B640" s="70"/>
    </row>
    <row r="641" spans="2:2" ht="15.75" customHeight="1" x14ac:dyDescent="0.25">
      <c r="B641" s="70"/>
    </row>
    <row r="642" spans="2:2" ht="15.75" customHeight="1" x14ac:dyDescent="0.25">
      <c r="B642" s="70"/>
    </row>
    <row r="643" spans="2:2" ht="15.75" customHeight="1" x14ac:dyDescent="0.25">
      <c r="B643" s="70"/>
    </row>
    <row r="644" spans="2:2" ht="15.75" customHeight="1" x14ac:dyDescent="0.25">
      <c r="B644" s="70"/>
    </row>
    <row r="645" spans="2:2" ht="15.75" customHeight="1" x14ac:dyDescent="0.25">
      <c r="B645" s="70"/>
    </row>
    <row r="646" spans="2:2" ht="15.75" customHeight="1" x14ac:dyDescent="0.25">
      <c r="B646" s="70"/>
    </row>
    <row r="647" spans="2:2" ht="15.75" customHeight="1" x14ac:dyDescent="0.25">
      <c r="B647" s="70"/>
    </row>
    <row r="648" spans="2:2" ht="15.75" customHeight="1" x14ac:dyDescent="0.25">
      <c r="B648" s="70"/>
    </row>
    <row r="649" spans="2:2" ht="15.75" customHeight="1" x14ac:dyDescent="0.25">
      <c r="B649" s="70"/>
    </row>
    <row r="650" spans="2:2" ht="15.75" customHeight="1" x14ac:dyDescent="0.25">
      <c r="B650" s="70"/>
    </row>
    <row r="651" spans="2:2" ht="15.75" customHeight="1" x14ac:dyDescent="0.25">
      <c r="B651" s="70"/>
    </row>
    <row r="652" spans="2:2" ht="15.75" customHeight="1" x14ac:dyDescent="0.25">
      <c r="B652" s="70"/>
    </row>
    <row r="653" spans="2:2" ht="15.75" customHeight="1" x14ac:dyDescent="0.25">
      <c r="B653" s="70"/>
    </row>
    <row r="654" spans="2:2" ht="15.75" customHeight="1" x14ac:dyDescent="0.25">
      <c r="B654" s="70"/>
    </row>
    <row r="655" spans="2:2" ht="15.75" customHeight="1" x14ac:dyDescent="0.25">
      <c r="B655" s="70"/>
    </row>
    <row r="656" spans="2:2" ht="15.75" customHeight="1" x14ac:dyDescent="0.25">
      <c r="B656" s="70"/>
    </row>
    <row r="657" spans="2:2" ht="15.75" customHeight="1" x14ac:dyDescent="0.25">
      <c r="B657" s="70"/>
    </row>
    <row r="658" spans="2:2" ht="15.75" customHeight="1" x14ac:dyDescent="0.25">
      <c r="B658" s="70"/>
    </row>
    <row r="659" spans="2:2" ht="15.75" customHeight="1" x14ac:dyDescent="0.25">
      <c r="B659" s="70"/>
    </row>
    <row r="660" spans="2:2" ht="15.75" customHeight="1" x14ac:dyDescent="0.25">
      <c r="B660" s="70"/>
    </row>
    <row r="661" spans="2:2" ht="15.75" customHeight="1" x14ac:dyDescent="0.25">
      <c r="B661" s="70"/>
    </row>
    <row r="662" spans="2:2" ht="15.75" customHeight="1" x14ac:dyDescent="0.25">
      <c r="B662" s="70"/>
    </row>
    <row r="663" spans="2:2" ht="15.75" customHeight="1" x14ac:dyDescent="0.25">
      <c r="B663" s="70"/>
    </row>
    <row r="664" spans="2:2" ht="15.75" customHeight="1" x14ac:dyDescent="0.25">
      <c r="B664" s="70"/>
    </row>
    <row r="665" spans="2:2" ht="15.75" customHeight="1" x14ac:dyDescent="0.25">
      <c r="B665" s="70"/>
    </row>
    <row r="666" spans="2:2" ht="15.75" customHeight="1" x14ac:dyDescent="0.25">
      <c r="B666" s="70"/>
    </row>
    <row r="667" spans="2:2" ht="15.75" customHeight="1" x14ac:dyDescent="0.25">
      <c r="B667" s="70"/>
    </row>
    <row r="668" spans="2:2" ht="15.75" customHeight="1" x14ac:dyDescent="0.25">
      <c r="B668" s="70"/>
    </row>
    <row r="669" spans="2:2" ht="15.75" customHeight="1" x14ac:dyDescent="0.25">
      <c r="B669" s="70"/>
    </row>
    <row r="670" spans="2:2" ht="15.75" customHeight="1" x14ac:dyDescent="0.25">
      <c r="B670" s="70"/>
    </row>
    <row r="671" spans="2:2" ht="15.75" customHeight="1" x14ac:dyDescent="0.25">
      <c r="B671" s="70"/>
    </row>
    <row r="672" spans="2:2" ht="15.75" customHeight="1" x14ac:dyDescent="0.25">
      <c r="B672" s="70"/>
    </row>
    <row r="673" spans="2:2" ht="15.75" customHeight="1" x14ac:dyDescent="0.25">
      <c r="B673" s="70"/>
    </row>
    <row r="674" spans="2:2" ht="15.75" customHeight="1" x14ac:dyDescent="0.25">
      <c r="B674" s="70"/>
    </row>
    <row r="675" spans="2:2" ht="15.75" customHeight="1" x14ac:dyDescent="0.25">
      <c r="B675" s="70"/>
    </row>
    <row r="676" spans="2:2" ht="15.75" customHeight="1" x14ac:dyDescent="0.25">
      <c r="B676" s="70"/>
    </row>
    <row r="677" spans="2:2" ht="15.75" customHeight="1" x14ac:dyDescent="0.25">
      <c r="B677" s="70"/>
    </row>
    <row r="678" spans="2:2" ht="15.75" customHeight="1" x14ac:dyDescent="0.25">
      <c r="B678" s="70"/>
    </row>
    <row r="679" spans="2:2" ht="15.75" customHeight="1" x14ac:dyDescent="0.25">
      <c r="B679" s="70"/>
    </row>
    <row r="680" spans="2:2" ht="15.75" customHeight="1" x14ac:dyDescent="0.25">
      <c r="B680" s="70"/>
    </row>
    <row r="681" spans="2:2" ht="15.75" customHeight="1" x14ac:dyDescent="0.25">
      <c r="B681" s="70"/>
    </row>
    <row r="682" spans="2:2" ht="15.75" customHeight="1" x14ac:dyDescent="0.25">
      <c r="B682" s="70"/>
    </row>
    <row r="683" spans="2:2" ht="15.75" customHeight="1" x14ac:dyDescent="0.25">
      <c r="B683" s="70"/>
    </row>
    <row r="684" spans="2:2" ht="15.75" customHeight="1" x14ac:dyDescent="0.25">
      <c r="B684" s="70"/>
    </row>
    <row r="685" spans="2:2" ht="15.75" customHeight="1" x14ac:dyDescent="0.25">
      <c r="B685" s="70"/>
    </row>
    <row r="686" spans="2:2" ht="15.75" customHeight="1" x14ac:dyDescent="0.25">
      <c r="B686" s="70"/>
    </row>
    <row r="687" spans="2:2" ht="15.75" customHeight="1" x14ac:dyDescent="0.25">
      <c r="B687" s="70"/>
    </row>
    <row r="688" spans="2:2" ht="15.75" customHeight="1" x14ac:dyDescent="0.25">
      <c r="B688" s="70"/>
    </row>
    <row r="689" spans="2:2" ht="15.75" customHeight="1" x14ac:dyDescent="0.25">
      <c r="B689" s="70"/>
    </row>
    <row r="690" spans="2:2" ht="15.75" customHeight="1" x14ac:dyDescent="0.25">
      <c r="B690" s="70"/>
    </row>
    <row r="691" spans="2:2" ht="15.75" customHeight="1" x14ac:dyDescent="0.25">
      <c r="B691" s="70"/>
    </row>
    <row r="692" spans="2:2" ht="15.75" customHeight="1" x14ac:dyDescent="0.25">
      <c r="B692" s="70"/>
    </row>
    <row r="693" spans="2:2" ht="15.75" customHeight="1" x14ac:dyDescent="0.25">
      <c r="B693" s="70"/>
    </row>
    <row r="694" spans="2:2" ht="15.75" customHeight="1" x14ac:dyDescent="0.25">
      <c r="B694" s="70"/>
    </row>
    <row r="695" spans="2:2" ht="15.75" customHeight="1" x14ac:dyDescent="0.25">
      <c r="B695" s="70"/>
    </row>
    <row r="696" spans="2:2" ht="15.75" customHeight="1" x14ac:dyDescent="0.25">
      <c r="B696" s="70"/>
    </row>
    <row r="697" spans="2:2" ht="15.75" customHeight="1" x14ac:dyDescent="0.25">
      <c r="B697" s="70"/>
    </row>
    <row r="698" spans="2:2" ht="15.75" customHeight="1" x14ac:dyDescent="0.25">
      <c r="B698" s="70"/>
    </row>
    <row r="699" spans="2:2" ht="15.75" customHeight="1" x14ac:dyDescent="0.25">
      <c r="B699" s="70"/>
    </row>
    <row r="700" spans="2:2" ht="15.75" customHeight="1" x14ac:dyDescent="0.25">
      <c r="B700" s="70"/>
    </row>
    <row r="701" spans="2:2" ht="15.75" customHeight="1" x14ac:dyDescent="0.25">
      <c r="B701" s="70"/>
    </row>
    <row r="702" spans="2:2" ht="15.75" customHeight="1" x14ac:dyDescent="0.25">
      <c r="B702" s="70"/>
    </row>
    <row r="703" spans="2:2" ht="15.75" customHeight="1" x14ac:dyDescent="0.25">
      <c r="B703" s="70"/>
    </row>
    <row r="704" spans="2:2" ht="15.75" customHeight="1" x14ac:dyDescent="0.25">
      <c r="B704" s="70"/>
    </row>
    <row r="705" spans="2:2" ht="15.75" customHeight="1" x14ac:dyDescent="0.25">
      <c r="B705" s="70"/>
    </row>
    <row r="706" spans="2:2" ht="15.75" customHeight="1" x14ac:dyDescent="0.25">
      <c r="B706" s="70"/>
    </row>
    <row r="707" spans="2:2" ht="15.75" customHeight="1" x14ac:dyDescent="0.25">
      <c r="B707" s="70"/>
    </row>
    <row r="708" spans="2:2" ht="15.75" customHeight="1" x14ac:dyDescent="0.25">
      <c r="B708" s="70"/>
    </row>
    <row r="709" spans="2:2" ht="15.75" customHeight="1" x14ac:dyDescent="0.25">
      <c r="B709" s="70"/>
    </row>
    <row r="710" spans="2:2" ht="15.75" customHeight="1" x14ac:dyDescent="0.25">
      <c r="B710" s="70"/>
    </row>
    <row r="711" spans="2:2" ht="15.75" customHeight="1" x14ac:dyDescent="0.25">
      <c r="B711" s="70"/>
    </row>
    <row r="712" spans="2:2" ht="15.75" customHeight="1" x14ac:dyDescent="0.25">
      <c r="B712" s="70"/>
    </row>
    <row r="713" spans="2:2" ht="15.75" customHeight="1" x14ac:dyDescent="0.25">
      <c r="B713" s="70"/>
    </row>
    <row r="714" spans="2:2" ht="15.75" customHeight="1" x14ac:dyDescent="0.25">
      <c r="B714" s="70"/>
    </row>
    <row r="715" spans="2:2" ht="15.75" customHeight="1" x14ac:dyDescent="0.25">
      <c r="B715" s="70"/>
    </row>
    <row r="716" spans="2:2" ht="15.75" customHeight="1" x14ac:dyDescent="0.25">
      <c r="B716" s="70"/>
    </row>
    <row r="717" spans="2:2" ht="15.75" customHeight="1" x14ac:dyDescent="0.25">
      <c r="B717" s="70"/>
    </row>
    <row r="718" spans="2:2" ht="15.75" customHeight="1" x14ac:dyDescent="0.25">
      <c r="B718" s="70"/>
    </row>
    <row r="719" spans="2:2" ht="15.75" customHeight="1" x14ac:dyDescent="0.25">
      <c r="B719" s="70"/>
    </row>
    <row r="720" spans="2:2" ht="15.75" customHeight="1" x14ac:dyDescent="0.25">
      <c r="B720" s="70"/>
    </row>
    <row r="721" spans="2:2" ht="15.75" customHeight="1" x14ac:dyDescent="0.25">
      <c r="B721" s="70"/>
    </row>
    <row r="722" spans="2:2" ht="15.75" customHeight="1" x14ac:dyDescent="0.25">
      <c r="B722" s="70"/>
    </row>
    <row r="723" spans="2:2" ht="15.75" customHeight="1" x14ac:dyDescent="0.25">
      <c r="B723" s="70"/>
    </row>
    <row r="724" spans="2:2" ht="15.75" customHeight="1" x14ac:dyDescent="0.25">
      <c r="B724" s="70"/>
    </row>
    <row r="725" spans="2:2" ht="15.75" customHeight="1" x14ac:dyDescent="0.25">
      <c r="B725" s="70"/>
    </row>
    <row r="726" spans="2:2" ht="15.75" customHeight="1" x14ac:dyDescent="0.25">
      <c r="B726" s="70"/>
    </row>
    <row r="727" spans="2:2" ht="15.75" customHeight="1" x14ac:dyDescent="0.25">
      <c r="B727" s="70"/>
    </row>
    <row r="728" spans="2:2" ht="15.75" customHeight="1" x14ac:dyDescent="0.25">
      <c r="B728" s="70"/>
    </row>
    <row r="729" spans="2:2" ht="15.75" customHeight="1" x14ac:dyDescent="0.25">
      <c r="B729" s="70"/>
    </row>
    <row r="730" spans="2:2" ht="15.75" customHeight="1" x14ac:dyDescent="0.25">
      <c r="B730" s="70"/>
    </row>
    <row r="731" spans="2:2" ht="15.75" customHeight="1" x14ac:dyDescent="0.25">
      <c r="B731" s="70"/>
    </row>
    <row r="732" spans="2:2" ht="15.75" customHeight="1" x14ac:dyDescent="0.25">
      <c r="B732" s="70"/>
    </row>
    <row r="733" spans="2:2" ht="15.75" customHeight="1" x14ac:dyDescent="0.25">
      <c r="B733" s="70"/>
    </row>
    <row r="734" spans="2:2" ht="15.75" customHeight="1" x14ac:dyDescent="0.25">
      <c r="B734" s="70"/>
    </row>
    <row r="735" spans="2:2" ht="15.75" customHeight="1" x14ac:dyDescent="0.25">
      <c r="B735" s="70"/>
    </row>
    <row r="736" spans="2:2" ht="15.75" customHeight="1" x14ac:dyDescent="0.25">
      <c r="B736" s="70"/>
    </row>
    <row r="737" spans="2:2" ht="15.75" customHeight="1" x14ac:dyDescent="0.25">
      <c r="B737" s="70"/>
    </row>
    <row r="738" spans="2:2" ht="15.75" customHeight="1" x14ac:dyDescent="0.25">
      <c r="B738" s="70"/>
    </row>
    <row r="739" spans="2:2" ht="15.75" customHeight="1" x14ac:dyDescent="0.25">
      <c r="B739" s="70"/>
    </row>
    <row r="740" spans="2:2" ht="15.75" customHeight="1" x14ac:dyDescent="0.25">
      <c r="B740" s="70"/>
    </row>
    <row r="741" spans="2:2" ht="15.75" customHeight="1" x14ac:dyDescent="0.25">
      <c r="B741" s="70"/>
    </row>
    <row r="742" spans="2:2" ht="15.75" customHeight="1" x14ac:dyDescent="0.25">
      <c r="B742" s="70"/>
    </row>
    <row r="743" spans="2:2" ht="15.75" customHeight="1" x14ac:dyDescent="0.25">
      <c r="B743" s="70"/>
    </row>
    <row r="744" spans="2:2" ht="15.75" customHeight="1" x14ac:dyDescent="0.25">
      <c r="B744" s="70"/>
    </row>
    <row r="745" spans="2:2" ht="15.75" customHeight="1" x14ac:dyDescent="0.25">
      <c r="B745" s="70"/>
    </row>
    <row r="746" spans="2:2" ht="15.75" customHeight="1" x14ac:dyDescent="0.25">
      <c r="B746" s="70"/>
    </row>
    <row r="747" spans="2:2" ht="15.75" customHeight="1" x14ac:dyDescent="0.25">
      <c r="B747" s="70"/>
    </row>
    <row r="748" spans="2:2" ht="15.75" customHeight="1" x14ac:dyDescent="0.25">
      <c r="B748" s="70"/>
    </row>
    <row r="749" spans="2:2" ht="15.75" customHeight="1" x14ac:dyDescent="0.25">
      <c r="B749" s="70"/>
    </row>
    <row r="750" spans="2:2" ht="15.75" customHeight="1" x14ac:dyDescent="0.25">
      <c r="B750" s="70"/>
    </row>
    <row r="751" spans="2:2" ht="15.75" customHeight="1" x14ac:dyDescent="0.25">
      <c r="B751" s="70"/>
    </row>
    <row r="752" spans="2:2" ht="15.75" customHeight="1" x14ac:dyDescent="0.25">
      <c r="B752" s="70"/>
    </row>
    <row r="753" spans="2:2" ht="15.75" customHeight="1" x14ac:dyDescent="0.25">
      <c r="B753" s="70"/>
    </row>
    <row r="754" spans="2:2" ht="15.75" customHeight="1" x14ac:dyDescent="0.25">
      <c r="B754" s="70"/>
    </row>
    <row r="755" spans="2:2" ht="15.75" customHeight="1" x14ac:dyDescent="0.25">
      <c r="B755" s="70"/>
    </row>
    <row r="756" spans="2:2" ht="15.75" customHeight="1" x14ac:dyDescent="0.25">
      <c r="B756" s="70"/>
    </row>
    <row r="757" spans="2:2" ht="15.75" customHeight="1" x14ac:dyDescent="0.25">
      <c r="B757" s="70"/>
    </row>
    <row r="758" spans="2:2" ht="15.75" customHeight="1" x14ac:dyDescent="0.25">
      <c r="B758" s="70"/>
    </row>
    <row r="759" spans="2:2" ht="15.75" customHeight="1" x14ac:dyDescent="0.25">
      <c r="B759" s="70"/>
    </row>
    <row r="760" spans="2:2" ht="15.75" customHeight="1" x14ac:dyDescent="0.25">
      <c r="B760" s="70"/>
    </row>
    <row r="761" spans="2:2" ht="15.75" customHeight="1" x14ac:dyDescent="0.25">
      <c r="B761" s="70"/>
    </row>
    <row r="762" spans="2:2" ht="15.75" customHeight="1" x14ac:dyDescent="0.25">
      <c r="B762" s="70"/>
    </row>
    <row r="763" spans="2:2" ht="15.75" customHeight="1" x14ac:dyDescent="0.25">
      <c r="B763" s="70"/>
    </row>
    <row r="764" spans="2:2" ht="15.75" customHeight="1" x14ac:dyDescent="0.25">
      <c r="B764" s="70"/>
    </row>
    <row r="765" spans="2:2" ht="15.75" customHeight="1" x14ac:dyDescent="0.25">
      <c r="B765" s="70"/>
    </row>
    <row r="766" spans="2:2" ht="15.75" customHeight="1" x14ac:dyDescent="0.25">
      <c r="B766" s="70"/>
    </row>
    <row r="767" spans="2:2" ht="15.75" customHeight="1" x14ac:dyDescent="0.25">
      <c r="B767" s="70"/>
    </row>
    <row r="768" spans="2:2" ht="15.75" customHeight="1" x14ac:dyDescent="0.25">
      <c r="B768" s="70"/>
    </row>
    <row r="769" spans="2:2" ht="15.75" customHeight="1" x14ac:dyDescent="0.25">
      <c r="B769" s="70"/>
    </row>
    <row r="770" spans="2:2" ht="15.75" customHeight="1" x14ac:dyDescent="0.25">
      <c r="B770" s="70"/>
    </row>
    <row r="771" spans="2:2" ht="15.75" customHeight="1" x14ac:dyDescent="0.25">
      <c r="B771" s="70"/>
    </row>
    <row r="772" spans="2:2" ht="15.75" customHeight="1" x14ac:dyDescent="0.25">
      <c r="B772" s="70"/>
    </row>
    <row r="773" spans="2:2" ht="15.75" customHeight="1" x14ac:dyDescent="0.25">
      <c r="B773" s="70"/>
    </row>
    <row r="774" spans="2:2" ht="15.75" customHeight="1" x14ac:dyDescent="0.25">
      <c r="B774" s="70"/>
    </row>
    <row r="775" spans="2:2" ht="15.75" customHeight="1" x14ac:dyDescent="0.25">
      <c r="B775" s="70"/>
    </row>
    <row r="776" spans="2:2" ht="15.75" customHeight="1" x14ac:dyDescent="0.25">
      <c r="B776" s="70"/>
    </row>
    <row r="777" spans="2:2" ht="15.75" customHeight="1" x14ac:dyDescent="0.25">
      <c r="B777" s="70"/>
    </row>
    <row r="778" spans="2:2" ht="15.75" customHeight="1" x14ac:dyDescent="0.25">
      <c r="B778" s="70"/>
    </row>
    <row r="779" spans="2:2" ht="15.75" customHeight="1" x14ac:dyDescent="0.25">
      <c r="B779" s="70"/>
    </row>
    <row r="780" spans="2:2" ht="15.75" customHeight="1" x14ac:dyDescent="0.25">
      <c r="B780" s="70"/>
    </row>
    <row r="781" spans="2:2" ht="15.75" customHeight="1" x14ac:dyDescent="0.25">
      <c r="B781" s="70"/>
    </row>
    <row r="782" spans="2:2" ht="15.75" customHeight="1" x14ac:dyDescent="0.25">
      <c r="B782" s="70"/>
    </row>
    <row r="783" spans="2:2" ht="15.75" customHeight="1" x14ac:dyDescent="0.25">
      <c r="B783" s="70"/>
    </row>
    <row r="784" spans="2:2" ht="15.75" customHeight="1" x14ac:dyDescent="0.25">
      <c r="B784" s="70"/>
    </row>
    <row r="785" spans="2:2" ht="15.75" customHeight="1" x14ac:dyDescent="0.25">
      <c r="B785" s="70"/>
    </row>
    <row r="786" spans="2:2" ht="15.75" customHeight="1" x14ac:dyDescent="0.25">
      <c r="B786" s="70"/>
    </row>
    <row r="787" spans="2:2" ht="15.75" customHeight="1" x14ac:dyDescent="0.25">
      <c r="B787" s="70"/>
    </row>
    <row r="788" spans="2:2" ht="15.75" customHeight="1" x14ac:dyDescent="0.25">
      <c r="B788" s="70"/>
    </row>
    <row r="789" spans="2:2" ht="15.75" customHeight="1" x14ac:dyDescent="0.25">
      <c r="B789" s="70"/>
    </row>
    <row r="790" spans="2:2" ht="15.75" customHeight="1" x14ac:dyDescent="0.25">
      <c r="B790" s="70"/>
    </row>
    <row r="791" spans="2:2" ht="15.75" customHeight="1" x14ac:dyDescent="0.25">
      <c r="B791" s="70"/>
    </row>
    <row r="792" spans="2:2" ht="15.75" customHeight="1" x14ac:dyDescent="0.25">
      <c r="B792" s="70"/>
    </row>
    <row r="793" spans="2:2" ht="15.75" customHeight="1" x14ac:dyDescent="0.25">
      <c r="B793" s="70"/>
    </row>
    <row r="794" spans="2:2" ht="15.75" customHeight="1" x14ac:dyDescent="0.25">
      <c r="B794" s="70"/>
    </row>
    <row r="795" spans="2:2" ht="15.75" customHeight="1" x14ac:dyDescent="0.25">
      <c r="B795" s="70"/>
    </row>
    <row r="796" spans="2:2" ht="15.75" customHeight="1" x14ac:dyDescent="0.25">
      <c r="B796" s="70"/>
    </row>
    <row r="797" spans="2:2" ht="15.75" customHeight="1" x14ac:dyDescent="0.25">
      <c r="B797" s="70"/>
    </row>
    <row r="798" spans="2:2" ht="15.75" customHeight="1" x14ac:dyDescent="0.25">
      <c r="B798" s="70"/>
    </row>
    <row r="799" spans="2:2" ht="15.75" customHeight="1" x14ac:dyDescent="0.25">
      <c r="B799" s="70"/>
    </row>
    <row r="800" spans="2:2" ht="15.75" customHeight="1" x14ac:dyDescent="0.25">
      <c r="B800" s="70"/>
    </row>
    <row r="801" spans="2:2" ht="15.75" customHeight="1" x14ac:dyDescent="0.25">
      <c r="B801" s="70"/>
    </row>
    <row r="802" spans="2:2" ht="15.75" customHeight="1" x14ac:dyDescent="0.25">
      <c r="B802" s="70"/>
    </row>
    <row r="803" spans="2:2" ht="15.75" customHeight="1" x14ac:dyDescent="0.25">
      <c r="B803" s="70"/>
    </row>
    <row r="804" spans="2:2" ht="15.75" customHeight="1" x14ac:dyDescent="0.25">
      <c r="B804" s="70"/>
    </row>
    <row r="805" spans="2:2" ht="15.75" customHeight="1" x14ac:dyDescent="0.25">
      <c r="B805" s="70"/>
    </row>
    <row r="806" spans="2:2" ht="15.75" customHeight="1" x14ac:dyDescent="0.25">
      <c r="B806" s="70"/>
    </row>
    <row r="807" spans="2:2" ht="15.75" customHeight="1" x14ac:dyDescent="0.25">
      <c r="B807" s="70"/>
    </row>
    <row r="808" spans="2:2" ht="15.75" customHeight="1" x14ac:dyDescent="0.25">
      <c r="B808" s="70"/>
    </row>
    <row r="809" spans="2:2" ht="15.75" customHeight="1" x14ac:dyDescent="0.25">
      <c r="B809" s="70"/>
    </row>
    <row r="810" spans="2:2" ht="15.75" customHeight="1" x14ac:dyDescent="0.25">
      <c r="B810" s="70"/>
    </row>
    <row r="811" spans="2:2" ht="15.75" customHeight="1" x14ac:dyDescent="0.25">
      <c r="B811" s="70"/>
    </row>
    <row r="812" spans="2:2" ht="15.75" customHeight="1" x14ac:dyDescent="0.25">
      <c r="B812" s="70"/>
    </row>
    <row r="813" spans="2:2" ht="15.75" customHeight="1" x14ac:dyDescent="0.25">
      <c r="B813" s="70"/>
    </row>
    <row r="814" spans="2:2" ht="15.75" customHeight="1" x14ac:dyDescent="0.25">
      <c r="B814" s="70"/>
    </row>
    <row r="815" spans="2:2" ht="15.75" customHeight="1" x14ac:dyDescent="0.25">
      <c r="B815" s="70"/>
    </row>
    <row r="816" spans="2:2" ht="15.75" customHeight="1" x14ac:dyDescent="0.25">
      <c r="B816" s="70"/>
    </row>
    <row r="817" spans="2:2" ht="15.75" customHeight="1" x14ac:dyDescent="0.25">
      <c r="B817" s="70"/>
    </row>
    <row r="818" spans="2:2" ht="15.75" customHeight="1" x14ac:dyDescent="0.25">
      <c r="B818" s="70"/>
    </row>
    <row r="819" spans="2:2" ht="15.75" customHeight="1" x14ac:dyDescent="0.25">
      <c r="B819" s="70"/>
    </row>
    <row r="820" spans="2:2" ht="15.75" customHeight="1" x14ac:dyDescent="0.25">
      <c r="B820" s="70"/>
    </row>
    <row r="821" spans="2:2" ht="15.75" customHeight="1" x14ac:dyDescent="0.25">
      <c r="B821" s="70"/>
    </row>
    <row r="822" spans="2:2" ht="15.75" customHeight="1" x14ac:dyDescent="0.25">
      <c r="B822" s="70"/>
    </row>
    <row r="823" spans="2:2" ht="15.75" customHeight="1" x14ac:dyDescent="0.25">
      <c r="B823" s="70"/>
    </row>
    <row r="824" spans="2:2" ht="15.75" customHeight="1" x14ac:dyDescent="0.25">
      <c r="B824" s="70"/>
    </row>
    <row r="825" spans="2:2" ht="15.75" customHeight="1" x14ac:dyDescent="0.25">
      <c r="B825" s="70"/>
    </row>
    <row r="826" spans="2:2" ht="15.75" customHeight="1" x14ac:dyDescent="0.25">
      <c r="B826" s="70"/>
    </row>
    <row r="827" spans="2:2" ht="15.75" customHeight="1" x14ac:dyDescent="0.25">
      <c r="B827" s="70"/>
    </row>
    <row r="828" spans="2:2" ht="15.75" customHeight="1" x14ac:dyDescent="0.25">
      <c r="B828" s="70"/>
    </row>
    <row r="829" spans="2:2" ht="15.75" customHeight="1" x14ac:dyDescent="0.25">
      <c r="B829" s="70"/>
    </row>
    <row r="830" spans="2:2" ht="15.75" customHeight="1" x14ac:dyDescent="0.25">
      <c r="B830" s="70"/>
    </row>
    <row r="831" spans="2:2" ht="15.75" customHeight="1" x14ac:dyDescent="0.25">
      <c r="B831" s="70"/>
    </row>
    <row r="832" spans="2:2" ht="15.75" customHeight="1" x14ac:dyDescent="0.25">
      <c r="B832" s="70"/>
    </row>
    <row r="833" spans="2:2" ht="15.75" customHeight="1" x14ac:dyDescent="0.25">
      <c r="B833" s="70"/>
    </row>
    <row r="834" spans="2:2" ht="15.75" customHeight="1" x14ac:dyDescent="0.25">
      <c r="B834" s="70"/>
    </row>
    <row r="835" spans="2:2" ht="15.75" customHeight="1" x14ac:dyDescent="0.25">
      <c r="B835" s="70"/>
    </row>
    <row r="836" spans="2:2" ht="15.75" customHeight="1" x14ac:dyDescent="0.25">
      <c r="B836" s="70"/>
    </row>
    <row r="837" spans="2:2" ht="15.75" customHeight="1" x14ac:dyDescent="0.25">
      <c r="B837" s="70"/>
    </row>
    <row r="838" spans="2:2" ht="15.75" customHeight="1" x14ac:dyDescent="0.25">
      <c r="B838" s="70"/>
    </row>
    <row r="839" spans="2:2" ht="15.75" customHeight="1" x14ac:dyDescent="0.25">
      <c r="B839" s="70"/>
    </row>
    <row r="840" spans="2:2" ht="15.75" customHeight="1" x14ac:dyDescent="0.25">
      <c r="B840" s="70"/>
    </row>
    <row r="841" spans="2:2" ht="15.75" customHeight="1" x14ac:dyDescent="0.25">
      <c r="B841" s="70"/>
    </row>
    <row r="842" spans="2:2" ht="15.75" customHeight="1" x14ac:dyDescent="0.25">
      <c r="B842" s="70"/>
    </row>
    <row r="843" spans="2:2" ht="15.75" customHeight="1" x14ac:dyDescent="0.25">
      <c r="B843" s="70"/>
    </row>
    <row r="844" spans="2:2" ht="15.75" customHeight="1" x14ac:dyDescent="0.25">
      <c r="B844" s="70"/>
    </row>
    <row r="845" spans="2:2" ht="15.75" customHeight="1" x14ac:dyDescent="0.25">
      <c r="B845" s="70"/>
    </row>
    <row r="846" spans="2:2" ht="15.75" customHeight="1" x14ac:dyDescent="0.25">
      <c r="B846" s="70"/>
    </row>
    <row r="847" spans="2:2" ht="15.75" customHeight="1" x14ac:dyDescent="0.25">
      <c r="B847" s="70"/>
    </row>
    <row r="848" spans="2:2" ht="15.75" customHeight="1" x14ac:dyDescent="0.25">
      <c r="B848" s="70"/>
    </row>
    <row r="849" spans="2:2" ht="15.75" customHeight="1" x14ac:dyDescent="0.25">
      <c r="B849" s="70"/>
    </row>
    <row r="850" spans="2:2" ht="15.75" customHeight="1" x14ac:dyDescent="0.25">
      <c r="B850" s="70"/>
    </row>
    <row r="851" spans="2:2" ht="15.75" customHeight="1" x14ac:dyDescent="0.25">
      <c r="B851" s="70"/>
    </row>
    <row r="852" spans="2:2" ht="15.75" customHeight="1" x14ac:dyDescent="0.25">
      <c r="B852" s="70"/>
    </row>
    <row r="853" spans="2:2" ht="15.75" customHeight="1" x14ac:dyDescent="0.25">
      <c r="B853" s="70"/>
    </row>
    <row r="854" spans="2:2" ht="15.75" customHeight="1" x14ac:dyDescent="0.25">
      <c r="B854" s="70"/>
    </row>
    <row r="855" spans="2:2" ht="15.75" customHeight="1" x14ac:dyDescent="0.25">
      <c r="B855" s="70"/>
    </row>
    <row r="856" spans="2:2" ht="15.75" customHeight="1" x14ac:dyDescent="0.25">
      <c r="B856" s="70"/>
    </row>
    <row r="857" spans="2:2" ht="15.75" customHeight="1" x14ac:dyDescent="0.25">
      <c r="B857" s="70"/>
    </row>
    <row r="858" spans="2:2" ht="15.75" customHeight="1" x14ac:dyDescent="0.25">
      <c r="B858" s="70"/>
    </row>
    <row r="859" spans="2:2" ht="15.75" customHeight="1" x14ac:dyDescent="0.25">
      <c r="B859" s="70"/>
    </row>
    <row r="860" spans="2:2" ht="15.75" customHeight="1" x14ac:dyDescent="0.25">
      <c r="B860" s="70"/>
    </row>
    <row r="861" spans="2:2" ht="15.75" customHeight="1" x14ac:dyDescent="0.25">
      <c r="B861" s="70"/>
    </row>
    <row r="862" spans="2:2" ht="15.75" customHeight="1" x14ac:dyDescent="0.25">
      <c r="B862" s="70"/>
    </row>
    <row r="863" spans="2:2" ht="15.75" customHeight="1" x14ac:dyDescent="0.25">
      <c r="B863" s="70"/>
    </row>
    <row r="864" spans="2:2" ht="15.75" customHeight="1" x14ac:dyDescent="0.25">
      <c r="B864" s="70"/>
    </row>
    <row r="865" spans="2:2" ht="15.75" customHeight="1" x14ac:dyDescent="0.25">
      <c r="B865" s="70"/>
    </row>
    <row r="866" spans="2:2" ht="15.75" customHeight="1" x14ac:dyDescent="0.25">
      <c r="B866" s="70"/>
    </row>
    <row r="867" spans="2:2" ht="15.75" customHeight="1" x14ac:dyDescent="0.25">
      <c r="B867" s="70"/>
    </row>
    <row r="868" spans="2:2" ht="15.75" customHeight="1" x14ac:dyDescent="0.25">
      <c r="B868" s="70"/>
    </row>
    <row r="869" spans="2:2" ht="15.75" customHeight="1" x14ac:dyDescent="0.25">
      <c r="B869" s="70"/>
    </row>
    <row r="870" spans="2:2" ht="15.75" customHeight="1" x14ac:dyDescent="0.25">
      <c r="B870" s="70"/>
    </row>
    <row r="871" spans="2:2" ht="15.75" customHeight="1" x14ac:dyDescent="0.25">
      <c r="B871" s="70"/>
    </row>
    <row r="872" spans="2:2" ht="15.75" customHeight="1" x14ac:dyDescent="0.25">
      <c r="B872" s="70"/>
    </row>
    <row r="873" spans="2:2" ht="15.75" customHeight="1" x14ac:dyDescent="0.25">
      <c r="B873" s="70"/>
    </row>
    <row r="874" spans="2:2" ht="15.75" customHeight="1" x14ac:dyDescent="0.25">
      <c r="B874" s="70"/>
    </row>
    <row r="875" spans="2:2" ht="15.75" customHeight="1" x14ac:dyDescent="0.25">
      <c r="B875" s="70"/>
    </row>
    <row r="876" spans="2:2" ht="15.75" customHeight="1" x14ac:dyDescent="0.25">
      <c r="B876" s="70"/>
    </row>
    <row r="877" spans="2:2" ht="15.75" customHeight="1" x14ac:dyDescent="0.25">
      <c r="B877" s="70"/>
    </row>
    <row r="878" spans="2:2" ht="15.75" customHeight="1" x14ac:dyDescent="0.25">
      <c r="B878" s="70"/>
    </row>
    <row r="879" spans="2:2" ht="15.75" customHeight="1" x14ac:dyDescent="0.25">
      <c r="B879" s="70"/>
    </row>
    <row r="880" spans="2:2" ht="15.75" customHeight="1" x14ac:dyDescent="0.25">
      <c r="B880" s="70"/>
    </row>
    <row r="881" spans="2:2" ht="15.75" customHeight="1" x14ac:dyDescent="0.25">
      <c r="B881" s="70"/>
    </row>
    <row r="882" spans="2:2" ht="15.75" customHeight="1" x14ac:dyDescent="0.25">
      <c r="B882" s="70"/>
    </row>
    <row r="883" spans="2:2" ht="15.75" customHeight="1" x14ac:dyDescent="0.25">
      <c r="B883" s="70"/>
    </row>
    <row r="884" spans="2:2" ht="15.75" customHeight="1" x14ac:dyDescent="0.25">
      <c r="B884" s="70"/>
    </row>
    <row r="885" spans="2:2" ht="15.75" customHeight="1" x14ac:dyDescent="0.25">
      <c r="B885" s="70"/>
    </row>
    <row r="886" spans="2:2" ht="15.75" customHeight="1" x14ac:dyDescent="0.25">
      <c r="B886" s="70"/>
    </row>
    <row r="887" spans="2:2" ht="15.75" customHeight="1" x14ac:dyDescent="0.25">
      <c r="B887" s="70"/>
    </row>
    <row r="888" spans="2:2" ht="15.75" customHeight="1" x14ac:dyDescent="0.25">
      <c r="B888" s="70"/>
    </row>
    <row r="889" spans="2:2" ht="15.75" customHeight="1" x14ac:dyDescent="0.25">
      <c r="B889" s="70"/>
    </row>
    <row r="890" spans="2:2" ht="15.75" customHeight="1" x14ac:dyDescent="0.25">
      <c r="B890" s="70"/>
    </row>
    <row r="891" spans="2:2" ht="15.75" customHeight="1" x14ac:dyDescent="0.25">
      <c r="B891" s="70"/>
    </row>
    <row r="892" spans="2:2" ht="15.75" customHeight="1" x14ac:dyDescent="0.25">
      <c r="B892" s="70"/>
    </row>
    <row r="893" spans="2:2" ht="15.75" customHeight="1" x14ac:dyDescent="0.25">
      <c r="B893" s="70"/>
    </row>
    <row r="894" spans="2:2" ht="15.75" customHeight="1" x14ac:dyDescent="0.25">
      <c r="B894" s="70"/>
    </row>
    <row r="895" spans="2:2" ht="15.75" customHeight="1" x14ac:dyDescent="0.25">
      <c r="B895" s="70"/>
    </row>
    <row r="896" spans="2:2" ht="15.75" customHeight="1" x14ac:dyDescent="0.25">
      <c r="B896" s="70"/>
    </row>
    <row r="897" spans="2:2" ht="15.75" customHeight="1" x14ac:dyDescent="0.25">
      <c r="B897" s="70"/>
    </row>
    <row r="898" spans="2:2" ht="15.75" customHeight="1" x14ac:dyDescent="0.25">
      <c r="B898" s="70"/>
    </row>
    <row r="899" spans="2:2" ht="15.75" customHeight="1" x14ac:dyDescent="0.25">
      <c r="B899" s="70"/>
    </row>
    <row r="900" spans="2:2" ht="15.75" customHeight="1" x14ac:dyDescent="0.25">
      <c r="B900" s="70"/>
    </row>
    <row r="901" spans="2:2" ht="15.75" customHeight="1" x14ac:dyDescent="0.25">
      <c r="B901" s="70"/>
    </row>
    <row r="902" spans="2:2" ht="15.75" customHeight="1" x14ac:dyDescent="0.25">
      <c r="B902" s="70"/>
    </row>
    <row r="903" spans="2:2" ht="15.75" customHeight="1" x14ac:dyDescent="0.25">
      <c r="B903" s="70"/>
    </row>
    <row r="904" spans="2:2" ht="15.75" customHeight="1" x14ac:dyDescent="0.25">
      <c r="B904" s="70"/>
    </row>
    <row r="905" spans="2:2" ht="15.75" customHeight="1" x14ac:dyDescent="0.25">
      <c r="B905" s="70"/>
    </row>
    <row r="906" spans="2:2" ht="15.75" customHeight="1" x14ac:dyDescent="0.25">
      <c r="B906" s="70"/>
    </row>
    <row r="907" spans="2:2" ht="15.75" customHeight="1" x14ac:dyDescent="0.25">
      <c r="B907" s="70"/>
    </row>
    <row r="908" spans="2:2" ht="15.75" customHeight="1" x14ac:dyDescent="0.25">
      <c r="B908" s="70"/>
    </row>
    <row r="909" spans="2:2" ht="15.75" customHeight="1" x14ac:dyDescent="0.25">
      <c r="B909" s="70"/>
    </row>
    <row r="910" spans="2:2" ht="15.75" customHeight="1" x14ac:dyDescent="0.25">
      <c r="B910" s="70"/>
    </row>
    <row r="911" spans="2:2" ht="15.75" customHeight="1" x14ac:dyDescent="0.25">
      <c r="B911" s="70"/>
    </row>
    <row r="912" spans="2:2" ht="15.75" customHeight="1" x14ac:dyDescent="0.25">
      <c r="B912" s="70"/>
    </row>
    <row r="913" spans="2:2" ht="15.75" customHeight="1" x14ac:dyDescent="0.25">
      <c r="B913" s="70"/>
    </row>
    <row r="914" spans="2:2" ht="15.75" customHeight="1" x14ac:dyDescent="0.25">
      <c r="B914" s="70"/>
    </row>
    <row r="915" spans="2:2" ht="15.75" customHeight="1" x14ac:dyDescent="0.25">
      <c r="B915" s="70"/>
    </row>
    <row r="916" spans="2:2" ht="15.75" customHeight="1" x14ac:dyDescent="0.25">
      <c r="B916" s="70"/>
    </row>
    <row r="917" spans="2:2" ht="15.75" customHeight="1" x14ac:dyDescent="0.25">
      <c r="B917" s="70"/>
    </row>
    <row r="918" spans="2:2" ht="15.75" customHeight="1" x14ac:dyDescent="0.25">
      <c r="B918" s="70"/>
    </row>
    <row r="919" spans="2:2" ht="15.75" customHeight="1" x14ac:dyDescent="0.25">
      <c r="B919" s="70"/>
    </row>
    <row r="920" spans="2:2" ht="15.75" customHeight="1" x14ac:dyDescent="0.25">
      <c r="B920" s="70"/>
    </row>
    <row r="921" spans="2:2" ht="15.75" customHeight="1" x14ac:dyDescent="0.25">
      <c r="B921" s="70"/>
    </row>
    <row r="922" spans="2:2" ht="15.75" customHeight="1" x14ac:dyDescent="0.25">
      <c r="B922" s="70"/>
    </row>
    <row r="923" spans="2:2" ht="15.75" customHeight="1" x14ac:dyDescent="0.25">
      <c r="B923" s="70"/>
    </row>
    <row r="924" spans="2:2" ht="15.75" customHeight="1" x14ac:dyDescent="0.25">
      <c r="B924" s="70"/>
    </row>
    <row r="925" spans="2:2" ht="15.75" customHeight="1" x14ac:dyDescent="0.25">
      <c r="B925" s="70"/>
    </row>
    <row r="926" spans="2:2" ht="15.75" customHeight="1" x14ac:dyDescent="0.25">
      <c r="B926" s="70"/>
    </row>
    <row r="927" spans="2:2" ht="15.75" customHeight="1" x14ac:dyDescent="0.25">
      <c r="B927" s="70"/>
    </row>
    <row r="928" spans="2:2" ht="15.75" customHeight="1" x14ac:dyDescent="0.25">
      <c r="B928" s="70"/>
    </row>
    <row r="929" spans="2:2" ht="15.75" customHeight="1" x14ac:dyDescent="0.25">
      <c r="B929" s="70"/>
    </row>
    <row r="930" spans="2:2" ht="15.75" customHeight="1" x14ac:dyDescent="0.25">
      <c r="B930" s="70"/>
    </row>
    <row r="931" spans="2:2" ht="15.75" customHeight="1" x14ac:dyDescent="0.25">
      <c r="B931" s="70"/>
    </row>
    <row r="932" spans="2:2" ht="15.75" customHeight="1" x14ac:dyDescent="0.25">
      <c r="B932" s="70"/>
    </row>
    <row r="933" spans="2:2" ht="15.75" customHeight="1" x14ac:dyDescent="0.25">
      <c r="B933" s="70"/>
    </row>
    <row r="934" spans="2:2" ht="15.75" customHeight="1" x14ac:dyDescent="0.25">
      <c r="B934" s="70"/>
    </row>
    <row r="935" spans="2:2" ht="15.75" customHeight="1" x14ac:dyDescent="0.25">
      <c r="B935" s="70"/>
    </row>
    <row r="936" spans="2:2" ht="15.75" customHeight="1" x14ac:dyDescent="0.25">
      <c r="B936" s="70"/>
    </row>
    <row r="937" spans="2:2" ht="15.75" customHeight="1" x14ac:dyDescent="0.25">
      <c r="B937" s="70"/>
    </row>
    <row r="938" spans="2:2" ht="15.75" customHeight="1" x14ac:dyDescent="0.25">
      <c r="B938" s="70"/>
    </row>
    <row r="939" spans="2:2" ht="15.75" customHeight="1" x14ac:dyDescent="0.25">
      <c r="B939" s="70"/>
    </row>
    <row r="940" spans="2:2" ht="15.75" customHeight="1" x14ac:dyDescent="0.25">
      <c r="B940" s="70"/>
    </row>
    <row r="941" spans="2:2" ht="15.75" customHeight="1" x14ac:dyDescent="0.25">
      <c r="B941" s="70"/>
    </row>
    <row r="942" spans="2:2" ht="15.75" customHeight="1" x14ac:dyDescent="0.25">
      <c r="B942" s="70"/>
    </row>
    <row r="943" spans="2:2" ht="15.75" customHeight="1" x14ac:dyDescent="0.25">
      <c r="B943" s="70"/>
    </row>
    <row r="944" spans="2:2" ht="15.75" customHeight="1" x14ac:dyDescent="0.25">
      <c r="B944" s="70"/>
    </row>
    <row r="945" spans="2:2" ht="15.75" customHeight="1" x14ac:dyDescent="0.25">
      <c r="B945" s="70"/>
    </row>
    <row r="946" spans="2:2" ht="15.75" customHeight="1" x14ac:dyDescent="0.25">
      <c r="B946" s="70"/>
    </row>
    <row r="947" spans="2:2" ht="15.75" customHeight="1" x14ac:dyDescent="0.25">
      <c r="B947" s="70"/>
    </row>
    <row r="948" spans="2:2" ht="15.75" customHeight="1" x14ac:dyDescent="0.25">
      <c r="B948" s="70"/>
    </row>
    <row r="949" spans="2:2" ht="15.75" customHeight="1" x14ac:dyDescent="0.25">
      <c r="B949" s="70"/>
    </row>
    <row r="950" spans="2:2" ht="15.75" customHeight="1" x14ac:dyDescent="0.25">
      <c r="B950" s="70"/>
    </row>
    <row r="951" spans="2:2" ht="15.75" customHeight="1" x14ac:dyDescent="0.25">
      <c r="B951" s="70"/>
    </row>
    <row r="952" spans="2:2" ht="15.75" customHeight="1" x14ac:dyDescent="0.25">
      <c r="B952" s="70"/>
    </row>
    <row r="953" spans="2:2" ht="15.75" customHeight="1" x14ac:dyDescent="0.25">
      <c r="B953" s="70"/>
    </row>
    <row r="954" spans="2:2" ht="15.75" customHeight="1" x14ac:dyDescent="0.25">
      <c r="B954" s="70"/>
    </row>
    <row r="955" spans="2:2" ht="15.75" customHeight="1" x14ac:dyDescent="0.25">
      <c r="B955" s="70"/>
    </row>
    <row r="956" spans="2:2" ht="15.75" customHeight="1" x14ac:dyDescent="0.25">
      <c r="B956" s="70"/>
    </row>
    <row r="957" spans="2:2" ht="15.75" customHeight="1" x14ac:dyDescent="0.25">
      <c r="B957" s="70"/>
    </row>
    <row r="958" spans="2:2" ht="15.75" customHeight="1" x14ac:dyDescent="0.25">
      <c r="B958" s="70"/>
    </row>
    <row r="959" spans="2:2" ht="15.75" customHeight="1" x14ac:dyDescent="0.25">
      <c r="B959" s="70"/>
    </row>
    <row r="960" spans="2:2" ht="15.75" customHeight="1" x14ac:dyDescent="0.25">
      <c r="B960" s="70"/>
    </row>
    <row r="961" spans="2:2" ht="15.75" customHeight="1" x14ac:dyDescent="0.25">
      <c r="B961" s="70"/>
    </row>
    <row r="962" spans="2:2" ht="15.75" customHeight="1" x14ac:dyDescent="0.25">
      <c r="B962" s="70"/>
    </row>
    <row r="963" spans="2:2" ht="15.75" customHeight="1" x14ac:dyDescent="0.25">
      <c r="B963" s="70"/>
    </row>
    <row r="964" spans="2:2" ht="15.75" customHeight="1" x14ac:dyDescent="0.25">
      <c r="B964" s="70"/>
    </row>
    <row r="965" spans="2:2" ht="15.75" customHeight="1" x14ac:dyDescent="0.25">
      <c r="B965" s="70"/>
    </row>
    <row r="966" spans="2:2" ht="15.75" customHeight="1" x14ac:dyDescent="0.25">
      <c r="B966" s="70"/>
    </row>
    <row r="967" spans="2:2" ht="15.75" customHeight="1" x14ac:dyDescent="0.25">
      <c r="B967" s="70"/>
    </row>
    <row r="968" spans="2:2" ht="15.75" customHeight="1" x14ac:dyDescent="0.25">
      <c r="B968" s="70"/>
    </row>
    <row r="969" spans="2:2" ht="15.75" customHeight="1" x14ac:dyDescent="0.25">
      <c r="B969" s="70"/>
    </row>
    <row r="970" spans="2:2" ht="15.75" customHeight="1" x14ac:dyDescent="0.25">
      <c r="B970" s="70"/>
    </row>
    <row r="971" spans="2:2" ht="15.75" customHeight="1" x14ac:dyDescent="0.25">
      <c r="B971" s="70"/>
    </row>
    <row r="972" spans="2:2" ht="15.75" customHeight="1" x14ac:dyDescent="0.25">
      <c r="B972" s="70"/>
    </row>
    <row r="973" spans="2:2" ht="15.75" customHeight="1" x14ac:dyDescent="0.25">
      <c r="B973" s="70"/>
    </row>
    <row r="974" spans="2:2" ht="15.75" customHeight="1" x14ac:dyDescent="0.25">
      <c r="B974" s="70"/>
    </row>
    <row r="975" spans="2:2" ht="15.75" customHeight="1" x14ac:dyDescent="0.25">
      <c r="B975" s="70"/>
    </row>
    <row r="976" spans="2:2" ht="15.75" customHeight="1" x14ac:dyDescent="0.25">
      <c r="B976" s="70"/>
    </row>
    <row r="977" spans="2:2" ht="15.75" customHeight="1" x14ac:dyDescent="0.25">
      <c r="B977" s="70"/>
    </row>
    <row r="978" spans="2:2" ht="15.75" customHeight="1" x14ac:dyDescent="0.25">
      <c r="B978" s="70"/>
    </row>
    <row r="979" spans="2:2" ht="15.75" customHeight="1" x14ac:dyDescent="0.25">
      <c r="B979" s="70"/>
    </row>
    <row r="980" spans="2:2" ht="15.75" customHeight="1" x14ac:dyDescent="0.25">
      <c r="B980" s="70"/>
    </row>
    <row r="981" spans="2:2" ht="15.75" customHeight="1" x14ac:dyDescent="0.25">
      <c r="B981" s="70"/>
    </row>
    <row r="982" spans="2:2" ht="15.75" customHeight="1" x14ac:dyDescent="0.25">
      <c r="B982" s="70"/>
    </row>
    <row r="983" spans="2:2" ht="15.75" customHeight="1" x14ac:dyDescent="0.25">
      <c r="B983" s="70"/>
    </row>
    <row r="984" spans="2:2" ht="15.75" customHeight="1" x14ac:dyDescent="0.25">
      <c r="B984" s="70"/>
    </row>
    <row r="985" spans="2:2" ht="15.75" customHeight="1" x14ac:dyDescent="0.25">
      <c r="B985" s="70"/>
    </row>
    <row r="986" spans="2:2" ht="15.75" customHeight="1" x14ac:dyDescent="0.25">
      <c r="B986" s="70"/>
    </row>
    <row r="987" spans="2:2" ht="15.75" customHeight="1" x14ac:dyDescent="0.25">
      <c r="B987" s="70"/>
    </row>
    <row r="988" spans="2:2" ht="15.75" customHeight="1" x14ac:dyDescent="0.25">
      <c r="B988" s="70"/>
    </row>
    <row r="989" spans="2:2" ht="15.75" customHeight="1" x14ac:dyDescent="0.25">
      <c r="B989" s="70"/>
    </row>
    <row r="990" spans="2:2" ht="15.75" customHeight="1" x14ac:dyDescent="0.25">
      <c r="B990" s="70"/>
    </row>
    <row r="991" spans="2:2" ht="15.75" customHeight="1" x14ac:dyDescent="0.25">
      <c r="B991" s="70"/>
    </row>
    <row r="992" spans="2:2" ht="15.75" customHeight="1" x14ac:dyDescent="0.25">
      <c r="B992" s="70"/>
    </row>
    <row r="993" spans="2:2" ht="15.75" customHeight="1" x14ac:dyDescent="0.25">
      <c r="B993" s="70"/>
    </row>
    <row r="994" spans="2:2" ht="15.75" customHeight="1" x14ac:dyDescent="0.25">
      <c r="B994" s="70"/>
    </row>
    <row r="995" spans="2:2" ht="15.75" customHeight="1" x14ac:dyDescent="0.25">
      <c r="B995" s="70"/>
    </row>
    <row r="996" spans="2:2" ht="15.75" customHeight="1" x14ac:dyDescent="0.25">
      <c r="B996" s="70"/>
    </row>
    <row r="997" spans="2:2" ht="15.75" customHeight="1" x14ac:dyDescent="0.25">
      <c r="B997" s="70"/>
    </row>
    <row r="998" spans="2:2" ht="15.75" customHeight="1" x14ac:dyDescent="0.25">
      <c r="B998" s="70"/>
    </row>
    <row r="999" spans="2:2" ht="15.75" customHeight="1" x14ac:dyDescent="0.25">
      <c r="B999" s="70"/>
    </row>
    <row r="1000" spans="2:2" ht="15.75" customHeight="1" x14ac:dyDescent="0.25">
      <c r="B1000" s="70"/>
    </row>
  </sheetData>
  <mergeCells count="3">
    <mergeCell ref="D5:F5"/>
    <mergeCell ref="B7:B8"/>
    <mergeCell ref="B45:B50"/>
  </mergeCells>
  <pageMargins left="0.7" right="0.7" top="0.75" bottom="0.75" header="0" footer="0"/>
  <pageSetup paperSize="9"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00"/>
  <sheetViews>
    <sheetView showGridLines="0" topLeftCell="F4" workbookViewId="0">
      <selection activeCell="Q136" sqref="Q136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4.5703125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1041</v>
      </c>
      <c r="D1" s="12">
        <v>119.96</v>
      </c>
      <c r="E1" s="12" t="s">
        <v>774</v>
      </c>
    </row>
    <row r="2" spans="3:21" x14ac:dyDescent="0.25">
      <c r="C2" s="12" t="s">
        <v>1041</v>
      </c>
      <c r="D2" s="12">
        <v>142500</v>
      </c>
      <c r="E2" s="12" t="s">
        <v>1042</v>
      </c>
      <c r="F2" s="12">
        <v>1.4250000000000001E-7</v>
      </c>
      <c r="G2" s="12" t="s">
        <v>1043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823" t="s">
        <v>1044</v>
      </c>
      <c r="M7" s="841"/>
      <c r="N7" s="841"/>
      <c r="O7" s="841"/>
      <c r="P7" s="841"/>
      <c r="Q7" s="841"/>
      <c r="R7" s="841"/>
      <c r="S7" s="841"/>
      <c r="T7" s="841"/>
      <c r="U7" s="824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842" t="s">
        <v>1045</v>
      </c>
      <c r="O9" s="841"/>
      <c r="P9" s="824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1046</v>
      </c>
      <c r="P10" s="321" t="s">
        <v>1047</v>
      </c>
      <c r="R10" s="843"/>
      <c r="S10" s="812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1048</v>
      </c>
      <c r="O11" s="322">
        <f>100%-'4. Refinerys Data'!E15</f>
        <v>0.7</v>
      </c>
      <c r="P11" s="323">
        <v>0.7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1049</v>
      </c>
      <c r="O12" s="844"/>
      <c r="P12" s="323"/>
      <c r="R12" s="14"/>
      <c r="S12" s="846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1050</v>
      </c>
      <c r="O13" s="845"/>
      <c r="P13" s="325"/>
      <c r="R13" s="14"/>
      <c r="S13" s="812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4.1867999999999999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600</v>
      </c>
    </row>
    <row r="19" spans="1:22" x14ac:dyDescent="0.25">
      <c r="T19" s="326"/>
    </row>
    <row r="20" spans="1:22" x14ac:dyDescent="0.25">
      <c r="A20" s="327" t="s">
        <v>310</v>
      </c>
      <c r="B20" s="1"/>
      <c r="C20" s="1"/>
      <c r="D20" s="1"/>
      <c r="E20" s="1"/>
      <c r="F20" s="1"/>
      <c r="G20" s="328"/>
      <c r="N20" s="329" t="s">
        <v>880</v>
      </c>
      <c r="O20" s="1"/>
      <c r="P20" s="1"/>
      <c r="Q20" s="1"/>
      <c r="R20" s="1"/>
      <c r="T20" s="330"/>
    </row>
    <row r="21" spans="1:22" ht="15.75" customHeight="1" x14ac:dyDescent="0.25">
      <c r="A21" s="331" t="s">
        <v>311</v>
      </c>
      <c r="B21" s="332" t="s">
        <v>42</v>
      </c>
      <c r="C21" s="332" t="s">
        <v>312</v>
      </c>
      <c r="D21" s="332" t="s">
        <v>313</v>
      </c>
      <c r="E21" s="332" t="s">
        <v>314</v>
      </c>
      <c r="F21" s="333" t="s">
        <v>315</v>
      </c>
      <c r="G21" s="328"/>
      <c r="N21" s="334" t="s">
        <v>312</v>
      </c>
      <c r="O21" s="209" t="s">
        <v>881</v>
      </c>
      <c r="P21" s="209" t="s">
        <v>882</v>
      </c>
      <c r="Q21" s="209" t="s">
        <v>1051</v>
      </c>
      <c r="R21" s="335" t="s">
        <v>930</v>
      </c>
      <c r="T21" s="336" t="s">
        <v>1052</v>
      </c>
      <c r="U21" s="207"/>
      <c r="V21" s="207"/>
    </row>
    <row r="22" spans="1:22" ht="15.75" customHeight="1" x14ac:dyDescent="0.25">
      <c r="A22" s="1" t="s">
        <v>329</v>
      </c>
      <c r="B22" s="1"/>
      <c r="C22" s="17" t="s">
        <v>1053</v>
      </c>
      <c r="D22" s="1" t="s">
        <v>1054</v>
      </c>
      <c r="E22" s="1" t="s">
        <v>59</v>
      </c>
      <c r="F22" s="1" t="s">
        <v>328</v>
      </c>
      <c r="G22" s="328"/>
      <c r="N22" s="16" t="str">
        <f>+C22</f>
        <v>MIX-OIL-REF1</v>
      </c>
      <c r="O22" s="16" t="str">
        <f>+C8</f>
        <v>LOIL</v>
      </c>
      <c r="P22" s="16" t="s">
        <v>1055</v>
      </c>
      <c r="Q22" s="292">
        <v>0.3</v>
      </c>
      <c r="R22" s="322">
        <v>1</v>
      </c>
      <c r="T22" s="337" t="s">
        <v>312</v>
      </c>
      <c r="U22" s="337" t="s">
        <v>882</v>
      </c>
      <c r="V22" s="337" t="s">
        <v>1056</v>
      </c>
    </row>
    <row r="23" spans="1:22" ht="15.75" customHeight="1" x14ac:dyDescent="0.25">
      <c r="A23" s="1"/>
      <c r="B23" s="1"/>
      <c r="C23" s="338" t="s">
        <v>1057</v>
      </c>
      <c r="D23" s="328" t="s">
        <v>1058</v>
      </c>
      <c r="E23" s="1" t="s">
        <v>59</v>
      </c>
      <c r="F23" s="1" t="s">
        <v>328</v>
      </c>
      <c r="G23" s="328"/>
      <c r="I23" s="330"/>
      <c r="N23" s="16"/>
      <c r="O23" s="214" t="str">
        <f>+C10</f>
        <v>HOIL</v>
      </c>
      <c r="P23" s="16"/>
      <c r="Q23" s="322">
        <v>0.5</v>
      </c>
      <c r="R23" s="16"/>
      <c r="T23" s="339" t="str">
        <f>+N22</f>
        <v>MIX-OIL-REF1</v>
      </c>
      <c r="U23" s="340" t="str">
        <f>+O170</f>
        <v>CO2e-REF1</v>
      </c>
      <c r="V23" s="341">
        <v>2.7301000000000002</v>
      </c>
    </row>
    <row r="24" spans="1:22" ht="15.75" customHeight="1" x14ac:dyDescent="0.25">
      <c r="A24" s="1"/>
      <c r="B24" s="1"/>
      <c r="C24" s="342" t="s">
        <v>1059</v>
      </c>
      <c r="D24" s="328" t="s">
        <v>1060</v>
      </c>
      <c r="E24" s="1" t="s">
        <v>59</v>
      </c>
      <c r="F24" s="1" t="s">
        <v>328</v>
      </c>
      <c r="G24" s="328"/>
      <c r="O24" s="16" t="str">
        <f>+C9</f>
        <v>MOIL</v>
      </c>
      <c r="P24" s="214"/>
      <c r="Q24" s="295">
        <v>0.5</v>
      </c>
      <c r="R24" s="214"/>
      <c r="T24" s="330"/>
      <c r="U24" s="343"/>
      <c r="V24" s="343"/>
    </row>
    <row r="25" spans="1:22" ht="15.75" customHeight="1" x14ac:dyDescent="0.25">
      <c r="A25" s="1"/>
      <c r="B25" s="1"/>
      <c r="C25" s="17" t="s">
        <v>1061</v>
      </c>
      <c r="D25" s="328" t="s">
        <v>1062</v>
      </c>
      <c r="E25" s="1" t="s">
        <v>59</v>
      </c>
      <c r="F25" s="1" t="s">
        <v>328</v>
      </c>
      <c r="G25" s="328"/>
      <c r="T25" s="330"/>
      <c r="U25" s="215"/>
      <c r="V25" s="215"/>
    </row>
    <row r="26" spans="1:22" ht="15.75" customHeight="1" x14ac:dyDescent="0.25">
      <c r="A26" s="328"/>
      <c r="B26" s="328"/>
      <c r="C26" s="18" t="s">
        <v>1063</v>
      </c>
      <c r="D26" s="12" t="s">
        <v>1064</v>
      </c>
      <c r="E26" s="1" t="s">
        <v>59</v>
      </c>
      <c r="F26" s="1" t="s">
        <v>328</v>
      </c>
      <c r="G26" s="328"/>
    </row>
    <row r="27" spans="1:22" ht="15.75" customHeight="1" x14ac:dyDescent="0.25">
      <c r="A27" s="328"/>
      <c r="B27" s="328"/>
      <c r="C27" s="18" t="s">
        <v>1065</v>
      </c>
      <c r="D27" s="12" t="s">
        <v>1066</v>
      </c>
      <c r="E27" s="12" t="s">
        <v>59</v>
      </c>
      <c r="F27" s="344" t="s">
        <v>328</v>
      </c>
      <c r="G27" s="328"/>
    </row>
    <row r="28" spans="1:22" ht="15.75" customHeight="1" x14ac:dyDescent="0.25">
      <c r="A28" s="328"/>
      <c r="B28" s="328"/>
      <c r="C28" s="18" t="s">
        <v>1067</v>
      </c>
      <c r="D28" s="328" t="s">
        <v>1068</v>
      </c>
      <c r="E28" s="328" t="s">
        <v>59</v>
      </c>
      <c r="F28" s="344" t="s">
        <v>328</v>
      </c>
      <c r="G28" s="328"/>
      <c r="L28" s="823" t="s">
        <v>1069</v>
      </c>
      <c r="M28" s="841"/>
      <c r="N28" s="841"/>
      <c r="O28" s="841"/>
      <c r="P28" s="841"/>
      <c r="Q28" s="841"/>
      <c r="R28" s="841"/>
      <c r="S28" s="841"/>
      <c r="T28" s="841"/>
      <c r="U28" s="824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C30" s="1"/>
      <c r="D30" s="1"/>
      <c r="E30" s="1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1070</v>
      </c>
      <c r="O31" s="345" t="s">
        <v>662</v>
      </c>
      <c r="P31" s="345" t="s">
        <v>1071</v>
      </c>
      <c r="R31" s="13" t="s">
        <v>1072</v>
      </c>
      <c r="S31" s="13" t="s">
        <v>1073</v>
      </c>
      <c r="U31" s="305"/>
    </row>
    <row r="32" spans="1:22" ht="15.75" customHeight="1" x14ac:dyDescent="0.25">
      <c r="A32" s="328"/>
      <c r="B32" s="328"/>
      <c r="F32" s="328"/>
      <c r="G32" s="328"/>
      <c r="L32" s="116"/>
      <c r="N32" s="330" t="s">
        <v>1074</v>
      </c>
      <c r="O32" s="12">
        <v>165</v>
      </c>
      <c r="P32" s="346">
        <f>+O32*365*E8/1000</f>
        <v>366.60006424428417</v>
      </c>
      <c r="Q32" s="346" t="s">
        <v>59</v>
      </c>
      <c r="U32" s="305"/>
    </row>
    <row r="33" spans="1:21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1075</v>
      </c>
      <c r="O33" s="205">
        <f>(874275+499)/1000</f>
        <v>874.774</v>
      </c>
      <c r="P33" s="346">
        <f>+O33*0.0036</f>
        <v>3.1491864000000001</v>
      </c>
      <c r="Q33" s="347" t="s">
        <v>59</v>
      </c>
      <c r="R33" s="330">
        <f>+ROUND(P33/P32,4)</f>
        <v>8.6E-3</v>
      </c>
      <c r="S33" s="18" t="str">
        <f>+ROUND(O33/(365*O32),4)&amp;" Gwh per kbl oil"</f>
        <v>0,0145 Gwh per kbl oil</v>
      </c>
      <c r="U33" s="305"/>
    </row>
    <row r="34" spans="1:21" ht="15.75" customHeight="1" x14ac:dyDescent="0.25">
      <c r="A34" s="348" t="s">
        <v>40</v>
      </c>
      <c r="B34" s="348"/>
      <c r="C34" s="349"/>
      <c r="D34" s="349"/>
      <c r="E34" s="349"/>
      <c r="F34" s="328"/>
      <c r="G34" s="328"/>
      <c r="L34" s="116"/>
      <c r="N34" s="330" t="s">
        <v>1076</v>
      </c>
      <c r="O34" s="12">
        <f>+(0.17+0.035)*365</f>
        <v>74.825000000000003</v>
      </c>
      <c r="P34" s="346">
        <f>+O34*0.041868</f>
        <v>3.1327731000000001</v>
      </c>
      <c r="Q34" s="347" t="s">
        <v>59</v>
      </c>
      <c r="R34" s="330">
        <f>+ROUND(P34/P32,4)</f>
        <v>8.5000000000000006E-3</v>
      </c>
      <c r="S34" s="18" t="str">
        <f>+ROUND(O34/(365*O32),4)&amp;" kt H2 per kbl oil"</f>
        <v>0,0012 kt H2 per kbl oil</v>
      </c>
      <c r="U34" s="305"/>
    </row>
    <row r="35" spans="1:21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</row>
    <row r="36" spans="1:21" ht="15.75" customHeight="1" x14ac:dyDescent="0.25">
      <c r="A36" s="350" t="s">
        <v>58</v>
      </c>
      <c r="B36" s="350"/>
      <c r="C36" s="1" t="s">
        <v>1055</v>
      </c>
      <c r="D36" s="1" t="s">
        <v>1077</v>
      </c>
      <c r="E36" s="1" t="s">
        <v>59</v>
      </c>
      <c r="F36" s="328"/>
      <c r="G36" s="328"/>
      <c r="L36" s="116"/>
      <c r="N36" s="351" t="s">
        <v>1078</v>
      </c>
      <c r="O36" s="352"/>
      <c r="P36" s="352">
        <f>+O135</f>
        <v>1.8895118399999999</v>
      </c>
      <c r="Q36" s="353" t="s">
        <v>59</v>
      </c>
      <c r="R36" s="215">
        <f>+O135/P85</f>
        <v>5.4866761516362177E-3</v>
      </c>
      <c r="S36" s="12" t="s">
        <v>1079</v>
      </c>
      <c r="U36" s="305"/>
    </row>
    <row r="37" spans="1:21" ht="15.75" customHeight="1" x14ac:dyDescent="0.25">
      <c r="A37" s="1"/>
      <c r="B37" s="1"/>
      <c r="C37" s="12" t="s">
        <v>1080</v>
      </c>
      <c r="D37" s="12" t="s">
        <v>1081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</row>
    <row r="38" spans="1:21" ht="15.75" customHeight="1" x14ac:dyDescent="0.25">
      <c r="A38" s="1"/>
      <c r="B38" s="328"/>
      <c r="C38" s="12" t="s">
        <v>1082</v>
      </c>
      <c r="D38" s="12" t="s">
        <v>1083</v>
      </c>
      <c r="E38" s="12" t="s">
        <v>59</v>
      </c>
      <c r="F38" s="328"/>
      <c r="G38" s="328"/>
    </row>
    <row r="39" spans="1:21" ht="15.75" customHeight="1" x14ac:dyDescent="0.25">
      <c r="A39" s="1"/>
      <c r="B39" s="328"/>
      <c r="C39" s="18" t="s">
        <v>1084</v>
      </c>
      <c r="D39" s="12" t="s">
        <v>1085</v>
      </c>
      <c r="E39" s="12" t="s">
        <v>59</v>
      </c>
      <c r="F39" s="328"/>
      <c r="G39" s="328"/>
      <c r="N39" s="336" t="s">
        <v>1086</v>
      </c>
      <c r="O39" s="328"/>
      <c r="P39" s="1"/>
    </row>
    <row r="40" spans="1:21" ht="15.75" customHeight="1" x14ac:dyDescent="0.25">
      <c r="C40" s="18" t="s">
        <v>1087</v>
      </c>
      <c r="D40" s="18" t="s">
        <v>1088</v>
      </c>
      <c r="E40" s="344" t="s">
        <v>59</v>
      </c>
      <c r="G40" s="328"/>
      <c r="N40" s="354" t="s">
        <v>312</v>
      </c>
      <c r="O40" s="355" t="s">
        <v>881</v>
      </c>
      <c r="P40" s="356" t="s">
        <v>974</v>
      </c>
    </row>
    <row r="41" spans="1:21" ht="15.75" customHeight="1" x14ac:dyDescent="0.25">
      <c r="A41" s="1"/>
      <c r="B41" s="1"/>
      <c r="C41" s="18" t="s">
        <v>1089</v>
      </c>
      <c r="D41" s="18" t="s">
        <v>1090</v>
      </c>
      <c r="E41" s="344" t="s">
        <v>59</v>
      </c>
      <c r="G41" s="328"/>
      <c r="N41" s="357" t="str">
        <f>+C23</f>
        <v>REF1</v>
      </c>
      <c r="O41" s="1" t="str">
        <f>+P22</f>
        <v>OIL-REF1</v>
      </c>
      <c r="P41" s="266">
        <f>1/(1+R33+R34+R36)</f>
        <v>0.9779122135283066</v>
      </c>
      <c r="T41" s="266"/>
    </row>
    <row r="42" spans="1:21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H2-REF1</v>
      </c>
      <c r="P42" s="266">
        <f>R34/(1+R33+R34+R36)</f>
        <v>8.3122538149906066E-3</v>
      </c>
    </row>
    <row r="43" spans="1:21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ELC-REF1</v>
      </c>
      <c r="P43" s="266">
        <f>R33/(1+R33+R34+R36)</f>
        <v>8.4100450363434366E-3</v>
      </c>
    </row>
    <row r="44" spans="1:21" ht="15.75" customHeight="1" x14ac:dyDescent="0.25">
      <c r="B44" s="336" t="s">
        <v>880</v>
      </c>
      <c r="C44" s="328"/>
      <c r="D44" s="1"/>
      <c r="E44" s="1"/>
      <c r="N44" s="1"/>
      <c r="O44" s="353" t="str">
        <f>+O159</f>
        <v>STEAM-DRM-REF1</v>
      </c>
      <c r="P44" s="266">
        <f>R36/(1+R33+R34+R36)</f>
        <v>5.3654876203595445E-3</v>
      </c>
    </row>
    <row r="45" spans="1:21" ht="15.75" customHeight="1" x14ac:dyDescent="0.25">
      <c r="B45" s="360" t="s">
        <v>312</v>
      </c>
      <c r="C45" s="360" t="s">
        <v>881</v>
      </c>
      <c r="D45" s="360" t="s">
        <v>882</v>
      </c>
      <c r="E45" s="360" t="s">
        <v>930</v>
      </c>
    </row>
    <row r="46" spans="1:21" ht="15.75" customHeight="1" x14ac:dyDescent="0.25">
      <c r="B46" s="16" t="str">
        <f t="shared" ref="B46:B47" si="2">+C27</f>
        <v>FTE-GAS-REF1</v>
      </c>
      <c r="C46" s="16" t="s">
        <v>7</v>
      </c>
      <c r="D46" s="16" t="str">
        <f t="shared" ref="D46:D47" si="3">+C40</f>
        <v>GAS-REF1</v>
      </c>
      <c r="E46" s="292">
        <v>1</v>
      </c>
      <c r="P46" s="361">
        <f>+SUM(P41:P44)</f>
        <v>1.0000000000000002</v>
      </c>
    </row>
    <row r="47" spans="1:21" ht="15.75" customHeight="1" x14ac:dyDescent="0.25">
      <c r="B47" s="16" t="str">
        <f t="shared" si="2"/>
        <v>FTE-HFO-REF1</v>
      </c>
      <c r="C47" s="16" t="s">
        <v>26</v>
      </c>
      <c r="D47" s="16" t="str">
        <f t="shared" si="3"/>
        <v>HFO-REF1</v>
      </c>
      <c r="E47" s="322">
        <v>1</v>
      </c>
      <c r="F47" s="1"/>
      <c r="G47" s="1"/>
      <c r="H47" s="1"/>
      <c r="I47" s="1"/>
    </row>
    <row r="48" spans="1:21" ht="15.75" customHeight="1" x14ac:dyDescent="0.25">
      <c r="B48" s="1"/>
      <c r="C48" s="1"/>
      <c r="D48" s="1"/>
      <c r="E48" s="1"/>
      <c r="F48" s="1"/>
      <c r="G48" s="1"/>
      <c r="H48" s="1"/>
      <c r="I48" s="1"/>
      <c r="L48" s="823" t="s">
        <v>1091</v>
      </c>
      <c r="M48" s="841"/>
      <c r="N48" s="841"/>
      <c r="O48" s="841"/>
      <c r="P48" s="841"/>
      <c r="Q48" s="841"/>
      <c r="R48" s="841"/>
      <c r="S48" s="841"/>
      <c r="T48" s="841"/>
      <c r="U48" s="824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1092</v>
      </c>
      <c r="N50" s="345" t="s">
        <v>1093</v>
      </c>
      <c r="O50" s="345" t="s">
        <v>1094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1034</v>
      </c>
      <c r="N51" s="214">
        <v>165</v>
      </c>
      <c r="O51" s="214">
        <v>23.978999999999999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1095</v>
      </c>
      <c r="N54" s="345" t="s">
        <v>1093</v>
      </c>
      <c r="O54" s="345" t="s">
        <v>1094</v>
      </c>
      <c r="P54" s="345" t="s">
        <v>1096</v>
      </c>
      <c r="Q54" s="345" t="s">
        <v>1097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14">
        <v>36.799999999999997</v>
      </c>
      <c r="O55" s="365">
        <v>4.2300000000000004</v>
      </c>
      <c r="P55" s="295">
        <f t="shared" ref="P55:P61" si="4">+O55/$O$63</f>
        <v>0.19905882352941179</v>
      </c>
      <c r="Q55" s="228">
        <f t="shared" ref="Q55:Q60" si="5">+N55/$N$63</f>
        <v>0.2292834890965732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1098</v>
      </c>
      <c r="N56" s="14">
        <v>94</v>
      </c>
      <c r="O56" s="365">
        <v>12.75</v>
      </c>
      <c r="P56" s="295">
        <f t="shared" si="4"/>
        <v>0.6</v>
      </c>
      <c r="Q56" s="228">
        <f t="shared" si="5"/>
        <v>0.58566978193146413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14">
        <v>10.199999999999999</v>
      </c>
      <c r="O57" s="365">
        <v>1.33</v>
      </c>
      <c r="P57" s="295">
        <f t="shared" si="4"/>
        <v>6.2588235294117653E-2</v>
      </c>
      <c r="Q57" s="228">
        <f t="shared" si="5"/>
        <v>6.3551401869158877E-2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14">
        <v>5.5</v>
      </c>
      <c r="O58" s="365">
        <v>0.45</v>
      </c>
      <c r="P58" s="295">
        <f t="shared" si="4"/>
        <v>2.1176470588235293E-2</v>
      </c>
      <c r="Q58" s="228">
        <f t="shared" si="5"/>
        <v>3.4267912772585667E-2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14">
        <v>1.4</v>
      </c>
      <c r="O59" s="365">
        <v>0.24</v>
      </c>
      <c r="P59" s="295">
        <f t="shared" si="4"/>
        <v>1.1294117647058823E-2</v>
      </c>
      <c r="Q59" s="228">
        <f t="shared" si="5"/>
        <v>8.7227414330218068E-3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1099</v>
      </c>
      <c r="N60" s="14">
        <v>12.6</v>
      </c>
      <c r="O60" s="365">
        <v>1.44</v>
      </c>
      <c r="P60" s="295">
        <f t="shared" si="4"/>
        <v>6.7764705882352935E-2</v>
      </c>
      <c r="Q60" s="228">
        <f t="shared" si="5"/>
        <v>7.8504672897196259E-2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1100</v>
      </c>
      <c r="N61" s="14">
        <v>33.799999999999997</v>
      </c>
      <c r="O61" s="365">
        <v>0.81</v>
      </c>
      <c r="P61" s="295">
        <f t="shared" si="4"/>
        <v>3.8117647058823534E-2</v>
      </c>
      <c r="Q61" s="366" t="s">
        <v>1101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1102</v>
      </c>
      <c r="N63" s="286">
        <f>+SUM(N55:N60)</f>
        <v>160.5</v>
      </c>
      <c r="O63" s="365">
        <f t="shared" ref="O63:Q63" si="6">+SUM(O55:O61)</f>
        <v>21.25</v>
      </c>
      <c r="P63" s="367">
        <f t="shared" si="6"/>
        <v>1</v>
      </c>
      <c r="Q63" s="368">
        <f t="shared" si="6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1021</v>
      </c>
      <c r="N64" s="365">
        <f>161.61-N63</f>
        <v>1.1100000000000136</v>
      </c>
      <c r="O64" s="365">
        <f>24.39-O63</f>
        <v>3.1400000000000006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997</v>
      </c>
      <c r="N65" s="365">
        <f t="shared" ref="N65:O65" si="7">+N64+N63</f>
        <v>161.61000000000001</v>
      </c>
      <c r="O65" s="365">
        <f t="shared" si="7"/>
        <v>24.39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 t="s">
        <v>1103</v>
      </c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312</v>
      </c>
      <c r="O71" s="371" t="s">
        <v>882</v>
      </c>
      <c r="P71" s="372" t="s">
        <v>973</v>
      </c>
      <c r="R71" s="373" t="s">
        <v>1104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REF1</v>
      </c>
      <c r="O72" s="1" t="s">
        <v>8</v>
      </c>
      <c r="P72" s="266">
        <f>+P55+P60</f>
        <v>0.26682352941176474</v>
      </c>
      <c r="R72" s="228">
        <f>9.4%+19.9%</f>
        <v>0.29299999999999998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0.6</v>
      </c>
      <c r="R73" s="266">
        <v>0.55200000000000005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6.2588235294117653E-2</v>
      </c>
      <c r="R74" s="266">
        <v>5.6000000000000001E-2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2.1176470588235293E-2</v>
      </c>
      <c r="R75" s="266">
        <v>1.4E-2</v>
      </c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1.1294117647058823E-2</v>
      </c>
      <c r="R76" s="228">
        <v>0.06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121</v>
      </c>
      <c r="P77" s="228">
        <f>+P61</f>
        <v>3.8117647058823534E-2</v>
      </c>
      <c r="R77" s="266">
        <v>2.5000000000000001E-2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/>
      <c r="P78" s="266"/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P79" s="374">
        <f>++SUM(P72:P77)</f>
        <v>1</v>
      </c>
      <c r="R79" s="368">
        <f>+SUM(R72:R77)</f>
        <v>1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823" t="s">
        <v>1105</v>
      </c>
      <c r="M81" s="841"/>
      <c r="N81" s="841"/>
      <c r="O81" s="841"/>
      <c r="P81" s="841"/>
      <c r="Q81" s="841"/>
      <c r="R81" s="841"/>
      <c r="S81" s="841"/>
      <c r="T81" s="841"/>
      <c r="U81" s="824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1106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662</v>
      </c>
      <c r="P83" s="345" t="s">
        <v>1071</v>
      </c>
      <c r="T83" s="299"/>
      <c r="U83" s="305"/>
    </row>
    <row r="84" spans="1:21" ht="15.75" customHeight="1" x14ac:dyDescent="0.25">
      <c r="A84" s="12" t="s">
        <v>1107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1108</v>
      </c>
      <c r="O84" s="12">
        <v>165</v>
      </c>
      <c r="P84" s="365">
        <f>+O84*365*E10/1000</f>
        <v>366.60006424428417</v>
      </c>
      <c r="S84" s="222"/>
      <c r="T84" s="222"/>
      <c r="U84" s="305"/>
    </row>
    <row r="85" spans="1:21" ht="15.75" customHeight="1" x14ac:dyDescent="0.25">
      <c r="A85" s="12" t="s">
        <v>1109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1110</v>
      </c>
      <c r="O85" s="12">
        <v>155</v>
      </c>
      <c r="P85" s="365">
        <f>+O85*365*E10/1000</f>
        <v>344.3818785325094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1111</v>
      </c>
      <c r="O86" s="376">
        <f>+O85/O84</f>
        <v>0.93939393939393945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1112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1113</v>
      </c>
      <c r="O89" s="266">
        <f t="shared" ref="O89:P89" si="9">+N65/N51</f>
        <v>0.97945454545454558</v>
      </c>
      <c r="P89" s="266">
        <f t="shared" si="9"/>
        <v>1.0171399974978106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1114</v>
      </c>
      <c r="O90" s="266">
        <f t="shared" ref="O90:P90" si="10">+N63/N51</f>
        <v>0.97272727272727277</v>
      </c>
      <c r="P90" s="266">
        <f t="shared" si="10"/>
        <v>0.8861920847408149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1115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 t="s">
        <v>880</v>
      </c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312</v>
      </c>
      <c r="O96" s="355" t="s">
        <v>928</v>
      </c>
      <c r="P96" s="355" t="s">
        <v>1116</v>
      </c>
      <c r="Q96" s="355" t="s">
        <v>973</v>
      </c>
      <c r="R96" s="382" t="s">
        <v>974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REF1</v>
      </c>
      <c r="O97" s="385" t="s">
        <v>1117</v>
      </c>
      <c r="P97" s="16">
        <v>2019</v>
      </c>
      <c r="Q97" s="386">
        <f>+P85*P90</f>
        <v>305.18849488368261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11">+N97</f>
        <v>REF1</v>
      </c>
      <c r="O98" s="214" t="str">
        <f t="shared" si="11"/>
        <v>ACT_BND</v>
      </c>
      <c r="P98" s="214">
        <v>2020</v>
      </c>
      <c r="Q98" s="386">
        <f>+P84*P90</f>
        <v>324.87807519875884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REF1</v>
      </c>
      <c r="O99" s="389" t="s">
        <v>930</v>
      </c>
      <c r="P99" s="16">
        <v>2019</v>
      </c>
      <c r="Q99" s="16"/>
      <c r="R99" s="322">
        <f>+P90*P41</f>
        <v>0.866618063200155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REF1</v>
      </c>
      <c r="O100" s="16" t="s">
        <v>1118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823" t="s">
        <v>1119</v>
      </c>
      <c r="M104" s="841"/>
      <c r="N104" s="841"/>
      <c r="O104" s="841"/>
      <c r="P104" s="841"/>
      <c r="Q104" s="841"/>
      <c r="R104" s="841"/>
      <c r="S104" s="841"/>
      <c r="T104" s="841"/>
      <c r="U104" s="824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1120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1121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662</v>
      </c>
      <c r="P107" s="392" t="s">
        <v>1071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1122</v>
      </c>
      <c r="O108" s="394">
        <f>394.77/299.7</f>
        <v>1.3172172172172172</v>
      </c>
      <c r="P108" s="395">
        <f>+O108</f>
        <v>1.3172172172172172</v>
      </c>
      <c r="Q108" s="12" t="s">
        <v>1123</v>
      </c>
      <c r="U108" s="305"/>
      <c r="X108" s="12">
        <f>+O34*1000000</f>
        <v>74825000</v>
      </c>
      <c r="Y108" s="12" t="s">
        <v>1121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1124</v>
      </c>
      <c r="U110" s="305"/>
      <c r="X110" s="12">
        <f>+X108*X105</f>
        <v>336712500</v>
      </c>
      <c r="Y110" s="12" t="s">
        <v>1125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1126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849</v>
      </c>
      <c r="U111" s="305"/>
      <c r="X111" s="12">
        <f>+X110*35.3147</f>
        <v>11890900923.75</v>
      </c>
      <c r="Y111" s="12" t="s">
        <v>1127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11890.900923749999</v>
      </c>
      <c r="Y112" s="12" t="s">
        <v>1128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32.577810749999998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 t="s">
        <v>880</v>
      </c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312</v>
      </c>
      <c r="O116" s="355" t="s">
        <v>928</v>
      </c>
      <c r="P116" s="355" t="s">
        <v>1116</v>
      </c>
      <c r="Q116" s="355" t="s">
        <v>973</v>
      </c>
      <c r="R116" s="398" t="s">
        <v>974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">
        <v>1059</v>
      </c>
      <c r="O117" s="389" t="s">
        <v>1117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SMR-REF1</v>
      </c>
      <c r="O118" s="16" t="s">
        <v>930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 t="s">
        <v>880</v>
      </c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312</v>
      </c>
      <c r="O122" s="355" t="s">
        <v>881</v>
      </c>
      <c r="P122" s="355" t="s">
        <v>882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SMR-REF1</v>
      </c>
      <c r="O123" s="2" t="str">
        <f>+D46</f>
        <v>GAS-REF1</v>
      </c>
      <c r="P123" s="2" t="str">
        <f>+C38</f>
        <v>H2-REF1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823" t="s">
        <v>1129</v>
      </c>
      <c r="M128" s="841"/>
      <c r="N128" s="841"/>
      <c r="O128" s="841"/>
      <c r="P128" s="841"/>
      <c r="Q128" s="841"/>
      <c r="R128" s="841"/>
      <c r="S128" s="841"/>
      <c r="T128" s="841"/>
      <c r="U128" s="824"/>
      <c r="W128" s="12" t="s">
        <v>1130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1131</v>
      </c>
    </row>
    <row r="130" spans="2:25" ht="15.75" customHeight="1" x14ac:dyDescent="0.25">
      <c r="B130" s="1"/>
      <c r="C130" s="1"/>
      <c r="D130" s="1" t="s">
        <v>1132</v>
      </c>
      <c r="E130" s="1">
        <v>1561</v>
      </c>
      <c r="F130" s="1" t="s">
        <v>599</v>
      </c>
      <c r="G130" s="1"/>
      <c r="H130" s="1"/>
      <c r="I130" s="1"/>
      <c r="L130" s="116"/>
      <c r="M130" s="364" t="s">
        <v>1131</v>
      </c>
      <c r="N130" s="345" t="s">
        <v>1133</v>
      </c>
      <c r="O130" s="345" t="s">
        <v>1071</v>
      </c>
      <c r="P130" s="118"/>
      <c r="Q130" s="118" t="s">
        <v>1134</v>
      </c>
      <c r="R130" s="326"/>
      <c r="S130" s="13"/>
      <c r="T130" s="13"/>
      <c r="U130" s="305"/>
      <c r="W130" s="12" t="s">
        <v>678</v>
      </c>
      <c r="X130" s="222">
        <f t="shared" ref="X130:X131" si="12">+Q131</f>
        <v>7.9730836007290984</v>
      </c>
    </row>
    <row r="131" spans="2:25" ht="15.75" customHeight="1" x14ac:dyDescent="0.25">
      <c r="B131" s="1"/>
      <c r="C131" s="1"/>
      <c r="D131" s="1" t="s">
        <v>1135</v>
      </c>
      <c r="E131" s="1">
        <v>874.27499999999998</v>
      </c>
      <c r="F131" s="1" t="s">
        <v>664</v>
      </c>
      <c r="G131" s="401">
        <f>+E131/E130</f>
        <v>0.56007367072389491</v>
      </c>
      <c r="H131" s="1"/>
      <c r="I131" s="1"/>
      <c r="L131" s="116"/>
      <c r="M131" s="330" t="s">
        <v>1136</v>
      </c>
      <c r="N131" s="14">
        <v>58</v>
      </c>
      <c r="O131" s="286">
        <f>+N131*365*E7/1000</f>
        <v>21.37232897677039</v>
      </c>
      <c r="P131" s="12" t="s">
        <v>59</v>
      </c>
      <c r="Q131" s="222">
        <f>O131/(85*24*365*0.0036/1000)</f>
        <v>7.9730836007290984</v>
      </c>
      <c r="R131" s="18" t="s">
        <v>1137</v>
      </c>
      <c r="U131" s="305"/>
      <c r="W131" s="12" t="s">
        <v>1138</v>
      </c>
      <c r="X131" s="231">
        <f t="shared" si="12"/>
        <v>3.9306260817079615</v>
      </c>
    </row>
    <row r="132" spans="2:25" ht="15.75" customHeight="1" x14ac:dyDescent="0.25">
      <c r="B132" s="1"/>
      <c r="C132" s="1"/>
      <c r="D132" s="1" t="s">
        <v>1139</v>
      </c>
      <c r="E132" s="1">
        <f>+E130-E131</f>
        <v>686.72500000000002</v>
      </c>
      <c r="F132" s="1" t="s">
        <v>664</v>
      </c>
      <c r="G132" s="401">
        <f>+E132/E130</f>
        <v>0.43992632927610509</v>
      </c>
      <c r="H132" s="1"/>
      <c r="I132" s="1"/>
      <c r="L132" s="116"/>
      <c r="M132" s="330" t="s">
        <v>108</v>
      </c>
      <c r="N132" s="402">
        <v>33.799999999999997</v>
      </c>
      <c r="O132" s="286">
        <f>0.81*365*0.041868</f>
        <v>12.378274200000002</v>
      </c>
      <c r="P132" s="12" t="s">
        <v>59</v>
      </c>
      <c r="Q132" s="222">
        <f>+O132/(O33*0.0036)</f>
        <v>3.9306260817079615</v>
      </c>
      <c r="R132" s="12" t="s">
        <v>1140</v>
      </c>
      <c r="U132" s="305"/>
      <c r="X132" s="222">
        <f>+X131+X130</f>
        <v>11.903709682437061</v>
      </c>
    </row>
    <row r="133" spans="2:25" ht="15.75" customHeight="1" x14ac:dyDescent="0.25">
      <c r="B133" s="1"/>
      <c r="C133" s="1"/>
      <c r="D133" s="1"/>
      <c r="E133" s="1"/>
      <c r="F133" s="1"/>
      <c r="G133" s="1"/>
      <c r="H133" s="1"/>
      <c r="I133" s="1"/>
      <c r="L133" s="116"/>
      <c r="Q133" s="222">
        <f>+Q132+Q131</f>
        <v>11.903709682437061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1095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1141</v>
      </c>
      <c r="N135" s="353"/>
      <c r="O135" s="403">
        <f>+Q135*P33</f>
        <v>1.8895118399999999</v>
      </c>
      <c r="P135" s="353" t="s">
        <v>59</v>
      </c>
      <c r="Q135" s="401">
        <f>+(O138-O139)/O139</f>
        <v>0.6</v>
      </c>
      <c r="R135" s="12" t="s">
        <v>1142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1143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1144</v>
      </c>
      <c r="O137" s="12">
        <v>193</v>
      </c>
      <c r="P137" s="12" t="s">
        <v>1145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1146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1147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1148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1149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 t="s">
        <v>880</v>
      </c>
      <c r="O143" s="1"/>
      <c r="P143" s="1"/>
      <c r="Q143" s="206"/>
      <c r="R143" s="1"/>
      <c r="S143" s="1"/>
      <c r="W143" s="12" t="s">
        <v>1150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312</v>
      </c>
      <c r="O144" s="371" t="s">
        <v>928</v>
      </c>
      <c r="P144" s="371" t="s">
        <v>1116</v>
      </c>
      <c r="Q144" s="371" t="s">
        <v>973</v>
      </c>
      <c r="R144" s="405" t="s">
        <v>974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AUTO-REF1</v>
      </c>
      <c r="O145" s="406" t="s">
        <v>1117</v>
      </c>
      <c r="P145" s="340">
        <v>2019</v>
      </c>
      <c r="Q145" s="407">
        <f>+(O137*24*365*0.0036/1000)/P158</f>
        <v>9.738316799999998</v>
      </c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AUTO-REF1</v>
      </c>
      <c r="O146" s="410" t="s">
        <v>930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 t="s">
        <v>1086</v>
      </c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312</v>
      </c>
      <c r="O150" s="371" t="s">
        <v>881</v>
      </c>
      <c r="P150" s="371" t="s">
        <v>973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AUTO-REF1</v>
      </c>
      <c r="O151" s="418" t="str">
        <f>+O77</f>
        <v>RFG1</v>
      </c>
      <c r="P151" s="400">
        <f>+Q132/Q133</f>
        <v>0.33020177630064979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>+O123</f>
        <v>GAS-REF1</v>
      </c>
      <c r="P152" s="400">
        <f>+Q131/Q133</f>
        <v>0.66979822369935016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370"/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 t="s">
        <v>1103</v>
      </c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312</v>
      </c>
      <c r="O157" s="371" t="s">
        <v>882</v>
      </c>
      <c r="P157" s="371" t="s">
        <v>974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AUTO-REF1</v>
      </c>
      <c r="O158" s="420" t="str">
        <f>+C37</f>
        <v>ELC-REF1</v>
      </c>
      <c r="P158" s="400">
        <f t="shared" ref="P158:P159" si="13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STEAM-DRM-REF1</v>
      </c>
      <c r="P159" s="295">
        <f t="shared" si="13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823" t="s">
        <v>1151</v>
      </c>
      <c r="M162" s="841"/>
      <c r="N162" s="841"/>
      <c r="O162" s="841"/>
      <c r="P162" s="841"/>
      <c r="Q162" s="841"/>
      <c r="R162" s="841"/>
      <c r="S162" s="841"/>
      <c r="T162" s="841"/>
      <c r="U162" s="824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 t="s">
        <v>880</v>
      </c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312</v>
      </c>
      <c r="O165" s="209" t="s">
        <v>881</v>
      </c>
      <c r="P165" s="209" t="s">
        <v>882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COMPRA-ELC-REF1</v>
      </c>
      <c r="O166" s="214" t="str">
        <f>+'1. EXP_IMP'!J51</f>
        <v>ELC-SIN</v>
      </c>
      <c r="P166" s="357" t="str">
        <f>+O158</f>
        <v>ELC-REF1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 t="s">
        <v>1052</v>
      </c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312</v>
      </c>
      <c r="O169" s="337" t="s">
        <v>882</v>
      </c>
      <c r="P169" s="337" t="s">
        <v>1056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COMPRA-ELC-REF1</v>
      </c>
      <c r="O170" s="340" t="str">
        <f>+'3. Scope3'!B36</f>
        <v>CO2e-REF1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1152</v>
      </c>
    </row>
    <row r="196" spans="2:16" ht="15.75" customHeight="1" x14ac:dyDescent="0.25">
      <c r="O196" s="12">
        <f>+O195*365</f>
        <v>89425</v>
      </c>
      <c r="P196" s="12" t="s">
        <v>1153</v>
      </c>
    </row>
    <row r="197" spans="2:16" ht="15.75" customHeight="1" x14ac:dyDescent="0.25">
      <c r="O197" s="12">
        <f>+O196/1000</f>
        <v>89.424999999999997</v>
      </c>
      <c r="P197" s="12" t="s">
        <v>1154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topLeftCell="G129" workbookViewId="0">
      <selection activeCell="T24" sqref="T24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7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1041</v>
      </c>
      <c r="D1" s="12">
        <v>119.96</v>
      </c>
      <c r="E1" s="12" t="s">
        <v>774</v>
      </c>
    </row>
    <row r="2" spans="3:21" x14ac:dyDescent="0.25">
      <c r="C2" s="12" t="s">
        <v>1041</v>
      </c>
      <c r="D2" s="12">
        <v>142500</v>
      </c>
      <c r="E2" s="12" t="s">
        <v>1042</v>
      </c>
      <c r="F2" s="12">
        <v>1.4250000000000001E-7</v>
      </c>
      <c r="G2" s="12" t="s">
        <v>1043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823" t="s">
        <v>1044</v>
      </c>
      <c r="M7" s="841"/>
      <c r="N7" s="841"/>
      <c r="O7" s="841"/>
      <c r="P7" s="841"/>
      <c r="Q7" s="841"/>
      <c r="R7" s="841"/>
      <c r="S7" s="841"/>
      <c r="T7" s="841"/>
      <c r="U7" s="824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842" t="s">
        <v>1155</v>
      </c>
      <c r="O9" s="841"/>
      <c r="P9" s="824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1156</v>
      </c>
      <c r="P10" s="321" t="s">
        <v>1047</v>
      </c>
      <c r="R10" s="843"/>
      <c r="S10" s="812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1048</v>
      </c>
      <c r="O11" s="322">
        <f>100%-'4. Refinerys Data'!D15</f>
        <v>0.30000095471773769</v>
      </c>
      <c r="P11" s="323">
        <f>+O11</f>
        <v>0.30000095471773769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1049</v>
      </c>
      <c r="O12" s="844"/>
      <c r="P12" s="323"/>
      <c r="R12" s="14"/>
      <c r="S12" s="846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1050</v>
      </c>
      <c r="O13" s="845"/>
      <c r="P13" s="325"/>
      <c r="R13" s="14"/>
      <c r="S13" s="812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4.1867999999999999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600</v>
      </c>
    </row>
    <row r="19" spans="1:22" x14ac:dyDescent="0.25">
      <c r="T19" s="326"/>
    </row>
    <row r="20" spans="1:22" x14ac:dyDescent="0.25">
      <c r="A20" s="327" t="s">
        <v>310</v>
      </c>
      <c r="B20" s="1"/>
      <c r="C20" s="1"/>
      <c r="D20" s="1"/>
      <c r="E20" s="1"/>
      <c r="F20" s="1"/>
      <c r="G20" s="328"/>
      <c r="N20" s="329" t="s">
        <v>880</v>
      </c>
      <c r="O20" s="1"/>
      <c r="P20" s="1"/>
      <c r="Q20" s="1"/>
      <c r="R20" s="1"/>
      <c r="T20" s="330"/>
    </row>
    <row r="21" spans="1:22" ht="15.75" customHeight="1" x14ac:dyDescent="0.25">
      <c r="A21" s="331" t="s">
        <v>311</v>
      </c>
      <c r="B21" s="332" t="s">
        <v>42</v>
      </c>
      <c r="C21" s="332" t="s">
        <v>312</v>
      </c>
      <c r="D21" s="332" t="s">
        <v>313</v>
      </c>
      <c r="E21" s="332" t="s">
        <v>314</v>
      </c>
      <c r="F21" s="333" t="s">
        <v>315</v>
      </c>
      <c r="G21" s="328"/>
      <c r="N21" s="334" t="s">
        <v>312</v>
      </c>
      <c r="O21" s="209" t="s">
        <v>881</v>
      </c>
      <c r="P21" s="209" t="s">
        <v>882</v>
      </c>
      <c r="Q21" s="209" t="s">
        <v>943</v>
      </c>
      <c r="R21" s="335" t="s">
        <v>930</v>
      </c>
      <c r="T21" s="336" t="s">
        <v>1052</v>
      </c>
      <c r="U21" s="207"/>
      <c r="V21" s="207"/>
    </row>
    <row r="22" spans="1:22" ht="15.75" customHeight="1" x14ac:dyDescent="0.25">
      <c r="A22" s="1" t="s">
        <v>329</v>
      </c>
      <c r="B22" s="1"/>
      <c r="C22" s="16" t="s">
        <v>1157</v>
      </c>
      <c r="D22" s="2" t="s">
        <v>1158</v>
      </c>
      <c r="E22" s="2" t="s">
        <v>59</v>
      </c>
      <c r="F22" s="2" t="s">
        <v>328</v>
      </c>
      <c r="G22" s="328"/>
      <c r="N22" s="16" t="str">
        <f>+C22</f>
        <v>MIX-OIL-REF2</v>
      </c>
      <c r="O22" s="214" t="str">
        <f>+C10</f>
        <v>HOIL</v>
      </c>
      <c r="P22" s="16" t="str">
        <f>+C36</f>
        <v>OIL-REF2</v>
      </c>
      <c r="Q22" s="322">
        <f>+O11</f>
        <v>0.30000095471773769</v>
      </c>
      <c r="R22" s="322">
        <v>1</v>
      </c>
      <c r="T22" s="337" t="s">
        <v>312</v>
      </c>
      <c r="U22" s="337" t="s">
        <v>882</v>
      </c>
      <c r="V22" s="337" t="s">
        <v>1056</v>
      </c>
    </row>
    <row r="23" spans="1:22" ht="15.75" customHeight="1" x14ac:dyDescent="0.25">
      <c r="A23" s="1"/>
      <c r="B23" s="1"/>
      <c r="C23" s="214" t="s">
        <v>1159</v>
      </c>
      <c r="D23" s="14" t="s">
        <v>1160</v>
      </c>
      <c r="E23" s="2" t="s">
        <v>59</v>
      </c>
      <c r="F23" s="2" t="s">
        <v>328</v>
      </c>
      <c r="G23" s="328"/>
      <c r="I23" s="330"/>
      <c r="N23" s="16"/>
      <c r="O23" s="16" t="str">
        <f t="shared" ref="O23:O24" si="2">+C8</f>
        <v>LOIL</v>
      </c>
      <c r="P23" s="214"/>
      <c r="R23" s="16"/>
      <c r="T23" s="339" t="str">
        <f>+N22</f>
        <v>MIX-OIL-REF2</v>
      </c>
      <c r="U23" s="340" t="str">
        <f>+O170</f>
        <v>CO2e-REF2</v>
      </c>
      <c r="V23" s="341">
        <f>+'4.1 Ref_Cart'!V23</f>
        <v>2.7301000000000002</v>
      </c>
    </row>
    <row r="24" spans="1:22" ht="15.75" customHeight="1" x14ac:dyDescent="0.25">
      <c r="A24" s="1"/>
      <c r="B24" s="1"/>
      <c r="C24" s="389" t="s">
        <v>1161</v>
      </c>
      <c r="D24" s="14" t="s">
        <v>1162</v>
      </c>
      <c r="E24" s="2" t="s">
        <v>59</v>
      </c>
      <c r="F24" s="2" t="s">
        <v>328</v>
      </c>
      <c r="G24" s="328"/>
      <c r="N24" s="214"/>
      <c r="O24" s="16" t="str">
        <f t="shared" si="2"/>
        <v>MOIL</v>
      </c>
      <c r="Q24" s="214"/>
      <c r="R24" s="214"/>
      <c r="T24" s="330"/>
      <c r="U24" s="343"/>
      <c r="V24" s="343"/>
    </row>
    <row r="25" spans="1:22" ht="15.75" customHeight="1" x14ac:dyDescent="0.25">
      <c r="A25" s="1"/>
      <c r="B25" s="1"/>
      <c r="C25" s="16" t="s">
        <v>1163</v>
      </c>
      <c r="D25" s="14" t="s">
        <v>1164</v>
      </c>
      <c r="E25" s="2" t="s">
        <v>59</v>
      </c>
      <c r="F25" s="2" t="s">
        <v>328</v>
      </c>
      <c r="G25" s="328"/>
      <c r="P25" s="16"/>
      <c r="T25" s="330"/>
      <c r="U25" s="215"/>
      <c r="V25" s="215"/>
    </row>
    <row r="26" spans="1:22" ht="15.75" customHeight="1" x14ac:dyDescent="0.25">
      <c r="A26" s="328"/>
      <c r="B26" s="328"/>
      <c r="C26" s="14" t="s">
        <v>1165</v>
      </c>
      <c r="D26" s="14" t="s">
        <v>1166</v>
      </c>
      <c r="E26" s="2" t="s">
        <v>59</v>
      </c>
      <c r="F26" s="2" t="s">
        <v>328</v>
      </c>
      <c r="G26" s="328"/>
      <c r="Q26" s="322"/>
    </row>
    <row r="27" spans="1:22" ht="15.75" customHeight="1" x14ac:dyDescent="0.25">
      <c r="A27" s="328"/>
      <c r="B27" s="328"/>
      <c r="C27" s="214" t="s">
        <v>1167</v>
      </c>
      <c r="D27" s="214" t="s">
        <v>1168</v>
      </c>
      <c r="E27" s="214" t="s">
        <v>59</v>
      </c>
      <c r="F27" s="16" t="s">
        <v>328</v>
      </c>
      <c r="G27" s="328"/>
    </row>
    <row r="28" spans="1:22" ht="15.75" customHeight="1" x14ac:dyDescent="0.25">
      <c r="A28" s="328"/>
      <c r="B28" s="328"/>
      <c r="C28" s="214" t="s">
        <v>1169</v>
      </c>
      <c r="D28" s="214" t="s">
        <v>1170</v>
      </c>
      <c r="E28" s="214" t="s">
        <v>59</v>
      </c>
      <c r="F28" s="16" t="s">
        <v>328</v>
      </c>
      <c r="G28" s="328"/>
      <c r="L28" s="823" t="s">
        <v>1069</v>
      </c>
      <c r="M28" s="841"/>
      <c r="N28" s="841"/>
      <c r="O28" s="841"/>
      <c r="P28" s="841"/>
      <c r="Q28" s="841"/>
      <c r="R28" s="841"/>
      <c r="S28" s="841"/>
      <c r="T28" s="841"/>
      <c r="U28" s="824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1070</v>
      </c>
      <c r="O31" s="345" t="s">
        <v>662</v>
      </c>
      <c r="P31" s="345" t="s">
        <v>1071</v>
      </c>
      <c r="R31" s="13" t="s">
        <v>1072</v>
      </c>
      <c r="S31" s="13" t="s">
        <v>1073</v>
      </c>
      <c r="U31" s="305"/>
    </row>
    <row r="32" spans="1:22" ht="15.75" customHeight="1" x14ac:dyDescent="0.25">
      <c r="A32" s="328"/>
      <c r="B32" s="328"/>
      <c r="C32" s="328"/>
      <c r="D32" s="328"/>
      <c r="E32" s="328"/>
      <c r="F32" s="328"/>
      <c r="G32" s="328"/>
      <c r="L32" s="116"/>
      <c r="N32" s="330" t="s">
        <v>1074</v>
      </c>
      <c r="O32" s="231">
        <f>+P32*1000/(E8*365)</f>
        <v>244.00000000000003</v>
      </c>
      <c r="P32" s="346">
        <f>244*E8*365/1000</f>
        <v>542.12373136730503</v>
      </c>
      <c r="Q32" s="346" t="s">
        <v>59</v>
      </c>
      <c r="U32" s="305"/>
    </row>
    <row r="33" spans="1:26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1075</v>
      </c>
      <c r="O33" s="205">
        <v>667</v>
      </c>
      <c r="P33" s="346">
        <f>+O33*0.0036</f>
        <v>2.4011999999999998</v>
      </c>
      <c r="Q33" s="347" t="s">
        <v>59</v>
      </c>
      <c r="R33" s="330">
        <f>+ROUND(P33/P32,4)</f>
        <v>4.4000000000000003E-3</v>
      </c>
      <c r="S33" s="18" t="str">
        <f>+ROUND(O33/(365*O32),4)&amp;" Gwh per kbl oil"</f>
        <v>0,0075 Gwh per kbl oil</v>
      </c>
      <c r="U33" s="305"/>
      <c r="W33" s="12" t="s">
        <v>1171</v>
      </c>
      <c r="X33" s="12" t="s">
        <v>1172</v>
      </c>
    </row>
    <row r="34" spans="1:26" ht="15.75" customHeight="1" x14ac:dyDescent="0.25">
      <c r="A34" s="348" t="s">
        <v>40</v>
      </c>
      <c r="B34" s="348"/>
      <c r="C34" s="349"/>
      <c r="D34" s="349"/>
      <c r="E34" s="349"/>
      <c r="F34" s="328"/>
      <c r="G34" s="328"/>
      <c r="L34" s="116"/>
      <c r="N34" s="330" t="s">
        <v>1076</v>
      </c>
      <c r="O34" s="12">
        <v>5.83</v>
      </c>
      <c r="P34" s="346">
        <f>+O34*0.041868</f>
        <v>0.24409044000000002</v>
      </c>
      <c r="Q34" s="347" t="s">
        <v>59</v>
      </c>
      <c r="R34" s="330">
        <f>+ROUND(P34/P32,4)</f>
        <v>5.0000000000000001E-4</v>
      </c>
      <c r="S34" s="18" t="str">
        <f>+ROUND(O34/(365*O32),4)&amp;" kt H2 per kbl oil"</f>
        <v>0,0001 kt H2 per kbl oil</v>
      </c>
      <c r="U34" s="305"/>
      <c r="W34" s="12" t="s">
        <v>928</v>
      </c>
      <c r="X34" s="12" t="s">
        <v>1173</v>
      </c>
      <c r="Y34" s="12">
        <v>2019</v>
      </c>
    </row>
    <row r="35" spans="1:26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  <c r="W35" s="12" t="s">
        <v>1174</v>
      </c>
      <c r="X35" s="12" t="s">
        <v>1175</v>
      </c>
      <c r="Y35" s="12">
        <v>0.24284476982969799</v>
      </c>
      <c r="Z35" s="421">
        <f t="shared" ref="Z35:Z38" si="3">+Y35/$Y$40</f>
        <v>4.9624956990719797E-4</v>
      </c>
    </row>
    <row r="36" spans="1:26" ht="15.75" customHeight="1" x14ac:dyDescent="0.25">
      <c r="A36" s="350" t="s">
        <v>58</v>
      </c>
      <c r="B36" s="350"/>
      <c r="C36" s="1" t="s">
        <v>991</v>
      </c>
      <c r="D36" s="1" t="s">
        <v>1176</v>
      </c>
      <c r="E36" s="1" t="s">
        <v>59</v>
      </c>
      <c r="F36" s="328"/>
      <c r="G36" s="328"/>
      <c r="L36" s="116"/>
      <c r="N36" s="351" t="s">
        <v>1078</v>
      </c>
      <c r="O36" s="352"/>
      <c r="P36" s="352">
        <f>+O135</f>
        <v>1.4407199999999998</v>
      </c>
      <c r="Q36" s="353" t="s">
        <v>59</v>
      </c>
      <c r="R36" s="215">
        <f>+O135/P32</f>
        <v>2.6575482987367489E-3</v>
      </c>
      <c r="S36" s="12" t="s">
        <v>1079</v>
      </c>
      <c r="U36" s="305"/>
      <c r="W36" s="12" t="s">
        <v>1174</v>
      </c>
      <c r="X36" s="12" t="s">
        <v>1177</v>
      </c>
      <c r="Y36" s="12">
        <v>2.1370339745013398</v>
      </c>
      <c r="Z36" s="421">
        <f t="shared" si="3"/>
        <v>4.366996215183337E-3</v>
      </c>
    </row>
    <row r="37" spans="1:26" ht="15.75" customHeight="1" x14ac:dyDescent="0.25">
      <c r="A37" s="1"/>
      <c r="B37" s="1"/>
      <c r="C37" s="12" t="s">
        <v>1175</v>
      </c>
      <c r="D37" s="12" t="s">
        <v>1178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  <c r="W37" s="12" t="s">
        <v>1174</v>
      </c>
      <c r="X37" s="12" t="s">
        <v>991</v>
      </c>
      <c r="Y37" s="12">
        <v>485.68953965939698</v>
      </c>
      <c r="Z37" s="421">
        <f t="shared" si="3"/>
        <v>0.99249913981439797</v>
      </c>
    </row>
    <row r="38" spans="1:26" ht="15.75" customHeight="1" x14ac:dyDescent="0.25">
      <c r="A38" s="1"/>
      <c r="B38" s="328"/>
      <c r="C38" s="12" t="s">
        <v>1177</v>
      </c>
      <c r="D38" s="12" t="s">
        <v>1179</v>
      </c>
      <c r="E38" s="12" t="s">
        <v>59</v>
      </c>
      <c r="F38" s="328"/>
      <c r="G38" s="328"/>
      <c r="W38" s="12" t="s">
        <v>1174</v>
      </c>
      <c r="X38" s="12" t="s">
        <v>1180</v>
      </c>
      <c r="Y38" s="12">
        <v>1.29074340983606</v>
      </c>
      <c r="Z38" s="421">
        <f t="shared" si="3"/>
        <v>2.6376144005114295E-3</v>
      </c>
    </row>
    <row r="39" spans="1:26" ht="15.75" customHeight="1" x14ac:dyDescent="0.25">
      <c r="A39" s="1"/>
      <c r="B39" s="328"/>
      <c r="C39" s="18" t="s">
        <v>1180</v>
      </c>
      <c r="D39" s="12" t="s">
        <v>1181</v>
      </c>
      <c r="E39" s="12" t="s">
        <v>59</v>
      </c>
      <c r="F39" s="328"/>
      <c r="G39" s="328"/>
      <c r="N39" s="336" t="s">
        <v>1086</v>
      </c>
      <c r="O39" s="328"/>
      <c r="P39" s="1"/>
    </row>
    <row r="40" spans="1:26" ht="15.75" customHeight="1" x14ac:dyDescent="0.25">
      <c r="C40" s="18" t="s">
        <v>989</v>
      </c>
      <c r="D40" s="18" t="s">
        <v>1182</v>
      </c>
      <c r="E40" s="344" t="s">
        <v>59</v>
      </c>
      <c r="G40" s="328"/>
      <c r="N40" s="354" t="s">
        <v>312</v>
      </c>
      <c r="O40" s="355" t="s">
        <v>881</v>
      </c>
      <c r="P40" s="356" t="s">
        <v>974</v>
      </c>
      <c r="Y40" s="12">
        <f>+SUM(Y35:Y38)</f>
        <v>489.3601618135641</v>
      </c>
    </row>
    <row r="41" spans="1:26" ht="15.75" customHeight="1" x14ac:dyDescent="0.25">
      <c r="A41" s="1"/>
      <c r="B41" s="1"/>
      <c r="C41" s="18" t="s">
        <v>990</v>
      </c>
      <c r="D41" s="18" t="s">
        <v>1183</v>
      </c>
      <c r="E41" s="344" t="s">
        <v>59</v>
      </c>
      <c r="G41" s="328"/>
      <c r="N41" s="357" t="str">
        <f>+C23</f>
        <v>REF2</v>
      </c>
      <c r="O41" s="1" t="str">
        <f>+P22</f>
        <v>OIL-REF2</v>
      </c>
      <c r="P41" s="266">
        <f>1/(1+R33+R34+R36)</f>
        <v>0.99249913981439808</v>
      </c>
      <c r="T41" s="266"/>
    </row>
    <row r="42" spans="1:26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H2-REF2</v>
      </c>
      <c r="P42" s="266">
        <f>R34/(1+R33+R34+R36)</f>
        <v>4.9624956990719905E-4</v>
      </c>
    </row>
    <row r="43" spans="1:26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ELC-REF2</v>
      </c>
      <c r="P43" s="266">
        <f>R33/(1+R33+R34+R36)</f>
        <v>4.3669962151833518E-3</v>
      </c>
    </row>
    <row r="44" spans="1:26" ht="15.75" customHeight="1" x14ac:dyDescent="0.25">
      <c r="B44" s="336" t="s">
        <v>880</v>
      </c>
      <c r="C44" s="328"/>
      <c r="D44" s="1"/>
      <c r="E44" s="1"/>
      <c r="N44" s="1"/>
      <c r="O44" s="353" t="str">
        <f>+O159</f>
        <v>STEAM-DRM-REF2</v>
      </c>
      <c r="P44" s="266">
        <f>R36/(1+R33+R34+R36)</f>
        <v>2.6376144005114403E-3</v>
      </c>
    </row>
    <row r="45" spans="1:26" ht="15.75" customHeight="1" x14ac:dyDescent="0.25">
      <c r="B45" s="360" t="s">
        <v>312</v>
      </c>
      <c r="C45" s="360" t="s">
        <v>881</v>
      </c>
      <c r="D45" s="360" t="s">
        <v>882</v>
      </c>
      <c r="E45" s="360" t="s">
        <v>930</v>
      </c>
    </row>
    <row r="46" spans="1:26" ht="15.75" customHeight="1" x14ac:dyDescent="0.25">
      <c r="B46" s="16" t="str">
        <f t="shared" ref="B46:B47" si="4">+C27</f>
        <v>FTE-GAS-REF2</v>
      </c>
      <c r="C46" s="16" t="s">
        <v>7</v>
      </c>
      <c r="D46" s="16" t="str">
        <f t="shared" ref="D46:D47" si="5">+C40</f>
        <v>GAS-REF2</v>
      </c>
      <c r="E46" s="292">
        <v>1</v>
      </c>
      <c r="P46" s="361">
        <f>+SUM(P41:P44)</f>
        <v>1</v>
      </c>
    </row>
    <row r="47" spans="1:26" ht="15.75" customHeight="1" x14ac:dyDescent="0.25">
      <c r="B47" s="16" t="str">
        <f t="shared" si="4"/>
        <v>FTE-HFO-REF2</v>
      </c>
      <c r="C47" s="16" t="s">
        <v>26</v>
      </c>
      <c r="D47" s="16" t="str">
        <f t="shared" si="5"/>
        <v>HFO-REF2</v>
      </c>
      <c r="E47" s="322">
        <v>1</v>
      </c>
      <c r="F47" s="1"/>
      <c r="G47" s="1"/>
      <c r="H47" s="1"/>
      <c r="I47" s="1"/>
    </row>
    <row r="48" spans="1:26" ht="15.75" customHeight="1" x14ac:dyDescent="0.25">
      <c r="B48" s="1"/>
      <c r="C48" s="1"/>
      <c r="D48" s="1"/>
      <c r="E48" s="1"/>
      <c r="F48" s="1"/>
      <c r="G48" s="1"/>
      <c r="H48" s="1"/>
      <c r="I48" s="1"/>
      <c r="L48" s="823" t="s">
        <v>1091</v>
      </c>
      <c r="M48" s="841"/>
      <c r="N48" s="841"/>
      <c r="O48" s="841"/>
      <c r="P48" s="841"/>
      <c r="Q48" s="841"/>
      <c r="R48" s="841"/>
      <c r="S48" s="841"/>
      <c r="T48" s="841"/>
      <c r="U48" s="824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1092</v>
      </c>
      <c r="N50" s="345" t="s">
        <v>1093</v>
      </c>
      <c r="O50" s="345" t="s">
        <v>1094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1034</v>
      </c>
      <c r="N51" s="422">
        <f>+O32</f>
        <v>244.00000000000003</v>
      </c>
      <c r="O51" s="286">
        <v>12131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1095</v>
      </c>
      <c r="N54" s="345" t="s">
        <v>1093</v>
      </c>
      <c r="O54" s="345" t="s">
        <v>1094</v>
      </c>
      <c r="P54" s="345" t="s">
        <v>1184</v>
      </c>
      <c r="Q54" s="24" t="s">
        <v>1185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274"/>
      <c r="O55" s="365">
        <v>2466</v>
      </c>
      <c r="P55" s="295">
        <f t="shared" ref="P55:P61" si="6">+O55/$O$63</f>
        <v>0.29956268221574345</v>
      </c>
      <c r="Q55" s="423">
        <v>0.32100000000000001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1098</v>
      </c>
      <c r="N56" s="274"/>
      <c r="O56" s="365">
        <v>3084</v>
      </c>
      <c r="P56" s="295">
        <f t="shared" si="6"/>
        <v>0.37463556851311952</v>
      </c>
      <c r="Q56" s="423">
        <v>0.32900000000000001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274"/>
      <c r="O57" s="365">
        <v>716</v>
      </c>
      <c r="P57" s="295">
        <f t="shared" si="6"/>
        <v>8.6977648202137992E-2</v>
      </c>
      <c r="Q57" s="423">
        <v>0.08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274"/>
      <c r="O58" s="424">
        <v>100</v>
      </c>
      <c r="P58" s="295">
        <f t="shared" si="6"/>
        <v>1.2147716229348883E-2</v>
      </c>
      <c r="Q58" s="423">
        <v>2.5999999999999999E-2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274"/>
      <c r="O59" s="365">
        <v>1575</v>
      </c>
      <c r="P59" s="295">
        <f t="shared" si="6"/>
        <v>0.19132653061224489</v>
      </c>
      <c r="Q59" s="423">
        <v>0.20100000000000001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1186</v>
      </c>
      <c r="N60" s="274"/>
      <c r="O60" s="365"/>
      <c r="P60" s="295">
        <f t="shared" si="6"/>
        <v>0</v>
      </c>
      <c r="Q60" s="423">
        <v>1E-3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1100</v>
      </c>
      <c r="N61" s="402"/>
      <c r="O61" s="365">
        <v>291</v>
      </c>
      <c r="P61" s="295">
        <f t="shared" si="6"/>
        <v>3.5349854227405247E-2</v>
      </c>
      <c r="Q61" s="425">
        <v>4.2000000000000003E-2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1102</v>
      </c>
      <c r="N63" s="286"/>
      <c r="O63" s="365">
        <f t="shared" ref="O63:Q63" si="7">+SUM(O55:O61)</f>
        <v>8232</v>
      </c>
      <c r="P63" s="367">
        <f t="shared" si="7"/>
        <v>0.99999999999999989</v>
      </c>
      <c r="Q63" s="368">
        <f t="shared" si="7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1021</v>
      </c>
      <c r="N64" s="365"/>
      <c r="O64" s="365">
        <f>24.39-O63</f>
        <v>-8207.61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997</v>
      </c>
      <c r="N65" s="365"/>
      <c r="O65" s="365">
        <f>+O64+O63</f>
        <v>24.389999999999418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 t="s">
        <v>1103</v>
      </c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312</v>
      </c>
      <c r="O71" s="371" t="s">
        <v>882</v>
      </c>
      <c r="P71" s="372" t="s">
        <v>973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REF2</v>
      </c>
      <c r="O72" s="1" t="s">
        <v>8</v>
      </c>
      <c r="P72" s="266">
        <f>+P55+P60</f>
        <v>0.29956268221574345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0.37463556851311952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8.6977648202137992E-2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1.2147716229348883E-2</v>
      </c>
      <c r="R75" s="266"/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0.19132653061224489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125</v>
      </c>
      <c r="P77" s="228">
        <f>+P61</f>
        <v>3.5349854227405247E-2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 t="s">
        <v>102</v>
      </c>
      <c r="P78" s="266">
        <v>0</v>
      </c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Q79" s="374">
        <f>++SUM(P72:P77)</f>
        <v>0.99999999999999989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823" t="s">
        <v>1105</v>
      </c>
      <c r="M81" s="841"/>
      <c r="N81" s="841"/>
      <c r="O81" s="841"/>
      <c r="P81" s="841"/>
      <c r="Q81" s="841"/>
      <c r="R81" s="841"/>
      <c r="S81" s="841"/>
      <c r="T81" s="841"/>
      <c r="U81" s="824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1106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662</v>
      </c>
      <c r="P83" s="345" t="s">
        <v>1071</v>
      </c>
      <c r="T83" s="299"/>
      <c r="U83" s="305"/>
    </row>
    <row r="84" spans="1:21" ht="15.75" customHeight="1" x14ac:dyDescent="0.25">
      <c r="A84" s="12" t="s">
        <v>1107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1108</v>
      </c>
      <c r="O84" s="12">
        <f>+'4. Refinerys Data'!D21</f>
        <v>250</v>
      </c>
      <c r="P84" s="365">
        <f>+O84*365*E10/1000</f>
        <v>555.45464279436999</v>
      </c>
      <c r="S84" s="222"/>
      <c r="T84" s="222"/>
      <c r="U84" s="305"/>
    </row>
    <row r="85" spans="1:21" ht="15.75" customHeight="1" x14ac:dyDescent="0.25">
      <c r="A85" s="12" t="s">
        <v>1109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1110</v>
      </c>
      <c r="O85" s="12">
        <v>218.6</v>
      </c>
      <c r="P85" s="365">
        <f>+O85*365*E10/1000</f>
        <v>485.68953965939704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1111</v>
      </c>
      <c r="O86" s="376">
        <f>+O85/O84</f>
        <v>0.87439999999999996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1112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1113</v>
      </c>
      <c r="O89" s="266"/>
      <c r="P89" s="266">
        <f>+O65/O51</f>
        <v>2.0105514796801105E-3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1114</v>
      </c>
      <c r="O90" s="266"/>
      <c r="P90" s="266">
        <v>0.76400000000000001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1115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 t="s">
        <v>880</v>
      </c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312</v>
      </c>
      <c r="O96" s="355" t="s">
        <v>928</v>
      </c>
      <c r="P96" s="355" t="s">
        <v>1116</v>
      </c>
      <c r="Q96" s="355" t="s">
        <v>973</v>
      </c>
      <c r="R96" s="382" t="s">
        <v>974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REF2</v>
      </c>
      <c r="O97" s="385" t="s">
        <v>1117</v>
      </c>
      <c r="P97" s="16">
        <v>2019</v>
      </c>
      <c r="Q97" s="386">
        <f>+P85*P90</f>
        <v>371.06680829977932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9">+N97</f>
        <v>REF2</v>
      </c>
      <c r="O98" s="214" t="str">
        <f t="shared" si="9"/>
        <v>ACT_BND</v>
      </c>
      <c r="P98" s="214">
        <v>2020</v>
      </c>
      <c r="Q98" s="386">
        <f>+P84*P90</f>
        <v>424.36734709489866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REF2</v>
      </c>
      <c r="O99" s="389" t="s">
        <v>930</v>
      </c>
      <c r="P99" s="16">
        <v>2019</v>
      </c>
      <c r="Q99" s="16"/>
      <c r="R99" s="322">
        <f>+P90*P41</f>
        <v>0.75826934281820013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REF2</v>
      </c>
      <c r="O100" s="16" t="s">
        <v>1118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823" t="s">
        <v>1119</v>
      </c>
      <c r="M104" s="841"/>
      <c r="N104" s="841"/>
      <c r="O104" s="841"/>
      <c r="P104" s="841"/>
      <c r="Q104" s="841"/>
      <c r="R104" s="841"/>
      <c r="S104" s="841"/>
      <c r="T104" s="841"/>
      <c r="U104" s="824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1120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1121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662</v>
      </c>
      <c r="P107" s="392" t="s">
        <v>1071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1122</v>
      </c>
      <c r="O108" s="394">
        <f>394.77/299.7</f>
        <v>1.3172172172172172</v>
      </c>
      <c r="P108" s="395">
        <f>+O108</f>
        <v>1.3172172172172172</v>
      </c>
      <c r="Q108" s="12" t="s">
        <v>1123</v>
      </c>
      <c r="U108" s="305"/>
      <c r="X108" s="12">
        <f>+O34*1000000</f>
        <v>5830000</v>
      </c>
      <c r="Y108" s="12" t="s">
        <v>1121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1124</v>
      </c>
      <c r="U110" s="305"/>
      <c r="X110" s="12">
        <f>+X108*X105</f>
        <v>26235000</v>
      </c>
      <c r="Y110" s="12" t="s">
        <v>1125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1126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849</v>
      </c>
      <c r="U111" s="305"/>
      <c r="X111" s="12">
        <f>+X110*35.3147</f>
        <v>926481154.5</v>
      </c>
      <c r="Y111" s="12" t="s">
        <v>1127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926.4811545</v>
      </c>
      <c r="Y112" s="12" t="s">
        <v>1128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2.5383045328767122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 t="s">
        <v>880</v>
      </c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312</v>
      </c>
      <c r="O116" s="355" t="s">
        <v>928</v>
      </c>
      <c r="P116" s="355" t="s">
        <v>1116</v>
      </c>
      <c r="Q116" s="355" t="s">
        <v>973</v>
      </c>
      <c r="R116" s="398" t="s">
        <v>974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tr">
        <f>+C24</f>
        <v>SMR-REF2</v>
      </c>
      <c r="O117" s="389" t="s">
        <v>1117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SMR-REF2</v>
      </c>
      <c r="O118" s="16" t="s">
        <v>930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 t="s">
        <v>880</v>
      </c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312</v>
      </c>
      <c r="O122" s="355" t="s">
        <v>881</v>
      </c>
      <c r="P122" s="355" t="s">
        <v>882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SMR-REF2</v>
      </c>
      <c r="O123" s="2" t="str">
        <f>+D46</f>
        <v>GAS-REF2</v>
      </c>
      <c r="P123" s="2" t="str">
        <f>+C38</f>
        <v>H2-REF2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823" t="s">
        <v>1129</v>
      </c>
      <c r="M128" s="841"/>
      <c r="N128" s="841"/>
      <c r="O128" s="841"/>
      <c r="P128" s="841"/>
      <c r="Q128" s="841"/>
      <c r="R128" s="841"/>
      <c r="S128" s="841"/>
      <c r="T128" s="841"/>
      <c r="U128" s="824"/>
      <c r="W128" s="12" t="s">
        <v>1130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1131</v>
      </c>
    </row>
    <row r="130" spans="2:25" ht="15.75" customHeight="1" x14ac:dyDescent="0.25">
      <c r="B130" s="1"/>
      <c r="C130" s="1"/>
      <c r="D130" s="1" t="s">
        <v>1132</v>
      </c>
      <c r="E130" s="1">
        <v>1561</v>
      </c>
      <c r="F130" s="1" t="s">
        <v>599</v>
      </c>
      <c r="G130" s="1"/>
      <c r="H130" s="1"/>
      <c r="I130" s="1"/>
      <c r="L130" s="116"/>
      <c r="M130" s="364" t="s">
        <v>1131</v>
      </c>
      <c r="N130" s="345" t="s">
        <v>1133</v>
      </c>
      <c r="O130" s="345" t="s">
        <v>1071</v>
      </c>
      <c r="P130" s="118"/>
      <c r="Q130" s="118" t="s">
        <v>1134</v>
      </c>
      <c r="R130" s="326"/>
      <c r="S130" s="13"/>
      <c r="T130" s="13"/>
      <c r="U130" s="305"/>
      <c r="W130" s="12" t="s">
        <v>678</v>
      </c>
      <c r="X130" s="222">
        <f t="shared" ref="X130:X131" si="10">+Q131</f>
        <v>181.10027784183313</v>
      </c>
    </row>
    <row r="131" spans="2:25" ht="15.75" customHeight="1" x14ac:dyDescent="0.25">
      <c r="B131" s="1"/>
      <c r="C131" s="1"/>
      <c r="D131" s="1" t="s">
        <v>1135</v>
      </c>
      <c r="E131" s="1">
        <v>874.27499999999998</v>
      </c>
      <c r="F131" s="1" t="s">
        <v>664</v>
      </c>
      <c r="G131" s="401" t="s">
        <v>1187</v>
      </c>
      <c r="H131" s="1">
        <f>643+289</f>
        <v>932</v>
      </c>
      <c r="I131" s="1"/>
      <c r="L131" s="116"/>
      <c r="M131" s="330" t="s">
        <v>1136</v>
      </c>
      <c r="N131" s="14">
        <v>58</v>
      </c>
      <c r="O131" s="286">
        <f>43+643*I132</f>
        <v>485.45016077170419</v>
      </c>
      <c r="P131" s="12" t="s">
        <v>59</v>
      </c>
      <c r="Q131" s="222">
        <f>O131/(85*24*365*0.0036/1000)</f>
        <v>181.10027784183313</v>
      </c>
      <c r="R131" s="18" t="s">
        <v>1137</v>
      </c>
      <c r="U131" s="305"/>
      <c r="W131" s="12" t="s">
        <v>1138</v>
      </c>
      <c r="X131" s="231">
        <f t="shared" si="10"/>
        <v>83.520672675452204</v>
      </c>
    </row>
    <row r="132" spans="2:25" ht="15.75" customHeight="1" x14ac:dyDescent="0.25">
      <c r="B132" s="1"/>
      <c r="C132" s="1"/>
      <c r="D132" s="1" t="s">
        <v>1139</v>
      </c>
      <c r="E132" s="1">
        <f>+E130-E131</f>
        <v>686.72500000000002</v>
      </c>
      <c r="F132" s="1" t="s">
        <v>664</v>
      </c>
      <c r="G132" s="401" t="s">
        <v>1188</v>
      </c>
      <c r="H132" s="1">
        <v>642</v>
      </c>
      <c r="I132" s="309">
        <f>+H132/(H132+H133)</f>
        <v>0.68810289389067525</v>
      </c>
      <c r="L132" s="116"/>
      <c r="M132" s="330" t="s">
        <v>108</v>
      </c>
      <c r="N132" s="402">
        <v>33.799999999999997</v>
      </c>
      <c r="O132" s="286">
        <f>643*I133</f>
        <v>200.54983922829581</v>
      </c>
      <c r="P132" s="12" t="s">
        <v>59</v>
      </c>
      <c r="Q132" s="222">
        <f>+O132/(O33*0.0036)</f>
        <v>83.520672675452204</v>
      </c>
      <c r="R132" s="12" t="s">
        <v>1140</v>
      </c>
      <c r="U132" s="305"/>
      <c r="X132" s="222">
        <f>+X131+X130</f>
        <v>264.62095051728534</v>
      </c>
    </row>
    <row r="133" spans="2:25" ht="15.75" customHeight="1" x14ac:dyDescent="0.25">
      <c r="B133" s="1"/>
      <c r="C133" s="1"/>
      <c r="D133" s="1"/>
      <c r="E133" s="1"/>
      <c r="F133" s="1"/>
      <c r="G133" s="1" t="s">
        <v>26</v>
      </c>
      <c r="H133" s="1">
        <v>291</v>
      </c>
      <c r="I133" s="309">
        <f>+H133/(H132+H133)</f>
        <v>0.31189710610932475</v>
      </c>
      <c r="L133" s="116"/>
      <c r="M133" s="330" t="s">
        <v>858</v>
      </c>
      <c r="O133" s="14">
        <v>154</v>
      </c>
      <c r="P133" s="12" t="s">
        <v>59</v>
      </c>
      <c r="Q133" s="222">
        <f>+Q132+Q131</f>
        <v>264.62095051728534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1095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1141</v>
      </c>
      <c r="N135" s="353"/>
      <c r="O135" s="403">
        <f>+Q135*P33</f>
        <v>1.4407199999999998</v>
      </c>
      <c r="P135" s="353" t="s">
        <v>59</v>
      </c>
      <c r="Q135" s="401">
        <f>+(O138-O139)/O139</f>
        <v>0.6</v>
      </c>
      <c r="R135" s="12" t="s">
        <v>1142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1143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1144</v>
      </c>
      <c r="O137" s="12">
        <v>193</v>
      </c>
      <c r="P137" s="12" t="s">
        <v>1145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1146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1147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1148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1149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 t="s">
        <v>880</v>
      </c>
      <c r="O143" s="1"/>
      <c r="P143" s="1"/>
      <c r="Q143" s="206"/>
      <c r="R143" s="1"/>
      <c r="S143" s="1"/>
      <c r="W143" s="12" t="s">
        <v>1150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312</v>
      </c>
      <c r="O144" s="371" t="s">
        <v>928</v>
      </c>
      <c r="P144" s="371" t="s">
        <v>1116</v>
      </c>
      <c r="Q144" s="371" t="s">
        <v>973</v>
      </c>
      <c r="R144" s="405" t="s">
        <v>974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AUTO-REF2</v>
      </c>
      <c r="O145" s="406" t="s">
        <v>1117</v>
      </c>
      <c r="P145" s="340">
        <v>2019</v>
      </c>
      <c r="Q145" s="407"/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AUTO-REF2</v>
      </c>
      <c r="O146" s="410" t="s">
        <v>930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 t="s">
        <v>1086</v>
      </c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312</v>
      </c>
      <c r="O150" s="371" t="s">
        <v>881</v>
      </c>
      <c r="P150" s="371" t="s">
        <v>973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AUTO-REF2</v>
      </c>
      <c r="O151" s="418" t="str">
        <f>+O77</f>
        <v>RFG2</v>
      </c>
      <c r="P151" s="400">
        <f>+O132/(O132+O131+O133)</f>
        <v>0.23874980860511405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 t="shared" ref="O152:O153" si="11">+D46</f>
        <v>GAS-REF2</v>
      </c>
      <c r="P152" s="400">
        <f>+O131/(O132+O131+O133)</f>
        <v>0.57791685806155257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2" t="str">
        <f t="shared" si="11"/>
        <v>HFO-REF2</v>
      </c>
      <c r="P153" s="400">
        <f>+O133/(O132+O131+O133)</f>
        <v>0.18333333333333332</v>
      </c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 t="s">
        <v>1103</v>
      </c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312</v>
      </c>
      <c r="O157" s="371" t="s">
        <v>882</v>
      </c>
      <c r="P157" s="371" t="s">
        <v>974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AUTO-REF2</v>
      </c>
      <c r="O158" s="420" t="str">
        <f>+C37</f>
        <v>ELC-REF2</v>
      </c>
      <c r="P158" s="400">
        <f t="shared" ref="P158:P159" si="12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STEAM-DRM-REF2</v>
      </c>
      <c r="P159" s="295">
        <f t="shared" si="12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823" t="s">
        <v>1151</v>
      </c>
      <c r="M162" s="841"/>
      <c r="N162" s="841"/>
      <c r="O162" s="841"/>
      <c r="P162" s="841"/>
      <c r="Q162" s="841"/>
      <c r="R162" s="841"/>
      <c r="S162" s="841"/>
      <c r="T162" s="841"/>
      <c r="U162" s="824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 t="s">
        <v>880</v>
      </c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312</v>
      </c>
      <c r="O165" s="209" t="s">
        <v>881</v>
      </c>
      <c r="P165" s="209" t="s">
        <v>882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COMPRA-ELC-REF2</v>
      </c>
      <c r="O166" s="214" t="str">
        <f>+'1. EXP_IMP'!J51</f>
        <v>ELC-SIN</v>
      </c>
      <c r="P166" s="357" t="str">
        <f>+O158</f>
        <v>ELC-REF2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 t="s">
        <v>1052</v>
      </c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312</v>
      </c>
      <c r="O169" s="337" t="s">
        <v>882</v>
      </c>
      <c r="P169" s="337" t="s">
        <v>1056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COMPRA-ELC-REF2</v>
      </c>
      <c r="O170" s="340" t="str">
        <f>+'3. Scope3'!B43</f>
        <v>CO2e-REF2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1152</v>
      </c>
    </row>
    <row r="196" spans="2:16" ht="15.75" customHeight="1" x14ac:dyDescent="0.25">
      <c r="O196" s="12">
        <f>+O195*365</f>
        <v>89425</v>
      </c>
      <c r="P196" s="12" t="s">
        <v>1153</v>
      </c>
    </row>
    <row r="197" spans="2:16" ht="15.75" customHeight="1" x14ac:dyDescent="0.25">
      <c r="O197" s="12">
        <f>+O196/1000</f>
        <v>89.424999999999997</v>
      </c>
      <c r="P197" s="12" t="s">
        <v>1154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BF9000"/>
  </sheetPr>
  <dimension ref="A2:Z1000"/>
  <sheetViews>
    <sheetView showGridLines="0" workbookViewId="0"/>
  </sheetViews>
  <sheetFormatPr baseColWidth="10" defaultColWidth="14.42578125" defaultRowHeight="15" customHeight="1" x14ac:dyDescent="0.25"/>
  <cols>
    <col min="1" max="2" width="10.7109375" customWidth="1"/>
    <col min="3" max="3" width="27.140625" customWidth="1"/>
    <col min="4" max="4" width="17" customWidth="1"/>
    <col min="5" max="5" width="24.5703125" customWidth="1"/>
    <col min="6" max="6" width="27.28515625" customWidth="1"/>
    <col min="7" max="7" width="30.5703125" customWidth="1"/>
    <col min="8" max="8" width="10.7109375" customWidth="1"/>
    <col min="9" max="9" width="5.28515625" customWidth="1"/>
    <col min="10" max="10" width="16.85546875" customWidth="1"/>
    <col min="11" max="13" width="18.85546875" customWidth="1"/>
    <col min="14" max="14" width="16.28515625" customWidth="1"/>
    <col min="15" max="15" width="6.5703125" customWidth="1"/>
    <col min="16" max="16" width="10.5703125" customWidth="1"/>
    <col min="17" max="17" width="12.28515625" customWidth="1"/>
    <col min="18" max="19" width="20.28515625" customWidth="1"/>
    <col min="20" max="20" width="14.7109375" customWidth="1"/>
    <col min="21" max="23" width="20.28515625" customWidth="1"/>
    <col min="24" max="26" width="10.7109375" customWidth="1"/>
  </cols>
  <sheetData>
    <row r="2" spans="1:23" x14ac:dyDescent="0.25">
      <c r="D2" s="847" t="s">
        <v>1189</v>
      </c>
      <c r="E2" s="848"/>
      <c r="F2" s="848"/>
      <c r="G2" s="848"/>
      <c r="H2" s="849"/>
    </row>
    <row r="3" spans="1:23" x14ac:dyDescent="0.25">
      <c r="D3" s="426"/>
      <c r="E3" s="850" t="s">
        <v>1190</v>
      </c>
      <c r="F3" s="851"/>
      <c r="G3" s="850" t="s">
        <v>1191</v>
      </c>
      <c r="H3" s="851"/>
    </row>
    <row r="4" spans="1:23" x14ac:dyDescent="0.25">
      <c r="A4" s="12" t="s">
        <v>1192</v>
      </c>
      <c r="D4" s="2"/>
      <c r="E4" s="2" t="s">
        <v>1193</v>
      </c>
      <c r="F4" s="2" t="s">
        <v>1194</v>
      </c>
      <c r="G4" s="2" t="s">
        <v>1193</v>
      </c>
      <c r="H4" s="2" t="s">
        <v>1194</v>
      </c>
    </row>
    <row r="5" spans="1:23" x14ac:dyDescent="0.25">
      <c r="A5" s="12" t="s">
        <v>911</v>
      </c>
      <c r="B5" s="12">
        <v>15</v>
      </c>
      <c r="D5" s="16" t="s">
        <v>1195</v>
      </c>
      <c r="E5" s="427">
        <v>0</v>
      </c>
      <c r="F5" s="2"/>
      <c r="G5" s="427">
        <v>0</v>
      </c>
      <c r="H5" s="2">
        <v>10</v>
      </c>
    </row>
    <row r="6" spans="1:23" x14ac:dyDescent="0.25">
      <c r="D6" s="16" t="s">
        <v>1196</v>
      </c>
      <c r="E6" s="2"/>
      <c r="F6" s="2">
        <v>18</v>
      </c>
      <c r="G6" s="2">
        <v>10</v>
      </c>
      <c r="H6" s="2">
        <v>22.3</v>
      </c>
    </row>
    <row r="7" spans="1:23" x14ac:dyDescent="0.25">
      <c r="D7" s="16" t="s">
        <v>1197</v>
      </c>
      <c r="E7" s="2">
        <v>18.100000000000001</v>
      </c>
      <c r="F7" s="2">
        <v>32</v>
      </c>
      <c r="G7" s="2">
        <v>22.3</v>
      </c>
      <c r="H7" s="2">
        <v>31.1</v>
      </c>
    </row>
    <row r="8" spans="1:23" x14ac:dyDescent="0.25">
      <c r="D8" s="16" t="s">
        <v>1198</v>
      </c>
      <c r="E8" s="2">
        <v>32.1</v>
      </c>
      <c r="F8" s="427">
        <v>100</v>
      </c>
      <c r="G8" s="2">
        <v>31.1</v>
      </c>
      <c r="H8" s="427">
        <v>100</v>
      </c>
    </row>
    <row r="9" spans="1:23" x14ac:dyDescent="0.25">
      <c r="D9" s="16"/>
      <c r="E9" s="2"/>
      <c r="F9" s="427"/>
      <c r="G9" s="2"/>
      <c r="H9" s="427"/>
    </row>
    <row r="10" spans="1:23" x14ac:dyDescent="0.25">
      <c r="D10" s="16"/>
      <c r="E10" s="2"/>
      <c r="F10" s="427"/>
      <c r="G10" s="2"/>
      <c r="H10" s="427"/>
    </row>
    <row r="11" spans="1:23" ht="15.75" x14ac:dyDescent="0.25">
      <c r="N11" s="852" t="s">
        <v>1199</v>
      </c>
      <c r="O11" s="812"/>
      <c r="P11" s="812"/>
      <c r="Q11" s="812"/>
      <c r="R11" s="812"/>
      <c r="S11" s="812"/>
      <c r="T11" s="812"/>
      <c r="U11" s="812"/>
      <c r="V11" s="99"/>
      <c r="W11" s="99"/>
    </row>
    <row r="12" spans="1:23" ht="37.5" x14ac:dyDescent="0.25">
      <c r="A12" s="12" t="s">
        <v>1200</v>
      </c>
      <c r="C12" s="428" t="s">
        <v>1201</v>
      </c>
      <c r="D12" s="428" t="s">
        <v>1202</v>
      </c>
      <c r="E12" s="428" t="s">
        <v>1203</v>
      </c>
      <c r="F12" s="428" t="s">
        <v>1204</v>
      </c>
      <c r="G12" s="428" t="s">
        <v>1205</v>
      </c>
      <c r="H12" s="428" t="s">
        <v>1206</v>
      </c>
      <c r="I12" s="429"/>
      <c r="J12" s="428" t="s">
        <v>1207</v>
      </c>
      <c r="K12" s="430" t="s">
        <v>1208</v>
      </c>
      <c r="L12" s="430" t="s">
        <v>1209</v>
      </c>
      <c r="M12" s="430" t="s">
        <v>1210</v>
      </c>
      <c r="N12" s="428" t="s">
        <v>1211</v>
      </c>
      <c r="O12" s="428" t="s">
        <v>1212</v>
      </c>
      <c r="P12" s="428" t="s">
        <v>1213</v>
      </c>
      <c r="Q12" s="428" t="s">
        <v>1214</v>
      </c>
      <c r="R12" s="428" t="s">
        <v>1215</v>
      </c>
      <c r="S12" s="428" t="s">
        <v>1216</v>
      </c>
      <c r="T12" s="428" t="s">
        <v>1217</v>
      </c>
      <c r="U12" s="428" t="s">
        <v>1218</v>
      </c>
      <c r="V12" s="428" t="s">
        <v>1219</v>
      </c>
      <c r="W12" s="430" t="s">
        <v>1220</v>
      </c>
    </row>
    <row r="13" spans="1:23" x14ac:dyDescent="0.25">
      <c r="C13" s="431" t="s">
        <v>1221</v>
      </c>
      <c r="D13" s="432" t="s">
        <v>1222</v>
      </c>
      <c r="E13" s="432" t="s">
        <v>1223</v>
      </c>
      <c r="F13" s="432" t="s">
        <v>1224</v>
      </c>
      <c r="G13" s="433" t="s">
        <v>1225</v>
      </c>
      <c r="H13" s="431" t="s">
        <v>1101</v>
      </c>
      <c r="I13" s="434" t="s">
        <v>7</v>
      </c>
      <c r="J13" s="434" t="str">
        <f t="shared" ref="J13:J15" si="0">+IF(I13="Gas","Doesn't Apply",IF(H13&lt;$F$5,$D$5,IF(H13&lt;$F$6,$D$6,IF(H13&lt;$F$7,$D$7,IF(H13&gt;$E$8,$D$8,"Doesn't Apply")))))</f>
        <v>Doesn't Apply</v>
      </c>
      <c r="K13" s="435">
        <f t="shared" ref="K13:K35" si="1">+SUM(O13:U13)-T13</f>
        <v>162.95282191780822</v>
      </c>
      <c r="L13" s="435">
        <f t="shared" ref="L13:L35" si="2">+P13+O13+R13+Q13</f>
        <v>6.7568767123287659</v>
      </c>
      <c r="M13" s="435">
        <f t="shared" ref="M13:M35" si="3">+S13-T13+U13</f>
        <v>156.19594520547946</v>
      </c>
      <c r="N13" s="436">
        <v>162.95279452054797</v>
      </c>
      <c r="O13" s="436">
        <v>0</v>
      </c>
      <c r="P13" s="436">
        <v>0</v>
      </c>
      <c r="Q13" s="436">
        <v>6.5319452054794507</v>
      </c>
      <c r="R13" s="436">
        <v>0.22493150684931507</v>
      </c>
      <c r="S13" s="436">
        <v>13.287095890410958</v>
      </c>
      <c r="T13" s="436">
        <v>0</v>
      </c>
      <c r="U13" s="436">
        <v>142.90884931506849</v>
      </c>
      <c r="V13" s="436">
        <v>0</v>
      </c>
      <c r="W13" s="437">
        <f t="shared" ref="W13:W35" si="4">+K13-P13</f>
        <v>162.95282191780822</v>
      </c>
    </row>
    <row r="14" spans="1:23" x14ac:dyDescent="0.25">
      <c r="C14" s="431" t="s">
        <v>1221</v>
      </c>
      <c r="D14" s="432" t="s">
        <v>1222</v>
      </c>
      <c r="E14" s="432" t="s">
        <v>1223</v>
      </c>
      <c r="F14" s="432" t="s">
        <v>1224</v>
      </c>
      <c r="G14" s="433" t="s">
        <v>1226</v>
      </c>
      <c r="H14" s="431" t="s">
        <v>1101</v>
      </c>
      <c r="I14" s="434" t="s">
        <v>7</v>
      </c>
      <c r="J14" s="434" t="str">
        <f t="shared" si="0"/>
        <v>Doesn't Apply</v>
      </c>
      <c r="K14" s="435">
        <f t="shared" si="1"/>
        <v>23.174410958904112</v>
      </c>
      <c r="L14" s="435">
        <f t="shared" si="2"/>
        <v>0.14397260273972604</v>
      </c>
      <c r="M14" s="435">
        <f t="shared" si="3"/>
        <v>23.030438356164385</v>
      </c>
      <c r="N14" s="436">
        <v>23.174301369863016</v>
      </c>
      <c r="O14" s="436">
        <v>0</v>
      </c>
      <c r="P14" s="436">
        <v>0</v>
      </c>
      <c r="Q14" s="436">
        <v>0.11695890410958903</v>
      </c>
      <c r="R14" s="436">
        <v>2.701369863013699E-2</v>
      </c>
      <c r="S14" s="436">
        <v>1.9608219178082194</v>
      </c>
      <c r="T14" s="436">
        <v>0</v>
      </c>
      <c r="U14" s="436">
        <v>21.069616438356167</v>
      </c>
      <c r="V14" s="436">
        <v>0</v>
      </c>
      <c r="W14" s="437">
        <f t="shared" si="4"/>
        <v>23.174410958904112</v>
      </c>
    </row>
    <row r="15" spans="1:23" x14ac:dyDescent="0.25">
      <c r="C15" s="431" t="s">
        <v>1221</v>
      </c>
      <c r="D15" s="432" t="s">
        <v>1222</v>
      </c>
      <c r="E15" s="432" t="s">
        <v>1227</v>
      </c>
      <c r="F15" s="432" t="s">
        <v>1228</v>
      </c>
      <c r="G15" s="433" t="s">
        <v>1229</v>
      </c>
      <c r="H15" s="431" t="s">
        <v>1101</v>
      </c>
      <c r="I15" s="434" t="s">
        <v>7</v>
      </c>
      <c r="J15" s="434" t="str">
        <f t="shared" si="0"/>
        <v>Doesn't Apply</v>
      </c>
      <c r="K15" s="435">
        <f t="shared" si="1"/>
        <v>35.569315068493154</v>
      </c>
      <c r="L15" s="435">
        <f t="shared" si="2"/>
        <v>0</v>
      </c>
      <c r="M15" s="435">
        <f t="shared" si="3"/>
        <v>31.996931506849318</v>
      </c>
      <c r="N15" s="436">
        <v>35.569315068493154</v>
      </c>
      <c r="O15" s="436">
        <v>0</v>
      </c>
      <c r="P15" s="436">
        <v>0</v>
      </c>
      <c r="Q15" s="436">
        <v>0</v>
      </c>
      <c r="R15" s="436">
        <v>0</v>
      </c>
      <c r="S15" s="436">
        <v>35.569315068493154</v>
      </c>
      <c r="T15" s="436">
        <v>3.5723835616438366</v>
      </c>
      <c r="U15" s="436">
        <v>0</v>
      </c>
      <c r="V15" s="436">
        <v>0</v>
      </c>
      <c r="W15" s="437">
        <f t="shared" si="4"/>
        <v>35.569315068493154</v>
      </c>
    </row>
    <row r="16" spans="1:23" x14ac:dyDescent="0.25">
      <c r="C16" s="431" t="s">
        <v>1221</v>
      </c>
      <c r="D16" s="432" t="s">
        <v>1222</v>
      </c>
      <c r="E16" s="432" t="s">
        <v>1230</v>
      </c>
      <c r="F16" s="432" t="s">
        <v>1228</v>
      </c>
      <c r="G16" s="433" t="s">
        <v>1231</v>
      </c>
      <c r="H16" s="431">
        <v>48</v>
      </c>
      <c r="I16" s="434"/>
      <c r="J16" s="434" t="str">
        <f t="shared" ref="J16:J22" si="5">+IF(G16="Gas","Doesn't Apply",IF(H16&lt;$F$5,$D$5,IF(H16&lt;$F$6,$D$6,IF(H16&lt;$F$7,$D$7,IF(H16&gt;$E$8,$D$8,"Doesn't Apply")))))</f>
        <v>Light Oil</v>
      </c>
      <c r="K16" s="435">
        <f t="shared" si="1"/>
        <v>649.48632876712327</v>
      </c>
      <c r="L16" s="435">
        <f t="shared" si="2"/>
        <v>436.89753424657533</v>
      </c>
      <c r="M16" s="435">
        <f t="shared" si="3"/>
        <v>204.32512328767126</v>
      </c>
      <c r="N16" s="436">
        <v>649.4862739726027</v>
      </c>
      <c r="O16" s="436">
        <v>0</v>
      </c>
      <c r="P16" s="436">
        <v>396.38389041095888</v>
      </c>
      <c r="Q16" s="436">
        <v>38.275260273972606</v>
      </c>
      <c r="R16" s="436">
        <v>2.2383835616438361</v>
      </c>
      <c r="S16" s="436">
        <v>16.510794520547947</v>
      </c>
      <c r="T16" s="436">
        <v>8.2636712328767121</v>
      </c>
      <c r="U16" s="436">
        <v>196.07800000000003</v>
      </c>
      <c r="V16" s="436">
        <v>10231.853999999999</v>
      </c>
      <c r="W16" s="437">
        <f t="shared" si="4"/>
        <v>253.10243835616438</v>
      </c>
    </row>
    <row r="17" spans="3:23" x14ac:dyDescent="0.25">
      <c r="C17" s="431" t="s">
        <v>1221</v>
      </c>
      <c r="D17" s="432" t="s">
        <v>1222</v>
      </c>
      <c r="E17" s="432" t="s">
        <v>1232</v>
      </c>
      <c r="F17" s="432" t="s">
        <v>1228</v>
      </c>
      <c r="G17" s="433" t="s">
        <v>1233</v>
      </c>
      <c r="H17" s="431">
        <v>52</v>
      </c>
      <c r="I17" s="434"/>
      <c r="J17" s="434" t="str">
        <f t="shared" si="5"/>
        <v>Light Oil</v>
      </c>
      <c r="K17" s="435">
        <f t="shared" si="1"/>
        <v>277.3735890410959</v>
      </c>
      <c r="L17" s="435">
        <f t="shared" si="2"/>
        <v>82.001808219178074</v>
      </c>
      <c r="M17" s="435">
        <f t="shared" si="3"/>
        <v>165.01969863013699</v>
      </c>
      <c r="N17" s="436">
        <v>277.37400000000002</v>
      </c>
      <c r="O17" s="436">
        <v>0</v>
      </c>
      <c r="P17" s="436">
        <v>50.500383561643829</v>
      </c>
      <c r="Q17" s="436">
        <v>30.359369863013697</v>
      </c>
      <c r="R17" s="436">
        <v>1.1420547945205479</v>
      </c>
      <c r="S17" s="436">
        <v>30.377342465753429</v>
      </c>
      <c r="T17" s="436">
        <v>30.352082191780823</v>
      </c>
      <c r="U17" s="436">
        <v>164.99443835616438</v>
      </c>
      <c r="V17" s="436">
        <v>3182.6220821917809</v>
      </c>
      <c r="W17" s="437">
        <f t="shared" si="4"/>
        <v>226.87320547945205</v>
      </c>
    </row>
    <row r="18" spans="3:23" x14ac:dyDescent="0.25">
      <c r="C18" s="431" t="s">
        <v>1221</v>
      </c>
      <c r="D18" s="432" t="s">
        <v>1222</v>
      </c>
      <c r="E18" s="432" t="s">
        <v>1234</v>
      </c>
      <c r="F18" s="432" t="s">
        <v>1228</v>
      </c>
      <c r="G18" s="433" t="s">
        <v>1235</v>
      </c>
      <c r="H18" s="431">
        <v>46</v>
      </c>
      <c r="I18" s="434"/>
      <c r="J18" s="434" t="str">
        <f t="shared" si="5"/>
        <v>Light Oil</v>
      </c>
      <c r="K18" s="435">
        <f t="shared" si="1"/>
        <v>435.40112328767128</v>
      </c>
      <c r="L18" s="435">
        <f t="shared" si="2"/>
        <v>235.53923287671233</v>
      </c>
      <c r="M18" s="435">
        <f t="shared" si="3"/>
        <v>199.86189041095895</v>
      </c>
      <c r="N18" s="436">
        <v>435.4008767123288</v>
      </c>
      <c r="O18" s="436">
        <v>0</v>
      </c>
      <c r="P18" s="436">
        <v>225.24104109589044</v>
      </c>
      <c r="Q18" s="436">
        <v>9.0779452054794518</v>
      </c>
      <c r="R18" s="436">
        <v>1.2202465753424658</v>
      </c>
      <c r="S18" s="436">
        <v>142.09446575342469</v>
      </c>
      <c r="T18" s="436">
        <v>0</v>
      </c>
      <c r="U18" s="436">
        <v>57.767424657534249</v>
      </c>
      <c r="V18" s="436">
        <v>27008.407917808221</v>
      </c>
      <c r="W18" s="437">
        <f t="shared" si="4"/>
        <v>210.16008219178084</v>
      </c>
    </row>
    <row r="19" spans="3:23" x14ac:dyDescent="0.25">
      <c r="C19" s="431" t="s">
        <v>1221</v>
      </c>
      <c r="D19" s="432" t="s">
        <v>1222</v>
      </c>
      <c r="E19" s="432" t="s">
        <v>1234</v>
      </c>
      <c r="F19" s="432" t="s">
        <v>1228</v>
      </c>
      <c r="G19" s="433" t="s">
        <v>1236</v>
      </c>
      <c r="H19" s="431">
        <f>44+((47-44)/2)</f>
        <v>45.5</v>
      </c>
      <c r="I19" s="434"/>
      <c r="J19" s="434" t="str">
        <f t="shared" si="5"/>
        <v>Light Oil</v>
      </c>
      <c r="K19" s="435">
        <f t="shared" si="1"/>
        <v>166.60876712328769</v>
      </c>
      <c r="L19" s="435">
        <f t="shared" si="2"/>
        <v>166.60876712328769</v>
      </c>
      <c r="M19" s="435">
        <f t="shared" si="3"/>
        <v>0</v>
      </c>
      <c r="N19" s="436">
        <v>166.60868493150684</v>
      </c>
      <c r="O19" s="436">
        <v>0</v>
      </c>
      <c r="P19" s="436">
        <v>161.80676712328767</v>
      </c>
      <c r="Q19" s="436">
        <v>0.54767123287671238</v>
      </c>
      <c r="R19" s="436">
        <v>4.2543287671232868</v>
      </c>
      <c r="S19" s="436">
        <v>0</v>
      </c>
      <c r="T19" s="436">
        <v>0</v>
      </c>
      <c r="U19" s="436">
        <v>0</v>
      </c>
      <c r="V19" s="436">
        <v>8010.0189863013702</v>
      </c>
      <c r="W19" s="437">
        <f t="shared" si="4"/>
        <v>4.8020000000000209</v>
      </c>
    </row>
    <row r="20" spans="3:23" x14ac:dyDescent="0.25">
      <c r="C20" s="431" t="s">
        <v>1221</v>
      </c>
      <c r="D20" s="432" t="s">
        <v>1222</v>
      </c>
      <c r="E20" s="432" t="s">
        <v>1237</v>
      </c>
      <c r="F20" s="432" t="s">
        <v>1228</v>
      </c>
      <c r="G20" s="433" t="s">
        <v>1238</v>
      </c>
      <c r="H20" s="431">
        <f>11.3+(14.4-11.3)/2</f>
        <v>12.850000000000001</v>
      </c>
      <c r="I20" s="434"/>
      <c r="J20" s="434" t="str">
        <f t="shared" si="5"/>
        <v>Heavy Oil</v>
      </c>
      <c r="K20" s="435">
        <f t="shared" si="1"/>
        <v>0</v>
      </c>
      <c r="L20" s="435">
        <f t="shared" si="2"/>
        <v>0</v>
      </c>
      <c r="M20" s="435">
        <f t="shared" si="3"/>
        <v>0</v>
      </c>
      <c r="N20" s="436">
        <v>0</v>
      </c>
      <c r="O20" s="436">
        <v>0</v>
      </c>
      <c r="P20" s="436">
        <v>0</v>
      </c>
      <c r="Q20" s="436">
        <v>0</v>
      </c>
      <c r="R20" s="436">
        <v>0</v>
      </c>
      <c r="S20" s="436">
        <v>0</v>
      </c>
      <c r="T20" s="436">
        <v>0</v>
      </c>
      <c r="U20" s="436">
        <v>0</v>
      </c>
      <c r="V20" s="436">
        <v>119308.68268493151</v>
      </c>
      <c r="W20" s="437">
        <f t="shared" si="4"/>
        <v>0</v>
      </c>
    </row>
    <row r="21" spans="3:23" ht="15.75" customHeight="1" x14ac:dyDescent="0.25">
      <c r="C21" s="431" t="s">
        <v>1221</v>
      </c>
      <c r="D21" s="432" t="s">
        <v>1222</v>
      </c>
      <c r="E21" s="432" t="s">
        <v>1239</v>
      </c>
      <c r="F21" s="432" t="s">
        <v>1228</v>
      </c>
      <c r="G21" s="433" t="s">
        <v>1240</v>
      </c>
      <c r="H21" s="431">
        <v>13.7</v>
      </c>
      <c r="I21" s="434"/>
      <c r="J21" s="434" t="str">
        <f t="shared" si="5"/>
        <v>Heavy Oil</v>
      </c>
      <c r="K21" s="435">
        <f t="shared" si="1"/>
        <v>0</v>
      </c>
      <c r="L21" s="435">
        <f t="shared" si="2"/>
        <v>0</v>
      </c>
      <c r="M21" s="435">
        <f t="shared" si="3"/>
        <v>0</v>
      </c>
      <c r="N21" s="436">
        <v>0</v>
      </c>
      <c r="O21" s="436">
        <v>0</v>
      </c>
      <c r="P21" s="436">
        <v>0</v>
      </c>
      <c r="Q21" s="436">
        <v>0</v>
      </c>
      <c r="R21" s="436">
        <v>0</v>
      </c>
      <c r="S21" s="436">
        <v>0</v>
      </c>
      <c r="T21" s="436">
        <v>0</v>
      </c>
      <c r="U21" s="436">
        <v>0</v>
      </c>
      <c r="V21" s="436">
        <v>114056.06200000001</v>
      </c>
      <c r="W21" s="437">
        <f t="shared" si="4"/>
        <v>0</v>
      </c>
    </row>
    <row r="22" spans="3:23" ht="15.75" customHeight="1" x14ac:dyDescent="0.25">
      <c r="C22" s="431" t="s">
        <v>1221</v>
      </c>
      <c r="D22" s="432" t="s">
        <v>1222</v>
      </c>
      <c r="E22" s="432" t="s">
        <v>1241</v>
      </c>
      <c r="F22" s="432" t="s">
        <v>1228</v>
      </c>
      <c r="G22" s="433" t="s">
        <v>1242</v>
      </c>
      <c r="H22" s="431">
        <f>7+(20-7)/2</f>
        <v>13.5</v>
      </c>
      <c r="I22" s="434"/>
      <c r="J22" s="434" t="str">
        <f t="shared" si="5"/>
        <v>Heavy Oil</v>
      </c>
      <c r="K22" s="435">
        <f t="shared" si="1"/>
        <v>3.793589041095891</v>
      </c>
      <c r="L22" s="435">
        <f t="shared" si="2"/>
        <v>3.793589041095891</v>
      </c>
      <c r="M22" s="435">
        <f t="shared" si="3"/>
        <v>0</v>
      </c>
      <c r="N22" s="436">
        <v>3.7935616438356163</v>
      </c>
      <c r="O22" s="436">
        <v>0</v>
      </c>
      <c r="P22" s="436">
        <v>0</v>
      </c>
      <c r="Q22" s="436">
        <v>0.87139726027397268</v>
      </c>
      <c r="R22" s="436">
        <v>2.9221917808219184</v>
      </c>
      <c r="S22" s="436">
        <v>0</v>
      </c>
      <c r="T22" s="436">
        <v>0</v>
      </c>
      <c r="U22" s="436">
        <v>0</v>
      </c>
      <c r="V22" s="436">
        <v>69090.784575342463</v>
      </c>
      <c r="W22" s="437">
        <f t="shared" si="4"/>
        <v>3.793589041095891</v>
      </c>
    </row>
    <row r="23" spans="3:23" ht="15.75" customHeight="1" x14ac:dyDescent="0.25">
      <c r="C23" s="431" t="s">
        <v>1221</v>
      </c>
      <c r="D23" s="432" t="s">
        <v>1222</v>
      </c>
      <c r="E23" s="432" t="s">
        <v>1241</v>
      </c>
      <c r="F23" s="432" t="s">
        <v>1228</v>
      </c>
      <c r="G23" s="433" t="s">
        <v>1243</v>
      </c>
      <c r="H23" s="431">
        <v>8</v>
      </c>
      <c r="I23" s="434"/>
      <c r="J23" s="434" t="str">
        <f t="shared" ref="J23:J24" si="6">+IF(I23="Gas","Doesn't Apply",IF(H23&lt;$F$5,$D$5,IF(H23&lt;$F$6,$D$6,IF(H23&lt;$F$7,$D$7,IF(H23&gt;$E$8,$D$8,"Doesn't Apply")))))</f>
        <v>Heavy Oil</v>
      </c>
      <c r="K23" s="435">
        <f t="shared" si="1"/>
        <v>0.58205479452054798</v>
      </c>
      <c r="L23" s="435">
        <f t="shared" si="2"/>
        <v>0.58205479452054798</v>
      </c>
      <c r="M23" s="435">
        <f t="shared" si="3"/>
        <v>0</v>
      </c>
      <c r="N23" s="436">
        <v>0.58205479452054798</v>
      </c>
      <c r="O23" s="436">
        <v>0</v>
      </c>
      <c r="P23" s="436">
        <v>0</v>
      </c>
      <c r="Q23" s="436">
        <v>0</v>
      </c>
      <c r="R23" s="436">
        <v>0.58205479452054798</v>
      </c>
      <c r="S23" s="436">
        <v>0</v>
      </c>
      <c r="T23" s="436">
        <v>0</v>
      </c>
      <c r="U23" s="436">
        <v>0</v>
      </c>
      <c r="V23" s="436">
        <v>19756.607616438356</v>
      </c>
      <c r="W23" s="437">
        <f t="shared" si="4"/>
        <v>0.58205479452054798</v>
      </c>
    </row>
    <row r="24" spans="3:23" ht="15.75" customHeight="1" x14ac:dyDescent="0.25">
      <c r="C24" s="431" t="s">
        <v>1221</v>
      </c>
      <c r="D24" s="432" t="s">
        <v>1222</v>
      </c>
      <c r="E24" s="432" t="s">
        <v>1244</v>
      </c>
      <c r="F24" s="432" t="s">
        <v>1228</v>
      </c>
      <c r="G24" s="433" t="s">
        <v>1245</v>
      </c>
      <c r="H24" s="431">
        <v>13.5</v>
      </c>
      <c r="I24" s="434"/>
      <c r="J24" s="434" t="str">
        <f t="shared" si="6"/>
        <v>Heavy Oil</v>
      </c>
      <c r="K24" s="435">
        <f t="shared" si="1"/>
        <v>1.1906575342465753</v>
      </c>
      <c r="L24" s="435">
        <f t="shared" si="2"/>
        <v>1.5506849315068495E-2</v>
      </c>
      <c r="M24" s="435">
        <f t="shared" si="3"/>
        <v>0.64550684931506841</v>
      </c>
      <c r="N24" s="436">
        <v>1.1908493150684931</v>
      </c>
      <c r="O24" s="436">
        <v>0</v>
      </c>
      <c r="P24" s="436">
        <v>0</v>
      </c>
      <c r="Q24" s="436">
        <v>1.5506849315068495E-2</v>
      </c>
      <c r="R24" s="436">
        <v>0</v>
      </c>
      <c r="S24" s="436">
        <v>1.1751506849315068</v>
      </c>
      <c r="T24" s="436">
        <v>0.52964383561643835</v>
      </c>
      <c r="U24" s="436">
        <v>0</v>
      </c>
      <c r="V24" s="436">
        <v>3941.1335068493149</v>
      </c>
      <c r="W24" s="437">
        <f t="shared" si="4"/>
        <v>1.1906575342465753</v>
      </c>
    </row>
    <row r="25" spans="3:23" ht="15.75" customHeight="1" x14ac:dyDescent="0.25">
      <c r="C25" s="431" t="s">
        <v>1221</v>
      </c>
      <c r="D25" s="432" t="s">
        <v>1222</v>
      </c>
      <c r="E25" s="432" t="s">
        <v>1246</v>
      </c>
      <c r="F25" s="432" t="s">
        <v>1247</v>
      </c>
      <c r="G25" s="433" t="s">
        <v>1246</v>
      </c>
      <c r="H25" s="431">
        <v>35</v>
      </c>
      <c r="I25" s="434"/>
      <c r="J25" s="434" t="str">
        <f t="shared" ref="J25:J26" si="7">+IF(G25="Gas","Doesn't Apply",IF(H25&lt;$F$5,$D$5,IF(H25&lt;$F$6,$D$6,IF(H25&lt;$F$7,$D$7,IF(H25&gt;$E$8,$D$8,"Doesn't Apply")))))</f>
        <v>Light Oil</v>
      </c>
      <c r="K25" s="435">
        <f t="shared" si="1"/>
        <v>3.4626301369863017</v>
      </c>
      <c r="L25" s="435">
        <f t="shared" si="2"/>
        <v>3.4626301369863017</v>
      </c>
      <c r="M25" s="435">
        <f t="shared" si="3"/>
        <v>0</v>
      </c>
      <c r="N25" s="436">
        <v>3.4626301369863017</v>
      </c>
      <c r="O25" s="436">
        <v>0</v>
      </c>
      <c r="P25" s="436">
        <v>0</v>
      </c>
      <c r="Q25" s="436">
        <v>0</v>
      </c>
      <c r="R25" s="436">
        <v>3.4626301369863017</v>
      </c>
      <c r="S25" s="436">
        <v>0</v>
      </c>
      <c r="T25" s="436">
        <v>0</v>
      </c>
      <c r="U25" s="436">
        <v>0</v>
      </c>
      <c r="V25" s="436">
        <v>1962.0646849315069</v>
      </c>
      <c r="W25" s="437">
        <f t="shared" si="4"/>
        <v>3.4626301369863017</v>
      </c>
    </row>
    <row r="26" spans="3:23" ht="15.75" customHeight="1" x14ac:dyDescent="0.25">
      <c r="C26" s="431" t="s">
        <v>1221</v>
      </c>
      <c r="D26" s="432" t="s">
        <v>1222</v>
      </c>
      <c r="E26" s="432" t="s">
        <v>1248</v>
      </c>
      <c r="F26" s="432" t="s">
        <v>1249</v>
      </c>
      <c r="G26" s="433" t="s">
        <v>1250</v>
      </c>
      <c r="H26" s="431">
        <v>21</v>
      </c>
      <c r="I26" s="434"/>
      <c r="J26" s="434" t="str">
        <f t="shared" si="7"/>
        <v>Medium Oil</v>
      </c>
      <c r="K26" s="435">
        <f t="shared" si="1"/>
        <v>1.1893972602739726</v>
      </c>
      <c r="L26" s="435">
        <f t="shared" si="2"/>
        <v>1.1893972602739726</v>
      </c>
      <c r="M26" s="435">
        <f t="shared" si="3"/>
        <v>0</v>
      </c>
      <c r="N26" s="436">
        <v>1.1894794520547947</v>
      </c>
      <c r="O26" s="436">
        <v>0</v>
      </c>
      <c r="P26" s="436">
        <v>0</v>
      </c>
      <c r="Q26" s="436">
        <v>0.95542465753424666</v>
      </c>
      <c r="R26" s="436">
        <v>0.23397260273972598</v>
      </c>
      <c r="S26" s="436">
        <v>0</v>
      </c>
      <c r="T26" s="436">
        <v>0</v>
      </c>
      <c r="U26" s="436">
        <v>0</v>
      </c>
      <c r="V26" s="436">
        <v>12119.3965753425</v>
      </c>
      <c r="W26" s="437">
        <f t="shared" si="4"/>
        <v>1.1893972602739726</v>
      </c>
    </row>
    <row r="27" spans="3:23" ht="15.75" customHeight="1" x14ac:dyDescent="0.25">
      <c r="C27" s="431" t="s">
        <v>1221</v>
      </c>
      <c r="D27" s="432" t="s">
        <v>1222</v>
      </c>
      <c r="E27" s="432" t="s">
        <v>1251</v>
      </c>
      <c r="F27" s="432" t="s">
        <v>1249</v>
      </c>
      <c r="G27" s="433" t="s">
        <v>1252</v>
      </c>
      <c r="H27" s="431">
        <v>12.5</v>
      </c>
      <c r="I27" s="434"/>
      <c r="J27" s="434" t="str">
        <f>+IF(I27="Gas","Doesn't Apply",IF(H27&lt;$F$5,$D$5,IF(H27&lt;$F$6,$D$6,IF(H27&lt;$F$7,$D$7,IF(H27&gt;$E$8,$D$8,"Doesn't Apply")))))</f>
        <v>Heavy Oil</v>
      </c>
      <c r="K27" s="435">
        <f t="shared" si="1"/>
        <v>0.23824657534246574</v>
      </c>
      <c r="L27" s="435">
        <f t="shared" si="2"/>
        <v>0.23824657534246574</v>
      </c>
      <c r="M27" s="435">
        <f t="shared" si="3"/>
        <v>0</v>
      </c>
      <c r="N27" s="436">
        <v>0.23827397260273972</v>
      </c>
      <c r="O27" s="436">
        <v>0</v>
      </c>
      <c r="P27" s="436">
        <v>0</v>
      </c>
      <c r="Q27" s="436">
        <v>0.10038356164383562</v>
      </c>
      <c r="R27" s="436">
        <v>0.1378630136986301</v>
      </c>
      <c r="S27" s="436">
        <v>0</v>
      </c>
      <c r="T27" s="436">
        <v>0</v>
      </c>
      <c r="U27" s="436">
        <v>0</v>
      </c>
      <c r="V27" s="436">
        <v>1476.5236986301368</v>
      </c>
      <c r="W27" s="437">
        <f t="shared" si="4"/>
        <v>0.23824657534246574</v>
      </c>
    </row>
    <row r="28" spans="3:23" ht="15.75" customHeight="1" x14ac:dyDescent="0.25">
      <c r="C28" s="431" t="s">
        <v>1221</v>
      </c>
      <c r="D28" s="432" t="s">
        <v>1222</v>
      </c>
      <c r="E28" s="432" t="s">
        <v>1253</v>
      </c>
      <c r="F28" s="432" t="s">
        <v>1249</v>
      </c>
      <c r="G28" s="433" t="s">
        <v>1254</v>
      </c>
      <c r="H28" s="431">
        <v>21</v>
      </c>
      <c r="I28" s="434"/>
      <c r="J28" s="434" t="str">
        <f t="shared" ref="J28:J29" si="8">+IF(G28="Gas","Doesn't Apply",IF(H28&lt;$F$5,$D$5,IF(H28&lt;$F$6,$D$6,IF(H28&lt;$F$7,$D$7,IF(H28&gt;$E$8,$D$8,"Doesn't Apply")))))</f>
        <v>Medium Oil</v>
      </c>
      <c r="K28" s="435">
        <f t="shared" si="1"/>
        <v>5.057041095890412</v>
      </c>
      <c r="L28" s="435">
        <f t="shared" si="2"/>
        <v>2.6139452054794523</v>
      </c>
      <c r="M28" s="435">
        <f t="shared" si="3"/>
        <v>2.4430958904109596</v>
      </c>
      <c r="N28" s="436">
        <v>5.0572054794520547</v>
      </c>
      <c r="O28" s="436">
        <v>0</v>
      </c>
      <c r="P28" s="436">
        <v>0</v>
      </c>
      <c r="Q28" s="436">
        <v>2.4027123287671235</v>
      </c>
      <c r="R28" s="436">
        <v>0.21123287671232879</v>
      </c>
      <c r="S28" s="436">
        <v>0</v>
      </c>
      <c r="T28" s="436">
        <v>0</v>
      </c>
      <c r="U28" s="436">
        <v>2.4430958904109596</v>
      </c>
      <c r="V28" s="436">
        <v>17849.99879452055</v>
      </c>
      <c r="W28" s="437">
        <f t="shared" si="4"/>
        <v>5.057041095890412</v>
      </c>
    </row>
    <row r="29" spans="3:23" ht="15.75" customHeight="1" x14ac:dyDescent="0.25">
      <c r="C29" s="431" t="s">
        <v>1221</v>
      </c>
      <c r="D29" s="432" t="s">
        <v>1222</v>
      </c>
      <c r="E29" s="432" t="s">
        <v>1255</v>
      </c>
      <c r="F29" s="432" t="s">
        <v>1249</v>
      </c>
      <c r="G29" s="433" t="s">
        <v>1256</v>
      </c>
      <c r="H29" s="431">
        <f>20+(25-20)/2</f>
        <v>22.5</v>
      </c>
      <c r="I29" s="434"/>
      <c r="J29" s="434" t="str">
        <f t="shared" si="8"/>
        <v>Medium Oil</v>
      </c>
      <c r="K29" s="435">
        <f t="shared" si="1"/>
        <v>6.7767123287671236</v>
      </c>
      <c r="L29" s="435">
        <f t="shared" si="2"/>
        <v>3.0408493150684928</v>
      </c>
      <c r="M29" s="435">
        <f t="shared" si="3"/>
        <v>3.7358630136986304</v>
      </c>
      <c r="N29" s="436">
        <v>6.7767123287671236</v>
      </c>
      <c r="O29" s="436">
        <v>0</v>
      </c>
      <c r="P29" s="436">
        <v>0</v>
      </c>
      <c r="Q29" s="436">
        <v>1.396739726027397</v>
      </c>
      <c r="R29" s="436">
        <v>1.6441095890410957</v>
      </c>
      <c r="S29" s="436">
        <v>3.7358630136986304</v>
      </c>
      <c r="T29" s="436">
        <v>0</v>
      </c>
      <c r="U29" s="436">
        <v>0</v>
      </c>
      <c r="V29" s="436">
        <v>42334.39687671233</v>
      </c>
      <c r="W29" s="437">
        <f t="shared" si="4"/>
        <v>6.7767123287671236</v>
      </c>
    </row>
    <row r="30" spans="3:23" ht="15.75" customHeight="1" x14ac:dyDescent="0.25">
      <c r="C30" s="431" t="s">
        <v>1221</v>
      </c>
      <c r="D30" s="432" t="s">
        <v>1222</v>
      </c>
      <c r="E30" s="432" t="s">
        <v>1257</v>
      </c>
      <c r="F30" s="432" t="s">
        <v>1258</v>
      </c>
      <c r="G30" s="433" t="s">
        <v>1259</v>
      </c>
      <c r="H30" s="431">
        <v>23</v>
      </c>
      <c r="I30" s="434"/>
      <c r="J30" s="434" t="str">
        <f t="shared" ref="J30:J35" si="9">+IF(I30="Gas","Doesn't Apply",IF(H30&lt;$F$5,$D$5,IF(H30&lt;$F$6,$D$6,IF(H30&lt;$F$7,$D$7,IF(H30&gt;$E$8,$D$8,"Doesn't Apply")))))</f>
        <v>Medium Oil</v>
      </c>
      <c r="K30" s="435">
        <f t="shared" si="1"/>
        <v>1.9274794520547947</v>
      </c>
      <c r="L30" s="435">
        <f t="shared" si="2"/>
        <v>0.33145205479452056</v>
      </c>
      <c r="M30" s="435">
        <f t="shared" si="3"/>
        <v>1.0367123287671232</v>
      </c>
      <c r="N30" s="436">
        <v>1.9275342465753424</v>
      </c>
      <c r="O30" s="436">
        <v>0</v>
      </c>
      <c r="P30" s="436">
        <v>0</v>
      </c>
      <c r="Q30" s="436">
        <v>0.10339726027397263</v>
      </c>
      <c r="R30" s="436">
        <v>0.22805479452054794</v>
      </c>
      <c r="S30" s="436">
        <v>1.5925479452054794</v>
      </c>
      <c r="T30" s="436">
        <v>0.55931506849315071</v>
      </c>
      <c r="U30" s="436">
        <v>3.4794520547945205E-3</v>
      </c>
      <c r="V30" s="436">
        <v>4684.6815890410962</v>
      </c>
      <c r="W30" s="437">
        <f t="shared" si="4"/>
        <v>1.9274794520547947</v>
      </c>
    </row>
    <row r="31" spans="3:23" ht="15.75" customHeight="1" x14ac:dyDescent="0.25">
      <c r="C31" s="431" t="s">
        <v>1221</v>
      </c>
      <c r="D31" s="432" t="s">
        <v>1222</v>
      </c>
      <c r="E31" s="432" t="s">
        <v>1260</v>
      </c>
      <c r="F31" s="432" t="s">
        <v>1258</v>
      </c>
      <c r="G31" s="433" t="s">
        <v>1261</v>
      </c>
      <c r="H31" s="431">
        <v>25.5</v>
      </c>
      <c r="I31" s="434"/>
      <c r="J31" s="434" t="str">
        <f t="shared" si="9"/>
        <v>Medium Oil</v>
      </c>
      <c r="K31" s="435">
        <f t="shared" si="1"/>
        <v>0.8670410958904109</v>
      </c>
      <c r="L31" s="435">
        <f t="shared" si="2"/>
        <v>0.8670410958904109</v>
      </c>
      <c r="M31" s="435">
        <f t="shared" si="3"/>
        <v>0</v>
      </c>
      <c r="N31" s="436">
        <v>0.86709589041095891</v>
      </c>
      <c r="O31" s="436">
        <v>0</v>
      </c>
      <c r="P31" s="436">
        <v>0</v>
      </c>
      <c r="Q31" s="436">
        <v>0.45498630136986301</v>
      </c>
      <c r="R31" s="436">
        <v>0.41205479452054788</v>
      </c>
      <c r="S31" s="436">
        <v>0</v>
      </c>
      <c r="T31" s="436">
        <v>0</v>
      </c>
      <c r="U31" s="436">
        <v>0</v>
      </c>
      <c r="V31" s="436">
        <v>4154.1152328767121</v>
      </c>
      <c r="W31" s="437">
        <f t="shared" si="4"/>
        <v>0.8670410958904109</v>
      </c>
    </row>
    <row r="32" spans="3:23" ht="15.75" customHeight="1" x14ac:dyDescent="0.25">
      <c r="C32" s="431" t="s">
        <v>1221</v>
      </c>
      <c r="D32" s="432" t="s">
        <v>1222</v>
      </c>
      <c r="E32" s="432" t="s">
        <v>1262</v>
      </c>
      <c r="F32" s="432" t="s">
        <v>1258</v>
      </c>
      <c r="G32" s="438" t="s">
        <v>1263</v>
      </c>
      <c r="H32" s="431">
        <v>21</v>
      </c>
      <c r="I32" s="434"/>
      <c r="J32" s="434" t="str">
        <f t="shared" si="9"/>
        <v>Medium Oil</v>
      </c>
      <c r="K32" s="435">
        <f t="shared" si="1"/>
        <v>1.1906575342465753</v>
      </c>
      <c r="L32" s="435">
        <f t="shared" si="2"/>
        <v>1.5506849315068495E-2</v>
      </c>
      <c r="M32" s="435">
        <f t="shared" si="3"/>
        <v>0.64550684931506841</v>
      </c>
      <c r="N32" s="436">
        <v>1.1908493150684931</v>
      </c>
      <c r="O32" s="436">
        <v>0</v>
      </c>
      <c r="P32" s="436">
        <v>0</v>
      </c>
      <c r="Q32" s="436">
        <v>0</v>
      </c>
      <c r="R32" s="436">
        <v>1.5506849315068495E-2</v>
      </c>
      <c r="S32" s="436">
        <v>1.1751506849315068</v>
      </c>
      <c r="T32" s="436">
        <v>0.52964383561643835</v>
      </c>
      <c r="U32" s="436">
        <v>0</v>
      </c>
      <c r="V32" s="436">
        <v>3941.1335068493149</v>
      </c>
      <c r="W32" s="437">
        <f t="shared" si="4"/>
        <v>1.1906575342465753</v>
      </c>
    </row>
    <row r="33" spans="1:26" ht="15.75" customHeight="1" x14ac:dyDescent="0.25">
      <c r="A33" s="439"/>
      <c r="B33" s="439"/>
      <c r="C33" s="431" t="s">
        <v>1264</v>
      </c>
      <c r="D33" s="242" t="s">
        <v>1222</v>
      </c>
      <c r="E33" s="242" t="s">
        <v>1265</v>
      </c>
      <c r="F33" s="242" t="s">
        <v>1266</v>
      </c>
      <c r="G33" s="440" t="s">
        <v>1267</v>
      </c>
      <c r="H33" s="441" t="s">
        <v>1101</v>
      </c>
      <c r="I33" s="442" t="s">
        <v>7</v>
      </c>
      <c r="J33" s="434" t="str">
        <f t="shared" si="9"/>
        <v>Doesn't Apply</v>
      </c>
      <c r="K33" s="443">
        <f t="shared" si="1"/>
        <v>2.9418904109589041</v>
      </c>
      <c r="L33" s="443">
        <f t="shared" si="2"/>
        <v>0</v>
      </c>
      <c r="M33" s="443">
        <f t="shared" si="3"/>
        <v>2.9418904109589041</v>
      </c>
      <c r="N33" s="443">
        <v>2.9418904109589041</v>
      </c>
      <c r="O33" s="443">
        <v>0</v>
      </c>
      <c r="P33" s="443">
        <v>0</v>
      </c>
      <c r="Q33" s="443">
        <v>0</v>
      </c>
      <c r="R33" s="443">
        <v>0</v>
      </c>
      <c r="S33" s="443">
        <v>0</v>
      </c>
      <c r="T33" s="443">
        <v>0</v>
      </c>
      <c r="U33" s="443">
        <v>2.9418904109589041</v>
      </c>
      <c r="V33" s="443">
        <v>0</v>
      </c>
      <c r="W33" s="444">
        <f t="shared" si="4"/>
        <v>2.9418904109589041</v>
      </c>
      <c r="X33" s="439"/>
      <c r="Y33" s="439"/>
      <c r="Z33" s="439"/>
    </row>
    <row r="34" spans="1:26" ht="15.75" customHeight="1" x14ac:dyDescent="0.25">
      <c r="A34" s="439"/>
      <c r="B34" s="439"/>
      <c r="C34" s="431" t="s">
        <v>1268</v>
      </c>
      <c r="D34" s="242" t="s">
        <v>1222</v>
      </c>
      <c r="E34" s="242" t="s">
        <v>1269</v>
      </c>
      <c r="F34" s="242" t="s">
        <v>1266</v>
      </c>
      <c r="G34" s="440" t="s">
        <v>1270</v>
      </c>
      <c r="H34" s="441" t="s">
        <v>1101</v>
      </c>
      <c r="I34" s="442" t="s">
        <v>7</v>
      </c>
      <c r="J34" s="434" t="str">
        <f t="shared" si="9"/>
        <v>Doesn't Apply</v>
      </c>
      <c r="K34" s="443">
        <f t="shared" si="1"/>
        <v>6.2215616438356163</v>
      </c>
      <c r="L34" s="443">
        <f t="shared" si="2"/>
        <v>0.13172602739726028</v>
      </c>
      <c r="M34" s="443">
        <f t="shared" si="3"/>
        <v>6.0898356164383562</v>
      </c>
      <c r="N34" s="443">
        <v>6.2215890410958909</v>
      </c>
      <c r="O34" s="443">
        <v>0</v>
      </c>
      <c r="P34" s="443">
        <v>0</v>
      </c>
      <c r="Q34" s="443">
        <v>1.1643835616438357E-2</v>
      </c>
      <c r="R34" s="443">
        <v>0.12008219178082191</v>
      </c>
      <c r="S34" s="443">
        <v>0</v>
      </c>
      <c r="T34" s="443">
        <v>0</v>
      </c>
      <c r="U34" s="443">
        <v>6.0898356164383562</v>
      </c>
      <c r="V34" s="443">
        <v>6.111890410958905</v>
      </c>
      <c r="W34" s="444">
        <f t="shared" si="4"/>
        <v>6.2215616438356163</v>
      </c>
      <c r="X34" s="439"/>
      <c r="Y34" s="439"/>
      <c r="Z34" s="439"/>
    </row>
    <row r="35" spans="1:26" ht="15.75" customHeight="1" x14ac:dyDescent="0.25">
      <c r="A35" s="439"/>
      <c r="B35" s="439"/>
      <c r="C35" s="431" t="s">
        <v>1268</v>
      </c>
      <c r="D35" s="242" t="s">
        <v>1222</v>
      </c>
      <c r="E35" s="242" t="s">
        <v>1269</v>
      </c>
      <c r="F35" s="242" t="s">
        <v>1266</v>
      </c>
      <c r="G35" s="440" t="s">
        <v>1271</v>
      </c>
      <c r="H35" s="441" t="s">
        <v>1101</v>
      </c>
      <c r="I35" s="442" t="s">
        <v>7</v>
      </c>
      <c r="J35" s="434" t="str">
        <f t="shared" si="9"/>
        <v>Doesn't Apply</v>
      </c>
      <c r="K35" s="443">
        <f t="shared" si="1"/>
        <v>28.099424657534254</v>
      </c>
      <c r="L35" s="443">
        <f t="shared" si="2"/>
        <v>0.58819178082191781</v>
      </c>
      <c r="M35" s="443">
        <f t="shared" si="3"/>
        <v>27.511232876712334</v>
      </c>
      <c r="N35" s="443">
        <v>28.099315068493151</v>
      </c>
      <c r="O35" s="443">
        <v>0</v>
      </c>
      <c r="P35" s="443">
        <v>0</v>
      </c>
      <c r="Q35" s="443">
        <v>5.0520547945205482E-2</v>
      </c>
      <c r="R35" s="443">
        <v>0.53767123287671237</v>
      </c>
      <c r="S35" s="443">
        <v>0</v>
      </c>
      <c r="T35" s="443">
        <v>0</v>
      </c>
      <c r="U35" s="443">
        <v>27.511232876712334</v>
      </c>
      <c r="V35" s="443">
        <v>27.609561643835615</v>
      </c>
      <c r="W35" s="444">
        <f t="shared" si="4"/>
        <v>28.099424657534254</v>
      </c>
      <c r="X35" s="439"/>
      <c r="Y35" s="439"/>
      <c r="Z35" s="439"/>
    </row>
    <row r="36" spans="1:26" ht="15.75" customHeight="1" x14ac:dyDescent="0.25"/>
    <row r="37" spans="1:26" ht="15.75" customHeight="1" x14ac:dyDescent="0.25"/>
    <row r="38" spans="1:26" ht="15.75" customHeight="1" x14ac:dyDescent="0.25">
      <c r="B38" s="445"/>
      <c r="C38" s="12" t="s">
        <v>1272</v>
      </c>
    </row>
    <row r="39" spans="1:26" ht="15.75" customHeight="1" x14ac:dyDescent="0.25"/>
    <row r="40" spans="1:26" ht="15.75" customHeight="1" x14ac:dyDescent="0.25"/>
    <row r="41" spans="1:26" ht="15.75" customHeight="1" x14ac:dyDescent="0.25"/>
    <row r="42" spans="1:26" ht="15.75" customHeight="1" x14ac:dyDescent="0.25"/>
    <row r="43" spans="1:26" ht="15.75" customHeight="1" x14ac:dyDescent="0.25"/>
    <row r="44" spans="1:26" ht="15.75" customHeight="1" x14ac:dyDescent="0.25"/>
    <row r="45" spans="1:26" ht="15.75" customHeight="1" x14ac:dyDescent="0.25"/>
    <row r="46" spans="1:26" ht="15.75" customHeight="1" x14ac:dyDescent="0.25"/>
    <row r="47" spans="1:26" ht="15.75" customHeight="1" x14ac:dyDescent="0.25"/>
    <row r="48" spans="1:26" ht="15.75" customHeight="1" x14ac:dyDescent="0.25"/>
    <row r="49" spans="5:22" ht="15.75" customHeight="1" x14ac:dyDescent="0.25"/>
    <row r="50" spans="5:22" ht="15.75" customHeight="1" x14ac:dyDescent="0.25"/>
    <row r="51" spans="5:22" ht="15.75" customHeight="1" x14ac:dyDescent="0.25"/>
    <row r="52" spans="5:22" ht="15.75" customHeight="1" x14ac:dyDescent="0.25"/>
    <row r="53" spans="5:22" ht="15.75" customHeight="1" x14ac:dyDescent="0.25"/>
    <row r="54" spans="5:22" ht="15.75" customHeight="1" x14ac:dyDescent="0.25"/>
    <row r="55" spans="5:22" ht="15.75" customHeight="1" x14ac:dyDescent="0.25"/>
    <row r="56" spans="5:22" ht="15.75" customHeight="1" x14ac:dyDescent="0.25">
      <c r="V56" s="205"/>
    </row>
    <row r="57" spans="5:22" ht="15.75" customHeight="1" x14ac:dyDescent="0.25"/>
    <row r="58" spans="5:22" ht="15.75" customHeight="1" x14ac:dyDescent="0.25"/>
    <row r="59" spans="5:22" ht="15.75" customHeight="1" x14ac:dyDescent="0.25">
      <c r="G59" s="811" t="s">
        <v>7</v>
      </c>
      <c r="H59" s="812"/>
      <c r="J59" s="853" t="s">
        <v>686</v>
      </c>
      <c r="K59" s="812"/>
    </row>
    <row r="60" spans="5:22" ht="15.75" customHeight="1" x14ac:dyDescent="0.25">
      <c r="F60" s="432"/>
      <c r="H60" s="228"/>
      <c r="K60" s="228"/>
    </row>
    <row r="61" spans="5:22" ht="15.75" customHeight="1" x14ac:dyDescent="0.25">
      <c r="E61" s="12" t="s">
        <v>1273</v>
      </c>
      <c r="F61" s="432" t="s">
        <v>1224</v>
      </c>
      <c r="G61" s="12">
        <f t="shared" ref="G61:G65" si="10">+SUMIF($F$13:$F$32,$F61,$M$13:$M$32)</f>
        <v>179.22638356164384</v>
      </c>
      <c r="H61" s="228">
        <f t="shared" ref="H61:H65" si="11">+G61/$G$66</f>
        <v>0.22717460191782315</v>
      </c>
      <c r="J61" s="12">
        <f t="shared" ref="J61:J65" si="12">+SUMIF($F$13:$F$32,F61,$V$13:$V$32)</f>
        <v>0</v>
      </c>
      <c r="K61" s="228">
        <f t="shared" ref="K61:K65" si="13">+J61/$J$66</f>
        <v>0</v>
      </c>
    </row>
    <row r="62" spans="5:22" ht="15.75" customHeight="1" x14ac:dyDescent="0.25">
      <c r="E62" s="12" t="s">
        <v>1274</v>
      </c>
      <c r="F62" s="432" t="s">
        <v>1228</v>
      </c>
      <c r="G62" s="12">
        <f t="shared" si="10"/>
        <v>601.8491506849316</v>
      </c>
      <c r="H62" s="228">
        <f t="shared" si="11"/>
        <v>0.76286112850345833</v>
      </c>
      <c r="J62" s="12">
        <f t="shared" si="12"/>
        <v>374586.17336986301</v>
      </c>
      <c r="K62" s="228">
        <f t="shared" si="13"/>
        <v>0.80885189117791911</v>
      </c>
    </row>
    <row r="63" spans="5:22" ht="15.75" customHeight="1" x14ac:dyDescent="0.25">
      <c r="E63" s="12" t="s">
        <v>1247</v>
      </c>
      <c r="F63" s="432" t="s">
        <v>1247</v>
      </c>
      <c r="G63" s="12">
        <f t="shared" si="10"/>
        <v>0</v>
      </c>
      <c r="H63" s="228">
        <f t="shared" si="11"/>
        <v>0</v>
      </c>
      <c r="J63" s="12">
        <f t="shared" si="12"/>
        <v>1962.0646849315069</v>
      </c>
      <c r="K63" s="228">
        <f t="shared" si="13"/>
        <v>4.2367280050490501E-3</v>
      </c>
    </row>
    <row r="64" spans="5:22" ht="15.75" customHeight="1" x14ac:dyDescent="0.25">
      <c r="E64" s="12" t="s">
        <v>1275</v>
      </c>
      <c r="F64" s="432" t="s">
        <v>1249</v>
      </c>
      <c r="G64" s="12">
        <f t="shared" si="10"/>
        <v>6.1789589041095905</v>
      </c>
      <c r="H64" s="228">
        <f t="shared" si="11"/>
        <v>7.8320083316577652E-3</v>
      </c>
      <c r="J64" s="12">
        <f t="shared" si="12"/>
        <v>73780.315945205512</v>
      </c>
      <c r="K64" s="228">
        <f t="shared" si="13"/>
        <v>0.15931540544359332</v>
      </c>
    </row>
    <row r="65" spans="5:12" ht="15.75" customHeight="1" x14ac:dyDescent="0.25">
      <c r="E65" s="12" t="s">
        <v>1276</v>
      </c>
      <c r="F65" s="432" t="s">
        <v>1258</v>
      </c>
      <c r="G65" s="12">
        <f t="shared" si="10"/>
        <v>1.6822191780821916</v>
      </c>
      <c r="H65" s="228">
        <f t="shared" si="11"/>
        <v>2.1322612470608088E-3</v>
      </c>
      <c r="J65" s="12">
        <f t="shared" si="12"/>
        <v>12779.930328767123</v>
      </c>
      <c r="K65" s="228">
        <f t="shared" si="13"/>
        <v>2.7595975373438577E-2</v>
      </c>
    </row>
    <row r="66" spans="5:12" ht="15.75" customHeight="1" x14ac:dyDescent="0.25">
      <c r="G66" s="112">
        <f>+SUM(G60:G65)</f>
        <v>788.93671232876716</v>
      </c>
      <c r="H66" s="112"/>
      <c r="I66" s="112"/>
      <c r="J66" s="112">
        <f>+SUM(J60:J65)</f>
        <v>463108.48432876711</v>
      </c>
      <c r="K66" s="112"/>
    </row>
    <row r="67" spans="5:12" ht="15.75" customHeight="1" x14ac:dyDescent="0.25"/>
    <row r="68" spans="5:12" ht="15.75" customHeight="1" x14ac:dyDescent="0.25"/>
    <row r="69" spans="5:12" ht="15.75" customHeight="1" x14ac:dyDescent="0.25"/>
    <row r="70" spans="5:12" ht="15.75" customHeight="1" x14ac:dyDescent="0.25"/>
    <row r="71" spans="5:12" ht="15.75" customHeight="1" x14ac:dyDescent="0.25"/>
    <row r="72" spans="5:12" ht="15.75" customHeight="1" x14ac:dyDescent="0.25"/>
    <row r="73" spans="5:12" ht="15.75" customHeight="1" x14ac:dyDescent="0.25"/>
    <row r="74" spans="5:12" ht="15.75" customHeight="1" x14ac:dyDescent="0.25"/>
    <row r="75" spans="5:12" ht="15.75" customHeight="1" x14ac:dyDescent="0.25"/>
    <row r="76" spans="5:12" ht="15.75" customHeight="1" x14ac:dyDescent="0.25"/>
    <row r="77" spans="5:12" ht="15.75" customHeight="1" x14ac:dyDescent="0.25"/>
    <row r="78" spans="5:12" ht="15.75" customHeight="1" x14ac:dyDescent="0.25"/>
    <row r="79" spans="5:12" ht="15.75" customHeight="1" x14ac:dyDescent="0.25"/>
    <row r="80" spans="5:12" ht="15.75" customHeight="1" x14ac:dyDescent="0.25">
      <c r="G80" s="12" t="s">
        <v>1222</v>
      </c>
      <c r="L80" s="12" t="s">
        <v>1277</v>
      </c>
    </row>
    <row r="81" spans="5:15" ht="15.75" customHeight="1" x14ac:dyDescent="0.25">
      <c r="E81" s="447" t="s">
        <v>1221</v>
      </c>
      <c r="F81" s="359" t="s">
        <v>1278</v>
      </c>
      <c r="G81" s="448">
        <v>14656.498438356164</v>
      </c>
      <c r="K81" s="449">
        <v>2.8564827826612956E-2</v>
      </c>
      <c r="L81" s="359">
        <f t="shared" ref="L81:L93" si="14">+SUMIF($C$13:C32,E81,V$13:V$32)</f>
        <v>463108.48432876717</v>
      </c>
      <c r="M81" s="359"/>
      <c r="N81" s="448">
        <f t="shared" ref="N81:N93" si="15">+G81-L81</f>
        <v>-448451.98589041102</v>
      </c>
      <c r="O81" s="449">
        <f t="shared" ref="O81:O93" si="16">+N81/G81</f>
        <v>-30.597484643181136</v>
      </c>
    </row>
    <row r="82" spans="5:15" ht="15.75" customHeight="1" x14ac:dyDescent="0.25">
      <c r="E82" s="447" t="s">
        <v>1221</v>
      </c>
      <c r="F82" s="359" t="s">
        <v>1279</v>
      </c>
      <c r="G82" s="448">
        <v>49873.263342465754</v>
      </c>
      <c r="K82" s="449">
        <v>9.7200650381855019E-2</v>
      </c>
      <c r="L82" s="359">
        <f t="shared" ca="1" si="14"/>
        <v>463108.48432876717</v>
      </c>
      <c r="M82" s="359"/>
      <c r="N82" s="448">
        <f t="shared" ca="1" si="15"/>
        <v>-413235.22098630143</v>
      </c>
      <c r="O82" s="449">
        <f t="shared" ca="1" si="16"/>
        <v>-8.2857064746040514</v>
      </c>
    </row>
    <row r="83" spans="5:15" ht="15.75" customHeight="1" x14ac:dyDescent="0.25">
      <c r="F83" s="12" t="s">
        <v>1280</v>
      </c>
      <c r="G83" s="293">
        <v>2877.3214794520545</v>
      </c>
      <c r="K83" s="228">
        <v>5.6077645699651466E-3</v>
      </c>
      <c r="L83" s="12">
        <f t="shared" ca="1" si="14"/>
        <v>0</v>
      </c>
      <c r="N83" s="293">
        <f t="shared" ca="1" si="15"/>
        <v>2877.3214794520545</v>
      </c>
      <c r="O83" s="228">
        <f t="shared" ca="1" si="16"/>
        <v>1</v>
      </c>
    </row>
    <row r="84" spans="5:15" ht="15.75" customHeight="1" x14ac:dyDescent="0.25">
      <c r="F84" s="12" t="s">
        <v>1281</v>
      </c>
      <c r="G84" s="293">
        <v>63.741945205479446</v>
      </c>
      <c r="K84" s="228">
        <v>1.2423006066462157E-4</v>
      </c>
      <c r="L84" s="12">
        <f t="shared" ca="1" si="14"/>
        <v>0</v>
      </c>
      <c r="N84" s="293">
        <f t="shared" ca="1" si="15"/>
        <v>63.741945205479446</v>
      </c>
      <c r="O84" s="228">
        <f t="shared" ca="1" si="16"/>
        <v>1</v>
      </c>
    </row>
    <row r="85" spans="5:15" ht="15.75" customHeight="1" x14ac:dyDescent="0.25">
      <c r="E85" s="447" t="s">
        <v>1221</v>
      </c>
      <c r="F85" s="359" t="s">
        <v>1282</v>
      </c>
      <c r="G85" s="448">
        <v>23392.562712328774</v>
      </c>
      <c r="K85" s="449">
        <v>4.5591007232138166E-2</v>
      </c>
      <c r="L85" s="359">
        <f t="shared" ca="1" si="14"/>
        <v>463108.48432876717</v>
      </c>
      <c r="M85" s="359"/>
      <c r="N85" s="448">
        <f t="shared" ca="1" si="15"/>
        <v>-439715.92161643837</v>
      </c>
      <c r="O85" s="449">
        <f t="shared" ca="1" si="16"/>
        <v>-18.797253085259072</v>
      </c>
    </row>
    <row r="86" spans="5:15" ht="15.75" customHeight="1" x14ac:dyDescent="0.25">
      <c r="E86" s="447" t="s">
        <v>1221</v>
      </c>
      <c r="F86" s="359" t="s">
        <v>1283</v>
      </c>
      <c r="G86" s="448">
        <v>351063.42304109584</v>
      </c>
      <c r="K86" s="449">
        <v>0.68420614088469911</v>
      </c>
      <c r="L86" s="359">
        <f t="shared" ca="1" si="14"/>
        <v>463108.48432876717</v>
      </c>
      <c r="M86" s="359"/>
      <c r="N86" s="448">
        <f t="shared" ca="1" si="15"/>
        <v>-112045.06128767133</v>
      </c>
      <c r="O86" s="449">
        <f t="shared" ca="1" si="16"/>
        <v>-0.31915902920639849</v>
      </c>
    </row>
    <row r="87" spans="5:15" ht="15.75" customHeight="1" x14ac:dyDescent="0.25">
      <c r="E87" s="447" t="s">
        <v>1221</v>
      </c>
      <c r="F87" s="359" t="s">
        <v>1284</v>
      </c>
      <c r="G87" s="448">
        <v>1502.4393150684932</v>
      </c>
      <c r="K87" s="449">
        <v>2.9281837360656286E-3</v>
      </c>
      <c r="L87" s="359">
        <f t="shared" ca="1" si="14"/>
        <v>463108.48432876717</v>
      </c>
      <c r="M87" s="359"/>
      <c r="N87" s="448">
        <f t="shared" ca="1" si="15"/>
        <v>-461606.04501369869</v>
      </c>
      <c r="O87" s="449">
        <f t="shared" ca="1" si="16"/>
        <v>-307.23773025911197</v>
      </c>
    </row>
    <row r="88" spans="5:15" ht="15.75" customHeight="1" x14ac:dyDescent="0.25">
      <c r="E88" s="447" t="s">
        <v>1221</v>
      </c>
      <c r="F88" s="359" t="s">
        <v>1285</v>
      </c>
      <c r="G88" s="448">
        <v>5907.8353698630135</v>
      </c>
      <c r="K88" s="449">
        <v>1.1514093961656952E-2</v>
      </c>
      <c r="L88" s="359">
        <f t="shared" ca="1" si="14"/>
        <v>463108.48432876717</v>
      </c>
      <c r="M88" s="359"/>
      <c r="N88" s="448">
        <f t="shared" ca="1" si="15"/>
        <v>-457200.64895890414</v>
      </c>
      <c r="O88" s="449">
        <f t="shared" ca="1" si="16"/>
        <v>-77.388860781593749</v>
      </c>
    </row>
    <row r="89" spans="5:15" ht="15.75" customHeight="1" x14ac:dyDescent="0.25">
      <c r="F89" s="12" t="s">
        <v>1280</v>
      </c>
      <c r="G89" s="293">
        <v>2877.3214794520545</v>
      </c>
      <c r="K89" s="228">
        <v>5.6077645699651466E-3</v>
      </c>
      <c r="L89" s="12">
        <f t="shared" ca="1" si="14"/>
        <v>0</v>
      </c>
      <c r="N89" s="293">
        <f t="shared" ca="1" si="15"/>
        <v>2877.3214794520545</v>
      </c>
      <c r="O89" s="228">
        <f t="shared" ca="1" si="16"/>
        <v>1</v>
      </c>
    </row>
    <row r="90" spans="5:15" ht="15.75" customHeight="1" x14ac:dyDescent="0.25">
      <c r="E90" s="447" t="s">
        <v>1221</v>
      </c>
      <c r="F90" s="359" t="s">
        <v>1286</v>
      </c>
      <c r="G90" s="448">
        <v>56937.26830136987</v>
      </c>
      <c r="K90" s="449">
        <v>0.11096806462926974</v>
      </c>
      <c r="L90" s="359">
        <f t="shared" ca="1" si="14"/>
        <v>463108.48432876717</v>
      </c>
      <c r="M90" s="359"/>
      <c r="N90" s="448">
        <f t="shared" ca="1" si="15"/>
        <v>-406171.21602739731</v>
      </c>
      <c r="O90" s="449">
        <f t="shared" ca="1" si="16"/>
        <v>-7.1336618026268237</v>
      </c>
    </row>
    <row r="91" spans="5:15" ht="15.75" customHeight="1" x14ac:dyDescent="0.25">
      <c r="F91" s="12" t="s">
        <v>1287</v>
      </c>
      <c r="G91" s="293">
        <v>33.721452054794518</v>
      </c>
      <c r="K91" s="228">
        <v>6.5721527966581929E-5</v>
      </c>
      <c r="L91" s="12">
        <f t="shared" ca="1" si="14"/>
        <v>0</v>
      </c>
      <c r="N91" s="293">
        <f t="shared" ca="1" si="15"/>
        <v>33.721452054794518</v>
      </c>
      <c r="O91" s="228">
        <f t="shared" ca="1" si="16"/>
        <v>1</v>
      </c>
    </row>
    <row r="92" spans="5:15" ht="15.75" customHeight="1" x14ac:dyDescent="0.25">
      <c r="F92" s="12" t="s">
        <v>1288</v>
      </c>
      <c r="G92" s="293">
        <v>3910.58701369863</v>
      </c>
      <c r="K92" s="228">
        <v>7.6215506191408197E-3</v>
      </c>
      <c r="L92" s="12">
        <f t="shared" ca="1" si="14"/>
        <v>0</v>
      </c>
      <c r="N92" s="293">
        <f t="shared" ca="1" si="15"/>
        <v>3910.58701369863</v>
      </c>
      <c r="O92" s="228">
        <f t="shared" ca="1" si="16"/>
        <v>1</v>
      </c>
    </row>
    <row r="93" spans="5:15" ht="15.75" customHeight="1" x14ac:dyDescent="0.25">
      <c r="E93" s="447" t="s">
        <v>1221</v>
      </c>
      <c r="F93" s="359" t="s">
        <v>1289</v>
      </c>
      <c r="G93" s="448">
        <v>14709.643945205482</v>
      </c>
      <c r="K93" s="449">
        <v>2.8668405926067869E-2</v>
      </c>
      <c r="L93" s="359">
        <f t="shared" ca="1" si="14"/>
        <v>463108.48432876717</v>
      </c>
      <c r="M93" s="359"/>
      <c r="N93" s="448">
        <f t="shared" ca="1" si="15"/>
        <v>-448398.84038356168</v>
      </c>
      <c r="O93" s="449">
        <f t="shared" ca="1" si="16"/>
        <v>-30.483323869284717</v>
      </c>
    </row>
    <row r="94" spans="5:15" ht="15.75" customHeight="1" x14ac:dyDescent="0.25">
      <c r="G94" s="12">
        <v>513095.98389041098</v>
      </c>
      <c r="L94" s="12">
        <f ca="1">+SUM(L81:L93)</f>
        <v>3704867.8746301378</v>
      </c>
    </row>
    <row r="95" spans="5:15" ht="15.75" customHeight="1" x14ac:dyDescent="0.25"/>
    <row r="96" spans="5:15" ht="15.75" customHeight="1" x14ac:dyDescent="0.25"/>
    <row r="97" spans="5:15" ht="15.75" customHeight="1" x14ac:dyDescent="0.25"/>
    <row r="98" spans="5:15" ht="15.75" customHeight="1" x14ac:dyDescent="0.25"/>
    <row r="99" spans="5:15" ht="15.75" customHeight="1" x14ac:dyDescent="0.25"/>
    <row r="100" spans="5:15" ht="15.75" customHeight="1" x14ac:dyDescent="0.25"/>
    <row r="101" spans="5:15" ht="15.75" customHeight="1" x14ac:dyDescent="0.25"/>
    <row r="102" spans="5:15" ht="15.75" customHeight="1" x14ac:dyDescent="0.25"/>
    <row r="103" spans="5:15" ht="15.75" customHeight="1" x14ac:dyDescent="0.25">
      <c r="E103" s="811" t="s">
        <v>1290</v>
      </c>
      <c r="F103" s="812"/>
    </row>
    <row r="104" spans="5:15" ht="15.75" customHeight="1" x14ac:dyDescent="0.25">
      <c r="E104" s="14"/>
      <c r="F104" s="14" t="s">
        <v>1222</v>
      </c>
      <c r="G104" s="12" t="s">
        <v>1291</v>
      </c>
      <c r="H104" s="12" t="s">
        <v>1292</v>
      </c>
      <c r="I104" s="12" t="s">
        <v>1293</v>
      </c>
      <c r="J104" s="12" t="s">
        <v>1294</v>
      </c>
      <c r="K104" s="12" t="s">
        <v>1295</v>
      </c>
      <c r="L104" s="12" t="s">
        <v>1296</v>
      </c>
      <c r="M104" s="12" t="s">
        <v>1297</v>
      </c>
      <c r="N104" s="12" t="s">
        <v>1298</v>
      </c>
      <c r="O104" s="12" t="s">
        <v>1299</v>
      </c>
    </row>
    <row r="105" spans="5:15" ht="15.75" customHeight="1" x14ac:dyDescent="0.25">
      <c r="E105" s="14" t="s">
        <v>1300</v>
      </c>
      <c r="F105" s="14" t="s">
        <v>1301</v>
      </c>
    </row>
    <row r="106" spans="5:15" ht="15.75" customHeight="1" x14ac:dyDescent="0.25">
      <c r="E106" s="13" t="s">
        <v>1267</v>
      </c>
      <c r="F106" s="14" t="s">
        <v>1302</v>
      </c>
      <c r="G106" s="417">
        <v>2.9418904109589041</v>
      </c>
      <c r="H106" s="417">
        <v>0</v>
      </c>
      <c r="I106" s="417">
        <v>0</v>
      </c>
      <c r="J106" s="417">
        <v>0</v>
      </c>
      <c r="K106" s="417">
        <v>0</v>
      </c>
      <c r="L106" s="417">
        <v>0</v>
      </c>
      <c r="M106" s="417">
        <v>0</v>
      </c>
      <c r="N106" s="417">
        <v>2.9418904109589041</v>
      </c>
      <c r="O106" s="450">
        <v>0</v>
      </c>
    </row>
    <row r="107" spans="5:15" ht="15.75" customHeight="1" x14ac:dyDescent="0.25">
      <c r="E107" s="13" t="s">
        <v>1303</v>
      </c>
      <c r="F107" s="14" t="s">
        <v>1304</v>
      </c>
      <c r="G107" s="12">
        <v>6.2215890410958909</v>
      </c>
      <c r="H107" s="12">
        <v>0</v>
      </c>
      <c r="I107" s="12">
        <v>0</v>
      </c>
      <c r="J107" s="12">
        <v>1.1643835616438357E-2</v>
      </c>
      <c r="K107" s="12">
        <v>0.12008219178082191</v>
      </c>
      <c r="L107" s="12">
        <v>0</v>
      </c>
      <c r="M107" s="12">
        <v>0</v>
      </c>
      <c r="N107" s="12">
        <v>6.0898356164383562</v>
      </c>
      <c r="O107" s="205">
        <v>6.111890410958905</v>
      </c>
    </row>
    <row r="108" spans="5:15" ht="15.75" customHeight="1" x14ac:dyDescent="0.25">
      <c r="E108" s="14" t="s">
        <v>1305</v>
      </c>
      <c r="F108" s="14" t="s">
        <v>1301</v>
      </c>
    </row>
    <row r="109" spans="5:15" ht="15.75" customHeight="1" x14ac:dyDescent="0.25">
      <c r="E109" s="14" t="s">
        <v>1306</v>
      </c>
      <c r="F109" s="14" t="s">
        <v>1301</v>
      </c>
    </row>
    <row r="110" spans="5:15" ht="15.75" customHeight="1" x14ac:dyDescent="0.25">
      <c r="E110" s="14" t="s">
        <v>1307</v>
      </c>
      <c r="F110" s="14" t="s">
        <v>1301</v>
      </c>
    </row>
    <row r="111" spans="5:15" ht="15.75" customHeight="1" x14ac:dyDescent="0.25">
      <c r="E111" s="14" t="s">
        <v>1308</v>
      </c>
      <c r="F111" s="14" t="s">
        <v>1301</v>
      </c>
    </row>
    <row r="112" spans="5:15" ht="15.75" customHeight="1" x14ac:dyDescent="0.25">
      <c r="E112" s="13" t="s">
        <v>1271</v>
      </c>
      <c r="F112" s="14" t="s">
        <v>1302</v>
      </c>
      <c r="G112" s="12">
        <v>28.099315068493151</v>
      </c>
      <c r="H112" s="12">
        <v>0</v>
      </c>
      <c r="I112" s="12">
        <v>0</v>
      </c>
      <c r="J112" s="12">
        <v>5.0520547945205482E-2</v>
      </c>
      <c r="K112" s="12">
        <v>0.53767123287671237</v>
      </c>
      <c r="L112" s="12">
        <v>0</v>
      </c>
      <c r="M112" s="12">
        <v>0</v>
      </c>
      <c r="N112" s="12">
        <v>27.511232876712334</v>
      </c>
      <c r="O112" s="12">
        <v>27.609561643835615</v>
      </c>
    </row>
    <row r="113" spans="5:6" ht="15.75" customHeight="1" x14ac:dyDescent="0.25">
      <c r="E113" s="14" t="s">
        <v>1309</v>
      </c>
      <c r="F113" s="14" t="s">
        <v>1301</v>
      </c>
    </row>
    <row r="114" spans="5:6" ht="15.75" customHeight="1" x14ac:dyDescent="0.25">
      <c r="E114" s="14" t="s">
        <v>1310</v>
      </c>
      <c r="F114" s="14"/>
    </row>
    <row r="115" spans="5:6" ht="15.75" customHeight="1" x14ac:dyDescent="0.25">
      <c r="E115" s="14" t="s">
        <v>1311</v>
      </c>
      <c r="F115" s="14" t="s">
        <v>1301</v>
      </c>
    </row>
    <row r="116" spans="5:6" ht="15.75" customHeight="1" x14ac:dyDescent="0.25">
      <c r="E116" s="14" t="s">
        <v>1312</v>
      </c>
      <c r="F116" s="14" t="s">
        <v>1301</v>
      </c>
    </row>
    <row r="117" spans="5:6" ht="15.75" customHeight="1" x14ac:dyDescent="0.25">
      <c r="E117" s="14" t="s">
        <v>1313</v>
      </c>
      <c r="F117" s="14" t="s">
        <v>1301</v>
      </c>
    </row>
    <row r="118" spans="5:6" ht="15.75" customHeight="1" x14ac:dyDescent="0.25">
      <c r="E118" s="14" t="s">
        <v>1314</v>
      </c>
      <c r="F118" s="14" t="s">
        <v>1301</v>
      </c>
    </row>
    <row r="119" spans="5:6" ht="15.75" customHeight="1" x14ac:dyDescent="0.25">
      <c r="E119" s="14" t="s">
        <v>1315</v>
      </c>
      <c r="F119" s="14" t="s">
        <v>1301</v>
      </c>
    </row>
    <row r="120" spans="5:6" ht="15.75" customHeight="1" x14ac:dyDescent="0.25">
      <c r="E120" s="14" t="s">
        <v>1316</v>
      </c>
      <c r="F120" s="14"/>
    </row>
    <row r="121" spans="5:6" ht="15.75" customHeight="1" x14ac:dyDescent="0.25"/>
    <row r="122" spans="5:6" ht="15.75" customHeight="1" x14ac:dyDescent="0.25"/>
    <row r="123" spans="5:6" ht="15.75" customHeight="1" x14ac:dyDescent="0.25"/>
    <row r="124" spans="5:6" ht="15.75" customHeight="1" x14ac:dyDescent="0.25"/>
    <row r="125" spans="5:6" ht="15.75" customHeight="1" x14ac:dyDescent="0.25"/>
    <row r="126" spans="5:6" ht="15.75" customHeight="1" x14ac:dyDescent="0.25"/>
    <row r="127" spans="5:6" ht="15.75" customHeight="1" x14ac:dyDescent="0.25"/>
    <row r="128" spans="5:6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C12:W12" xr:uid="{00000000-0009-0000-0000-000009000000}">
    <sortState xmlns:xlrd2="http://schemas.microsoft.com/office/spreadsheetml/2017/richdata2" ref="C12:W12">
      <sortCondition ref="F12"/>
    </sortState>
  </autoFilter>
  <mergeCells count="7">
    <mergeCell ref="E103:F103"/>
    <mergeCell ref="D2:H2"/>
    <mergeCell ref="E3:F3"/>
    <mergeCell ref="G3:H3"/>
    <mergeCell ref="N11:U11"/>
    <mergeCell ref="G59:H59"/>
    <mergeCell ref="J59:K59"/>
  </mergeCells>
  <conditionalFormatting sqref="F13:F35">
    <cfRule type="containsBlanks" dxfId="79" priority="1">
      <formula>LEN(TRIM(F13))=0</formula>
    </cfRule>
  </conditionalFormatting>
  <conditionalFormatting sqref="H13:I24">
    <cfRule type="containsText" dxfId="78" priority="2" operator="containsText" text="Oil and Gas">
      <formula>NOT(ISERROR(SEARCH(("Oil and Gas"),(H13))))</formula>
    </cfRule>
  </conditionalFormatting>
  <conditionalFormatting sqref="H13:I24">
    <cfRule type="containsText" dxfId="77" priority="3" operator="containsText" text="Gas">
      <formula>NOT(ISERROR(SEARCH(("Gas"),(H13))))</formula>
    </cfRule>
  </conditionalFormatting>
  <conditionalFormatting sqref="H13:I24">
    <cfRule type="containsText" dxfId="76" priority="4" operator="containsText" text="Oil">
      <formula>NOT(ISERROR(SEARCH(("Oil"),(H13))))</formula>
    </cfRule>
  </conditionalFormatting>
  <conditionalFormatting sqref="H25:I32">
    <cfRule type="containsText" dxfId="75" priority="5" operator="containsText" text="Oil and Gas">
      <formula>NOT(ISERROR(SEARCH(("Oil and Gas"),(H25))))</formula>
    </cfRule>
  </conditionalFormatting>
  <conditionalFormatting sqref="H25:I32">
    <cfRule type="containsText" dxfId="74" priority="6" operator="containsText" text="Gas">
      <formula>NOT(ISERROR(SEARCH(("Gas"),(H25))))</formula>
    </cfRule>
  </conditionalFormatting>
  <conditionalFormatting sqref="H25:I32">
    <cfRule type="containsText" dxfId="73" priority="7" operator="containsText" text="Oil">
      <formula>NOT(ISERROR(SEARCH(("Oil"),(H25))))</formula>
    </cfRule>
  </conditionalFormatting>
  <conditionalFormatting sqref="N13:V32">
    <cfRule type="cellIs" dxfId="72" priority="8" operator="equal">
      <formula>0</formula>
    </cfRule>
  </conditionalFormatting>
  <conditionalFormatting sqref="F60">
    <cfRule type="containsBlanks" dxfId="71" priority="9">
      <formula>LEN(TRIM(F60))=0</formula>
    </cfRule>
  </conditionalFormatting>
  <conditionalFormatting sqref="F61">
    <cfRule type="containsBlanks" dxfId="70" priority="10">
      <formula>LEN(TRIM(F61))=0</formula>
    </cfRule>
  </conditionalFormatting>
  <conditionalFormatting sqref="F62">
    <cfRule type="containsBlanks" dxfId="69" priority="11">
      <formula>LEN(TRIM(F62))=0</formula>
    </cfRule>
  </conditionalFormatting>
  <conditionalFormatting sqref="F63">
    <cfRule type="containsBlanks" dxfId="68" priority="12">
      <formula>LEN(TRIM(F63))=0</formula>
    </cfRule>
  </conditionalFormatting>
  <conditionalFormatting sqref="F64">
    <cfRule type="containsBlanks" dxfId="67" priority="13">
      <formula>LEN(TRIM(F64))=0</formula>
    </cfRule>
  </conditionalFormatting>
  <conditionalFormatting sqref="F65">
    <cfRule type="containsBlanks" dxfId="66" priority="14">
      <formula>LEN(TRIM(F65))=0</formula>
    </cfRule>
  </conditionalFormatting>
  <conditionalFormatting sqref="H33:I35">
    <cfRule type="containsText" dxfId="65" priority="15" operator="containsText" text="Oil and Gas">
      <formula>NOT(ISERROR(SEARCH(("Oil and Gas"),(H33))))</formula>
    </cfRule>
  </conditionalFormatting>
  <conditionalFormatting sqref="H33:I35">
    <cfRule type="containsText" dxfId="64" priority="16" operator="containsText" text="Gas">
      <formula>NOT(ISERROR(SEARCH(("Gas"),(H33))))</formula>
    </cfRule>
  </conditionalFormatting>
  <conditionalFormatting sqref="H33:I35">
    <cfRule type="containsText" dxfId="63" priority="17" operator="containsText" text="Oil">
      <formula>NOT(ISERROR(SEARCH(("Oil"),(H33))))</formula>
    </cfRule>
  </conditionalFormatting>
  <conditionalFormatting sqref="N33:V35">
    <cfRule type="cellIs" dxfId="62" priority="18" operator="equal">
      <formula>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F9000"/>
  </sheetPr>
  <dimension ref="A1:BI1000"/>
  <sheetViews>
    <sheetView showGridLines="0" workbookViewId="0"/>
  </sheetViews>
  <sheetFormatPr baseColWidth="10" defaultColWidth="14.42578125" defaultRowHeight="15" customHeight="1" x14ac:dyDescent="0.25"/>
  <cols>
    <col min="1" max="2" width="9.140625" customWidth="1"/>
    <col min="3" max="5" width="18.5703125" customWidth="1"/>
    <col min="6" max="6" width="20.28515625" customWidth="1"/>
    <col min="7" max="7" width="9.140625" customWidth="1"/>
    <col min="8" max="8" width="33.7109375" customWidth="1"/>
    <col min="9" max="9" width="27.140625" customWidth="1"/>
    <col min="10" max="10" width="17" customWidth="1"/>
    <col min="11" max="11" width="24.5703125" customWidth="1"/>
    <col min="12" max="12" width="27.28515625" customWidth="1"/>
    <col min="13" max="13" width="12.5703125" customWidth="1"/>
    <col min="14" max="14" width="30.5703125" customWidth="1"/>
    <col min="15" max="15" width="11.85546875" customWidth="1"/>
    <col min="16" max="16" width="11" customWidth="1"/>
    <col min="17" max="17" width="13.85546875" customWidth="1"/>
    <col min="18" max="18" width="10.85546875" customWidth="1"/>
    <col min="19" max="19" width="10.5703125" customWidth="1"/>
    <col min="20" max="20" width="10.85546875" customWidth="1"/>
    <col min="21" max="21" width="9.5703125" customWidth="1"/>
    <col min="22" max="22" width="10.5703125" customWidth="1"/>
    <col min="23" max="23" width="9.5703125" customWidth="1"/>
    <col min="24" max="24" width="9.85546875" customWidth="1"/>
    <col min="25" max="25" width="9.5703125" customWidth="1"/>
    <col min="26" max="26" width="10.5703125" customWidth="1"/>
    <col min="27" max="27" width="9.140625" customWidth="1"/>
    <col min="28" max="28" width="14.140625" customWidth="1"/>
    <col min="29" max="29" width="9.140625" customWidth="1"/>
    <col min="30" max="30" width="13.5703125" customWidth="1"/>
    <col min="31" max="39" width="9.140625" customWidth="1"/>
    <col min="40" max="40" width="11" customWidth="1"/>
    <col min="41" max="45" width="9.140625" customWidth="1"/>
    <col min="46" max="46" width="22.140625" customWidth="1"/>
    <col min="47" max="48" width="9.140625" customWidth="1"/>
    <col min="49" max="49" width="22" customWidth="1"/>
    <col min="50" max="60" width="9.140625" customWidth="1"/>
    <col min="61" max="61" width="11" customWidth="1"/>
  </cols>
  <sheetData>
    <row r="1" spans="8:61" x14ac:dyDescent="0.25">
      <c r="L1" s="306"/>
      <c r="M1" s="306"/>
      <c r="Q1" s="222">
        <f>+'4.1 Ref_Cart'!E8</f>
        <v>6.0871741676095334</v>
      </c>
      <c r="R1" s="12" t="s">
        <v>1317</v>
      </c>
      <c r="T1" s="12">
        <v>5.7</v>
      </c>
      <c r="U1" s="12" t="s">
        <v>1318</v>
      </c>
    </row>
    <row r="2" spans="8:61" x14ac:dyDescent="0.25">
      <c r="L2" s="306"/>
      <c r="M2" s="306"/>
      <c r="Q2" s="12">
        <f>+Q1/1000</f>
        <v>6.0871741676095338E-3</v>
      </c>
      <c r="R2" s="12" t="s">
        <v>1319</v>
      </c>
      <c r="T2" s="12">
        <f>+T1/1000</f>
        <v>5.7000000000000002E-3</v>
      </c>
      <c r="U2" s="12" t="s">
        <v>1319</v>
      </c>
    </row>
    <row r="3" spans="8:61" x14ac:dyDescent="0.25">
      <c r="L3" s="306"/>
      <c r="M3" s="306"/>
    </row>
    <row r="4" spans="8:61" ht="15.75" x14ac:dyDescent="0.25">
      <c r="L4" s="306"/>
      <c r="M4" s="306"/>
      <c r="O4" s="451" t="s">
        <v>1320</v>
      </c>
      <c r="P4" s="451"/>
      <c r="Q4" s="451"/>
      <c r="R4" s="451"/>
      <c r="S4" s="451"/>
      <c r="T4" s="451"/>
      <c r="U4" s="451"/>
      <c r="V4" s="451"/>
      <c r="W4" s="451"/>
      <c r="X4" s="451"/>
      <c r="Y4" s="216"/>
      <c r="Z4" s="216"/>
      <c r="AA4" s="216"/>
      <c r="AC4" s="452" t="s">
        <v>1321</v>
      </c>
      <c r="AD4" s="452"/>
      <c r="AE4" s="452"/>
      <c r="AF4" s="452"/>
      <c r="AG4" s="452"/>
      <c r="AH4" s="452"/>
      <c r="AI4" s="452"/>
      <c r="AJ4" s="452"/>
      <c r="AK4" s="452"/>
      <c r="AL4" s="452"/>
      <c r="AM4" s="217"/>
      <c r="AN4" s="217"/>
      <c r="AO4" s="453"/>
      <c r="AV4" s="454" t="s">
        <v>1321</v>
      </c>
      <c r="AW4" s="454"/>
      <c r="AX4" s="454"/>
      <c r="AY4" s="454"/>
      <c r="AZ4" s="454"/>
      <c r="BA4" s="454"/>
      <c r="BB4" s="454"/>
      <c r="BC4" s="454"/>
      <c r="BD4" s="454"/>
      <c r="BE4" s="454"/>
      <c r="BF4" s="455"/>
      <c r="BG4" s="455"/>
      <c r="BH4" s="455"/>
    </row>
    <row r="5" spans="8:61" ht="18.75" x14ac:dyDescent="0.25">
      <c r="H5" s="456" t="s">
        <v>1201</v>
      </c>
      <c r="I5" s="456" t="s">
        <v>1202</v>
      </c>
      <c r="J5" s="426" t="s">
        <v>1203</v>
      </c>
      <c r="K5" s="456" t="s">
        <v>1204</v>
      </c>
      <c r="L5" s="456" t="s">
        <v>1205</v>
      </c>
      <c r="M5" s="306"/>
      <c r="N5" s="12">
        <v>2019</v>
      </c>
      <c r="O5" s="457">
        <v>2020</v>
      </c>
      <c r="P5" s="458">
        <v>2023</v>
      </c>
      <c r="Q5" s="458">
        <v>2025</v>
      </c>
      <c r="R5" s="458">
        <v>2027</v>
      </c>
      <c r="S5" s="458">
        <v>2030</v>
      </c>
      <c r="T5" s="458">
        <v>2033</v>
      </c>
      <c r="U5" s="458">
        <v>2035</v>
      </c>
      <c r="V5" s="458">
        <v>2037</v>
      </c>
      <c r="W5" s="458">
        <v>2040</v>
      </c>
      <c r="X5" s="458">
        <v>2043</v>
      </c>
      <c r="Y5" s="459">
        <v>2045</v>
      </c>
      <c r="Z5" s="459">
        <v>2047</v>
      </c>
      <c r="AA5" s="460">
        <v>2050</v>
      </c>
      <c r="AB5" s="216" t="s">
        <v>1322</v>
      </c>
      <c r="AC5" s="461">
        <v>2020</v>
      </c>
      <c r="AD5" s="462">
        <v>2023</v>
      </c>
      <c r="AE5" s="462">
        <v>2025</v>
      </c>
      <c r="AF5" s="462">
        <v>2027</v>
      </c>
      <c r="AG5" s="462">
        <v>2030</v>
      </c>
      <c r="AH5" s="462">
        <v>2033</v>
      </c>
      <c r="AI5" s="462">
        <v>2035</v>
      </c>
      <c r="AJ5" s="462">
        <v>2037</v>
      </c>
      <c r="AK5" s="462">
        <v>2040</v>
      </c>
      <c r="AL5" s="462">
        <v>2043</v>
      </c>
      <c r="AM5" s="463">
        <v>2045</v>
      </c>
      <c r="AN5" s="463">
        <v>2047</v>
      </c>
      <c r="AO5" s="464">
        <v>2050</v>
      </c>
      <c r="AP5" s="465" t="s">
        <v>1323</v>
      </c>
      <c r="AT5" s="446" t="s">
        <v>1324</v>
      </c>
      <c r="AU5" s="12" t="s">
        <v>1325</v>
      </c>
      <c r="AV5" s="466">
        <v>2020</v>
      </c>
      <c r="AW5" s="466">
        <v>2023</v>
      </c>
      <c r="AX5" s="466">
        <v>2025</v>
      </c>
      <c r="AY5" s="466">
        <v>2027</v>
      </c>
      <c r="AZ5" s="466">
        <v>2030</v>
      </c>
      <c r="BA5" s="466">
        <v>2033</v>
      </c>
      <c r="BB5" s="466">
        <v>2035</v>
      </c>
      <c r="BC5" s="466">
        <v>2037</v>
      </c>
      <c r="BD5" s="466">
        <v>2040</v>
      </c>
      <c r="BE5" s="466">
        <v>2043</v>
      </c>
      <c r="BF5" s="467">
        <v>2045</v>
      </c>
      <c r="BG5" s="467">
        <v>2047</v>
      </c>
      <c r="BH5" s="466">
        <v>2050</v>
      </c>
      <c r="BI5" s="465" t="s">
        <v>1323</v>
      </c>
    </row>
    <row r="6" spans="8:61" ht="15.75" x14ac:dyDescent="0.25">
      <c r="H6" s="431" t="s">
        <v>1221</v>
      </c>
      <c r="I6" s="432" t="s">
        <v>1222</v>
      </c>
      <c r="J6" s="432" t="s">
        <v>1223</v>
      </c>
      <c r="K6" s="432" t="s">
        <v>1224</v>
      </c>
      <c r="L6" s="433" t="s">
        <v>1225</v>
      </c>
      <c r="M6" s="399">
        <f>+F50</f>
        <v>28.68</v>
      </c>
      <c r="O6" s="399">
        <f t="shared" ref="O6:AA6" si="0">+AE50</f>
        <v>18483.601194567513</v>
      </c>
      <c r="P6" s="399">
        <f t="shared" si="0"/>
        <v>14640.064399328548</v>
      </c>
      <c r="Q6" s="399">
        <f t="shared" si="0"/>
        <v>12077.70653583575</v>
      </c>
      <c r="R6" s="399">
        <f t="shared" si="0"/>
        <v>0</v>
      </c>
      <c r="S6" s="399">
        <f t="shared" si="0"/>
        <v>0</v>
      </c>
      <c r="T6" s="399">
        <f t="shared" si="0"/>
        <v>0</v>
      </c>
      <c r="U6" s="399">
        <f t="shared" si="0"/>
        <v>0</v>
      </c>
      <c r="V6" s="399">
        <f t="shared" si="0"/>
        <v>0</v>
      </c>
      <c r="W6" s="399">
        <f t="shared" si="0"/>
        <v>0</v>
      </c>
      <c r="X6" s="399">
        <f t="shared" si="0"/>
        <v>0</v>
      </c>
      <c r="Y6" s="468">
        <f t="shared" si="0"/>
        <v>0</v>
      </c>
      <c r="Z6" s="468">
        <f t="shared" si="0"/>
        <v>0</v>
      </c>
      <c r="AA6" s="468">
        <f t="shared" si="0"/>
        <v>0</v>
      </c>
      <c r="AB6" s="468">
        <f t="shared" ref="AB6:AB28" si="1">+SLOPE(O6:AA6,O$5:AA$5)</f>
        <v>-510.41980077296512</v>
      </c>
      <c r="AC6" s="469">
        <f t="shared" ref="AC6:AE6" si="2">+O6*$T$2*365/1000</f>
        <v>38.455132285297715</v>
      </c>
      <c r="AD6" s="469">
        <f t="shared" si="2"/>
        <v>30.458653982803046</v>
      </c>
      <c r="AE6" s="469">
        <f t="shared" si="2"/>
        <v>25.127668447806283</v>
      </c>
      <c r="AF6" s="469"/>
      <c r="AG6" s="469"/>
      <c r="AH6" s="469"/>
      <c r="AI6" s="469"/>
      <c r="AJ6" s="469"/>
      <c r="AK6" s="469"/>
      <c r="AL6" s="469"/>
      <c r="AM6" s="469"/>
      <c r="AN6" s="469"/>
      <c r="AO6" s="469"/>
      <c r="AP6" s="470">
        <f t="shared" ref="AP6:AP28" si="3">+SLOPE(AC6:AO6,AC$5:AO$5)</f>
        <v>-2.6654927674982813</v>
      </c>
      <c r="AQ6" s="471" t="s">
        <v>1225</v>
      </c>
      <c r="AS6" s="205"/>
      <c r="AT6" s="472" t="s">
        <v>1326</v>
      </c>
      <c r="AU6" s="473">
        <f>+M6+M7</f>
        <v>43.6</v>
      </c>
      <c r="AV6" s="473">
        <f t="shared" ref="AV6:BC6" si="4">+AC6+AC7</f>
        <v>45.816389720978073</v>
      </c>
      <c r="AW6" s="474">
        <f t="shared" si="4"/>
        <v>36.93438053993998</v>
      </c>
      <c r="AX6" s="474">
        <f t="shared" si="4"/>
        <v>31.01304108591415</v>
      </c>
      <c r="AY6" s="474">
        <f t="shared" si="4"/>
        <v>5.2950187190789215</v>
      </c>
      <c r="AZ6" s="474">
        <f t="shared" si="4"/>
        <v>4.4094878405355011</v>
      </c>
      <c r="BA6" s="474">
        <f t="shared" si="4"/>
        <v>3.5239569619919613</v>
      </c>
      <c r="BB6" s="474">
        <f t="shared" si="4"/>
        <v>2.9336030429630142</v>
      </c>
      <c r="BC6" s="474">
        <f t="shared" si="4"/>
        <v>2.3432491239340676</v>
      </c>
      <c r="BD6" s="474"/>
      <c r="BE6" s="474"/>
      <c r="BF6" s="474"/>
      <c r="BG6" s="474"/>
      <c r="BH6" s="475"/>
      <c r="BI6" s="12">
        <f t="shared" ref="BI6:BI11" si="5">+SLOPE(AV6:BH6,AV$5:BH$5)</f>
        <v>-2.6851115732294639</v>
      </c>
    </row>
    <row r="7" spans="8:61" ht="15.75" x14ac:dyDescent="0.25">
      <c r="H7" s="431" t="s">
        <v>1221</v>
      </c>
      <c r="I7" s="432" t="s">
        <v>1222</v>
      </c>
      <c r="J7" s="432" t="s">
        <v>1223</v>
      </c>
      <c r="K7" s="432" t="s">
        <v>1224</v>
      </c>
      <c r="L7" s="433" t="s">
        <v>1226</v>
      </c>
      <c r="M7" s="399">
        <f>+F42</f>
        <v>14.92</v>
      </c>
      <c r="O7" s="399">
        <f t="shared" ref="O7:AA7" si="6">+AE42</f>
        <v>3538.2155422640499</v>
      </c>
      <c r="P7" s="399">
        <f t="shared" si="6"/>
        <v>3112.5818587536342</v>
      </c>
      <c r="Q7" s="399">
        <f t="shared" si="6"/>
        <v>2828.8260697466321</v>
      </c>
      <c r="R7" s="399">
        <f t="shared" si="6"/>
        <v>2545.0702807396883</v>
      </c>
      <c r="S7" s="399">
        <f t="shared" si="6"/>
        <v>2119.4365972292726</v>
      </c>
      <c r="T7" s="399">
        <f t="shared" si="6"/>
        <v>1693.8029137187987</v>
      </c>
      <c r="U7" s="399">
        <f t="shared" si="6"/>
        <v>1410.0471247118548</v>
      </c>
      <c r="V7" s="399">
        <f t="shared" si="6"/>
        <v>1126.291335704911</v>
      </c>
      <c r="W7" s="399">
        <f t="shared" si="6"/>
        <v>0</v>
      </c>
      <c r="X7" s="399">
        <f t="shared" si="6"/>
        <v>0</v>
      </c>
      <c r="Y7" s="468">
        <f t="shared" si="6"/>
        <v>0</v>
      </c>
      <c r="Z7" s="468">
        <f t="shared" si="6"/>
        <v>0</v>
      </c>
      <c r="AA7" s="468">
        <f t="shared" si="6"/>
        <v>0</v>
      </c>
      <c r="AB7" s="468">
        <f t="shared" si="1"/>
        <v>-134.16836701473517</v>
      </c>
      <c r="AC7" s="469">
        <f t="shared" ref="AC7:AJ7" si="7">+O7*$T$2*365/1000</f>
        <v>7.361257435680356</v>
      </c>
      <c r="AD7" s="469">
        <f t="shared" si="7"/>
        <v>6.4757265571369373</v>
      </c>
      <c r="AE7" s="469">
        <f t="shared" si="7"/>
        <v>5.8853726381078681</v>
      </c>
      <c r="AF7" s="469">
        <f t="shared" si="7"/>
        <v>5.2950187190789215</v>
      </c>
      <c r="AG7" s="469">
        <f t="shared" si="7"/>
        <v>4.4094878405355011</v>
      </c>
      <c r="AH7" s="469">
        <f t="shared" si="7"/>
        <v>3.5239569619919613</v>
      </c>
      <c r="AI7" s="469">
        <f t="shared" si="7"/>
        <v>2.9336030429630142</v>
      </c>
      <c r="AJ7" s="469">
        <f t="shared" si="7"/>
        <v>2.3432491239340676</v>
      </c>
      <c r="AK7" s="469"/>
      <c r="AL7" s="469"/>
      <c r="AM7" s="469"/>
      <c r="AN7" s="469"/>
      <c r="AO7" s="469"/>
      <c r="AP7" s="470">
        <f t="shared" si="3"/>
        <v>-0.29517695951448913</v>
      </c>
      <c r="AQ7" s="12" t="s">
        <v>1226</v>
      </c>
      <c r="AT7" s="476" t="s">
        <v>1327</v>
      </c>
      <c r="AU7" s="477">
        <f>+M8+M9+M10+M11+M12</f>
        <v>352.93895363113921</v>
      </c>
      <c r="AV7" s="477">
        <f t="shared" ref="AV7:BH7" si="8">+AC8+AC9+AC10+AC11+AC12</f>
        <v>301.36815227622213</v>
      </c>
      <c r="AW7" s="293">
        <f t="shared" si="8"/>
        <v>242.4264960500318</v>
      </c>
      <c r="AX7" s="293">
        <f t="shared" si="8"/>
        <v>171.85349200804063</v>
      </c>
      <c r="AY7" s="293">
        <f t="shared" si="8"/>
        <v>144.12763630355897</v>
      </c>
      <c r="AZ7" s="293">
        <f t="shared" si="8"/>
        <v>105.8236587820916</v>
      </c>
      <c r="BA7" s="293">
        <f t="shared" si="8"/>
        <v>70.344739436893036</v>
      </c>
      <c r="BB7" s="293">
        <f t="shared" si="8"/>
        <v>40.133944941341369</v>
      </c>
      <c r="BC7" s="293">
        <f t="shared" si="8"/>
        <v>26.750010300979817</v>
      </c>
      <c r="BD7" s="293">
        <f t="shared" si="8"/>
        <v>15.011164110721554</v>
      </c>
      <c r="BE7" s="293">
        <f t="shared" si="8"/>
        <v>11.223685114326383</v>
      </c>
      <c r="BF7" s="293">
        <f t="shared" si="8"/>
        <v>8.6986991167298644</v>
      </c>
      <c r="BG7" s="293">
        <f t="shared" si="8"/>
        <v>6.3213973707030426</v>
      </c>
      <c r="BH7" s="478">
        <f t="shared" si="8"/>
        <v>2.9625197140667652</v>
      </c>
      <c r="BI7" s="12">
        <f t="shared" si="5"/>
        <v>-9.382008134021282</v>
      </c>
    </row>
    <row r="8" spans="8:61" x14ac:dyDescent="0.25">
      <c r="H8" s="431" t="s">
        <v>1221</v>
      </c>
      <c r="I8" s="432" t="s">
        <v>1222</v>
      </c>
      <c r="J8" s="432" t="s">
        <v>1227</v>
      </c>
      <c r="K8" s="432" t="s">
        <v>1228</v>
      </c>
      <c r="L8" s="433" t="s">
        <v>1229</v>
      </c>
      <c r="M8" s="399">
        <f>+F61</f>
        <v>3.84</v>
      </c>
      <c r="O8" s="399">
        <f t="shared" ref="O8:AA8" si="9">+AE61</f>
        <v>4827.9957140304614</v>
      </c>
      <c r="P8" s="399">
        <f t="shared" si="9"/>
        <v>2686.6182510862127</v>
      </c>
      <c r="Q8" s="399">
        <f t="shared" si="9"/>
        <v>1259.0332757900469</v>
      </c>
      <c r="R8" s="399">
        <f t="shared" si="9"/>
        <v>0</v>
      </c>
      <c r="S8" s="399">
        <f t="shared" si="9"/>
        <v>0</v>
      </c>
      <c r="T8" s="399">
        <f t="shared" si="9"/>
        <v>0</v>
      </c>
      <c r="U8" s="399">
        <f t="shared" si="9"/>
        <v>0</v>
      </c>
      <c r="V8" s="399">
        <f t="shared" si="9"/>
        <v>0</v>
      </c>
      <c r="W8" s="399">
        <f t="shared" si="9"/>
        <v>0</v>
      </c>
      <c r="X8" s="399">
        <f t="shared" si="9"/>
        <v>0</v>
      </c>
      <c r="Y8" s="468">
        <f t="shared" si="9"/>
        <v>0</v>
      </c>
      <c r="Z8" s="468">
        <f t="shared" si="9"/>
        <v>0</v>
      </c>
      <c r="AA8" s="468">
        <f t="shared" si="9"/>
        <v>0</v>
      </c>
      <c r="AB8" s="468">
        <f t="shared" si="1"/>
        <v>-104.31466857775084</v>
      </c>
      <c r="AC8" s="469">
        <f t="shared" ref="AC8:AE8" si="10">+O8*$T$2*365/1000</f>
        <v>10.044645083040376</v>
      </c>
      <c r="AD8" s="469">
        <f t="shared" si="10"/>
        <v>5.5895092713848653</v>
      </c>
      <c r="AE8" s="469">
        <f t="shared" si="10"/>
        <v>2.6194187302811924</v>
      </c>
      <c r="AF8" s="469"/>
      <c r="AG8" s="469"/>
      <c r="AH8" s="469"/>
      <c r="AI8" s="469"/>
      <c r="AJ8" s="469"/>
      <c r="AK8" s="469"/>
      <c r="AL8" s="469"/>
      <c r="AM8" s="469"/>
      <c r="AN8" s="469"/>
      <c r="AO8" s="469"/>
      <c r="AP8" s="470">
        <f t="shared" si="3"/>
        <v>-1.4850452705518367</v>
      </c>
      <c r="AQ8" s="12" t="s">
        <v>1229</v>
      </c>
      <c r="AT8" s="479" t="s">
        <v>1328</v>
      </c>
      <c r="AU8" s="477">
        <f>+M13+M14+M15+M16+M17</f>
        <v>1061.9250522587006</v>
      </c>
      <c r="AV8" s="477">
        <f t="shared" ref="AV8:BH8" si="11">+AC13+AC14+AC15+AC16+AC17</f>
        <v>608.13099036155506</v>
      </c>
      <c r="AW8" s="293">
        <f t="shared" si="11"/>
        <v>522.49516194613284</v>
      </c>
      <c r="AX8" s="293">
        <f t="shared" si="11"/>
        <v>465.4046096691859</v>
      </c>
      <c r="AY8" s="293">
        <f t="shared" si="11"/>
        <v>408.31405739223914</v>
      </c>
      <c r="AZ8" s="293">
        <f t="shared" si="11"/>
        <v>322.94891794545288</v>
      </c>
      <c r="BA8" s="293">
        <f t="shared" si="11"/>
        <v>238.8461909306553</v>
      </c>
      <c r="BB8" s="293">
        <f t="shared" si="11"/>
        <v>182.7777062541233</v>
      </c>
      <c r="BC8" s="293">
        <f t="shared" si="11"/>
        <v>108.5477198417107</v>
      </c>
      <c r="BD8" s="293">
        <f t="shared" si="11"/>
        <v>81.980543736094816</v>
      </c>
      <c r="BE8" s="293">
        <f t="shared" si="11"/>
        <v>69.118940327005319</v>
      </c>
      <c r="BF8" s="293">
        <f t="shared" si="11"/>
        <v>57.053872779304349</v>
      </c>
      <c r="BG8" s="293">
        <f t="shared" si="11"/>
        <v>51.833914283484027</v>
      </c>
      <c r="BH8" s="478">
        <f t="shared" si="11"/>
        <v>40.640370330935419</v>
      </c>
      <c r="BI8" s="12">
        <f t="shared" si="5"/>
        <v>-19.949111557879402</v>
      </c>
    </row>
    <row r="9" spans="8:61" ht="30" x14ac:dyDescent="0.25">
      <c r="H9" s="431" t="s">
        <v>1221</v>
      </c>
      <c r="I9" s="432" t="s">
        <v>1222</v>
      </c>
      <c r="J9" s="432" t="s">
        <v>1230</v>
      </c>
      <c r="K9" s="432" t="s">
        <v>1228</v>
      </c>
      <c r="L9" s="433" t="s">
        <v>1231</v>
      </c>
      <c r="M9" s="399">
        <f>+F51+F52+F53</f>
        <v>175.65971432336164</v>
      </c>
      <c r="O9" s="399">
        <f t="shared" ref="O9:AA9" si="12">+AE51+AE52+AE53</f>
        <v>57199.273556603264</v>
      </c>
      <c r="P9" s="399">
        <f t="shared" si="12"/>
        <v>48216.942760049453</v>
      </c>
      <c r="Q9" s="399">
        <f t="shared" si="12"/>
        <v>42228.72222901287</v>
      </c>
      <c r="R9" s="399">
        <f t="shared" si="12"/>
        <v>36240.501697976375</v>
      </c>
      <c r="S9" s="399">
        <f t="shared" si="12"/>
        <v>27258.170901422563</v>
      </c>
      <c r="T9" s="399">
        <f t="shared" si="12"/>
        <v>18275.840104868665</v>
      </c>
      <c r="U9" s="399">
        <f t="shared" si="12"/>
        <v>9120.5378289312648</v>
      </c>
      <c r="V9" s="399">
        <f t="shared" si="12"/>
        <v>8053.1278169640864</v>
      </c>
      <c r="W9" s="399">
        <f t="shared" si="12"/>
        <v>6452.0127990135225</v>
      </c>
      <c r="X9" s="399">
        <f t="shared" si="12"/>
        <v>4850.897781062813</v>
      </c>
      <c r="Y9" s="468">
        <f t="shared" si="12"/>
        <v>3783.4877690957801</v>
      </c>
      <c r="Z9" s="468">
        <f t="shared" si="12"/>
        <v>2787.0627374554751</v>
      </c>
      <c r="AA9" s="468">
        <f t="shared" si="12"/>
        <v>1391.9565345775336</v>
      </c>
      <c r="AB9" s="468">
        <f t="shared" si="1"/>
        <v>-1905.9730485977291</v>
      </c>
      <c r="AC9" s="469">
        <f t="shared" ref="AC9:AO9" si="13">+O9*$T$2*365/1000</f>
        <v>119.00308863451311</v>
      </c>
      <c r="AD9" s="469">
        <f t="shared" si="13"/>
        <v>100.31534941228288</v>
      </c>
      <c r="AE9" s="469">
        <f t="shared" si="13"/>
        <v>87.856856597461288</v>
      </c>
      <c r="AF9" s="469">
        <f t="shared" si="13"/>
        <v>75.398363782639848</v>
      </c>
      <c r="AG9" s="469">
        <f t="shared" si="13"/>
        <v>56.710624560409649</v>
      </c>
      <c r="AH9" s="469">
        <f t="shared" si="13"/>
        <v>38.022885338179258</v>
      </c>
      <c r="AI9" s="469">
        <f t="shared" si="13"/>
        <v>18.975278953091497</v>
      </c>
      <c r="AJ9" s="469">
        <f t="shared" si="13"/>
        <v>16.754532423193783</v>
      </c>
      <c r="AK9" s="469">
        <f t="shared" si="13"/>
        <v>13.423412628347632</v>
      </c>
      <c r="AL9" s="469">
        <f t="shared" si="13"/>
        <v>10.092292833501183</v>
      </c>
      <c r="AM9" s="469">
        <f t="shared" si="13"/>
        <v>7.8715463036037701</v>
      </c>
      <c r="AN9" s="469">
        <f t="shared" si="13"/>
        <v>5.7984840252761156</v>
      </c>
      <c r="AO9" s="469">
        <f t="shared" si="13"/>
        <v>2.8959655701885585</v>
      </c>
      <c r="AP9" s="470">
        <f t="shared" si="3"/>
        <v>-3.9653769276075757</v>
      </c>
      <c r="AQ9" s="12" t="s">
        <v>1231</v>
      </c>
      <c r="AT9" s="479" t="s">
        <v>1329</v>
      </c>
      <c r="AU9" s="477">
        <f>+M18</f>
        <v>7.3</v>
      </c>
      <c r="AV9" s="477">
        <f t="shared" ref="AV9:BD9" si="14">+AC18</f>
        <v>3.8691863439810894</v>
      </c>
      <c r="AW9" s="293">
        <f t="shared" si="14"/>
        <v>3.4185516111034171</v>
      </c>
      <c r="AX9" s="293">
        <f t="shared" si="14"/>
        <v>3.1181284558516555</v>
      </c>
      <c r="AY9" s="293">
        <f t="shared" si="14"/>
        <v>2.8177053005998336</v>
      </c>
      <c r="AZ9" s="293">
        <f t="shared" si="14"/>
        <v>2.3670705677222217</v>
      </c>
      <c r="BA9" s="293">
        <f t="shared" si="14"/>
        <v>1.9164358348445492</v>
      </c>
      <c r="BB9" s="293">
        <f t="shared" si="14"/>
        <v>1.616012679592727</v>
      </c>
      <c r="BC9" s="293">
        <f t="shared" si="14"/>
        <v>1.3155895243409652</v>
      </c>
      <c r="BD9" s="293">
        <f t="shared" si="14"/>
        <v>0.86495479146329268</v>
      </c>
      <c r="BE9" s="293"/>
      <c r="BF9" s="293"/>
      <c r="BG9" s="293"/>
      <c r="BH9" s="478"/>
      <c r="BI9" s="12">
        <f t="shared" si="5"/>
        <v>-0.15021157762588969</v>
      </c>
    </row>
    <row r="10" spans="8:61" x14ac:dyDescent="0.25">
      <c r="H10" s="431" t="s">
        <v>1221</v>
      </c>
      <c r="I10" s="432" t="s">
        <v>1222</v>
      </c>
      <c r="J10" s="432" t="s">
        <v>1232</v>
      </c>
      <c r="K10" s="432" t="s">
        <v>1228</v>
      </c>
      <c r="L10" s="433" t="s">
        <v>1233</v>
      </c>
      <c r="M10" s="399">
        <f>+F54+F55</f>
        <v>27.95</v>
      </c>
      <c r="O10" s="399">
        <f t="shared" ref="O10:AA10" si="15">+AE54+AE55</f>
        <v>28513.982927143341</v>
      </c>
      <c r="P10" s="399">
        <f t="shared" si="15"/>
        <v>20426.088212779025</v>
      </c>
      <c r="Q10" s="399">
        <f t="shared" si="15"/>
        <v>0</v>
      </c>
      <c r="R10" s="399">
        <f t="shared" si="15"/>
        <v>0</v>
      </c>
      <c r="S10" s="399">
        <f t="shared" si="15"/>
        <v>0</v>
      </c>
      <c r="T10" s="399">
        <f t="shared" si="15"/>
        <v>0</v>
      </c>
      <c r="U10" s="399">
        <f t="shared" si="15"/>
        <v>0</v>
      </c>
      <c r="V10" s="399">
        <f t="shared" si="15"/>
        <v>0</v>
      </c>
      <c r="W10" s="399">
        <f t="shared" si="15"/>
        <v>0</v>
      </c>
      <c r="X10" s="399">
        <f t="shared" si="15"/>
        <v>0</v>
      </c>
      <c r="Y10" s="468">
        <f t="shared" si="15"/>
        <v>0</v>
      </c>
      <c r="Z10" s="468">
        <f t="shared" si="15"/>
        <v>0</v>
      </c>
      <c r="AA10" s="468">
        <f t="shared" si="15"/>
        <v>0</v>
      </c>
      <c r="AB10" s="468">
        <f t="shared" si="1"/>
        <v>-598.59679934208043</v>
      </c>
      <c r="AC10" s="469">
        <f t="shared" ref="AC10:AD10" si="16">+O10*$T$2*365/1000</f>
        <v>59.323341479921723</v>
      </c>
      <c r="AD10" s="469">
        <f t="shared" si="16"/>
        <v>42.496476526686763</v>
      </c>
      <c r="AE10" s="469"/>
      <c r="AF10" s="469"/>
      <c r="AG10" s="469"/>
      <c r="AH10" s="469"/>
      <c r="AI10" s="469"/>
      <c r="AJ10" s="469"/>
      <c r="AK10" s="469"/>
      <c r="AL10" s="469"/>
      <c r="AM10" s="469"/>
      <c r="AN10" s="469"/>
      <c r="AO10" s="469"/>
      <c r="AP10" s="470">
        <f t="shared" si="3"/>
        <v>-5.6089549844116533</v>
      </c>
      <c r="AQ10" s="12" t="s">
        <v>1233</v>
      </c>
      <c r="AT10" s="479" t="s">
        <v>1330</v>
      </c>
      <c r="AU10" s="477">
        <f>+M19+M21+M22</f>
        <v>173.04420386519871</v>
      </c>
      <c r="AV10" s="477">
        <f t="shared" ref="AV10:BG10" si="17">+AC19+AC21+AC22</f>
        <v>120.10488082771383</v>
      </c>
      <c r="AW10" s="293">
        <f t="shared" si="17"/>
        <v>102.2710976328155</v>
      </c>
      <c r="AX10" s="293">
        <f t="shared" si="17"/>
        <v>90.38190883621688</v>
      </c>
      <c r="AY10" s="293">
        <f t="shared" si="17"/>
        <v>78.492720039619002</v>
      </c>
      <c r="AZ10" s="293">
        <f t="shared" si="17"/>
        <v>60.658936844720685</v>
      </c>
      <c r="BA10" s="293">
        <f t="shared" si="17"/>
        <v>42.82515364982315</v>
      </c>
      <c r="BB10" s="293">
        <f t="shared" si="17"/>
        <v>29.271790257160674</v>
      </c>
      <c r="BC10" s="293">
        <f t="shared" si="17"/>
        <v>19.864940326937376</v>
      </c>
      <c r="BD10" s="293">
        <f t="shared" si="17"/>
        <v>13.68927126234288</v>
      </c>
      <c r="BE10" s="293">
        <f t="shared" si="17"/>
        <v>9.6070650611223698</v>
      </c>
      <c r="BF10" s="293">
        <f t="shared" si="17"/>
        <v>6.8855942603083893</v>
      </c>
      <c r="BG10" s="293">
        <f t="shared" si="17"/>
        <v>4.1641234594948973</v>
      </c>
      <c r="BH10" s="478"/>
      <c r="BI10" s="12">
        <f t="shared" si="5"/>
        <v>-4.4565773241322679</v>
      </c>
    </row>
    <row r="11" spans="8:61" ht="15.75" x14ac:dyDescent="0.25">
      <c r="H11" s="431" t="s">
        <v>1221</v>
      </c>
      <c r="I11" s="432" t="s">
        <v>1222</v>
      </c>
      <c r="J11" s="432" t="s">
        <v>1234</v>
      </c>
      <c r="K11" s="432" t="s">
        <v>1228</v>
      </c>
      <c r="L11" s="433" t="s">
        <v>1235</v>
      </c>
      <c r="M11" s="399">
        <f>+F65+F66</f>
        <v>130.80000000000001</v>
      </c>
      <c r="O11" s="399">
        <f t="shared" ref="O11:AA11" si="18">+AE65+AE66</f>
        <v>48633.343378444086</v>
      </c>
      <c r="P11" s="399">
        <f t="shared" si="18"/>
        <v>40676.95037223761</v>
      </c>
      <c r="Q11" s="399">
        <f t="shared" si="18"/>
        <v>35372.688368100266</v>
      </c>
      <c r="R11" s="399">
        <f t="shared" si="18"/>
        <v>30068.426363962935</v>
      </c>
      <c r="S11" s="399">
        <f t="shared" si="18"/>
        <v>22112.03335775646</v>
      </c>
      <c r="T11" s="399">
        <f t="shared" si="18"/>
        <v>14260.641422443092</v>
      </c>
      <c r="U11" s="399">
        <f t="shared" si="18"/>
        <v>9041.2476984513924</v>
      </c>
      <c r="V11" s="399">
        <f t="shared" si="18"/>
        <v>3821.8539744596928</v>
      </c>
      <c r="W11" s="399">
        <f t="shared" si="18"/>
        <v>0</v>
      </c>
      <c r="X11" s="399">
        <f t="shared" si="18"/>
        <v>0</v>
      </c>
      <c r="Y11" s="468">
        <f t="shared" si="18"/>
        <v>0</v>
      </c>
      <c r="Z11" s="468">
        <f t="shared" si="18"/>
        <v>0</v>
      </c>
      <c r="AA11" s="468">
        <f t="shared" si="18"/>
        <v>0</v>
      </c>
      <c r="AB11" s="468">
        <f t="shared" si="1"/>
        <v>-1728.9462557126046</v>
      </c>
      <c r="AC11" s="469">
        <f t="shared" ref="AC11:AK11" si="19">+O11*$T$2*365/1000</f>
        <v>101.18167089885293</v>
      </c>
      <c r="AD11" s="469">
        <f t="shared" si="19"/>
        <v>84.628395249440345</v>
      </c>
      <c r="AE11" s="469">
        <f t="shared" si="19"/>
        <v>73.5928781498326</v>
      </c>
      <c r="AF11" s="469">
        <f t="shared" si="19"/>
        <v>62.557361050224884</v>
      </c>
      <c r="AG11" s="469">
        <f t="shared" si="19"/>
        <v>46.004085400812315</v>
      </c>
      <c r="AH11" s="469">
        <f t="shared" si="19"/>
        <v>29.669264479392854</v>
      </c>
      <c r="AI11" s="469">
        <f t="shared" si="19"/>
        <v>18.810315836628124</v>
      </c>
      <c r="AJ11" s="469">
        <f t="shared" si="19"/>
        <v>7.9513671938633914</v>
      </c>
      <c r="AK11" s="469">
        <f t="shared" si="19"/>
        <v>0</v>
      </c>
      <c r="AL11" s="469"/>
      <c r="AM11" s="469"/>
      <c r="AN11" s="469"/>
      <c r="AO11" s="469"/>
      <c r="AP11" s="470">
        <f t="shared" si="3"/>
        <v>-5.2489972859455927</v>
      </c>
      <c r="AQ11" s="12" t="s">
        <v>1235</v>
      </c>
      <c r="AT11" s="480" t="s">
        <v>1331</v>
      </c>
      <c r="AU11" s="481">
        <f>+M23+M24+M25</f>
        <v>46.312306574380422</v>
      </c>
      <c r="AV11" s="481">
        <f t="shared" ref="AV11:BH11" si="20">+AC23+AC24+AC25</f>
        <v>22.745366925853645</v>
      </c>
      <c r="AW11" s="482">
        <f t="shared" si="20"/>
        <v>20.041242648559983</v>
      </c>
      <c r="AX11" s="482">
        <f t="shared" si="20"/>
        <v>18.238493130364368</v>
      </c>
      <c r="AY11" s="482">
        <f t="shared" si="20"/>
        <v>16.435743612168579</v>
      </c>
      <c r="AZ11" s="482">
        <f t="shared" si="20"/>
        <v>13.731619334875035</v>
      </c>
      <c r="BA11" s="482">
        <f t="shared" si="20"/>
        <v>11.226900362824599</v>
      </c>
      <c r="BB11" s="482">
        <f t="shared" si="20"/>
        <v>9.6970968264457511</v>
      </c>
      <c r="BC11" s="482">
        <f t="shared" si="20"/>
        <v>8.1672932900669633</v>
      </c>
      <c r="BD11" s="482">
        <f t="shared" si="20"/>
        <v>5.9100822889242215</v>
      </c>
      <c r="BE11" s="482">
        <f t="shared" si="20"/>
        <v>4.5094031449974228</v>
      </c>
      <c r="BF11" s="482">
        <f t="shared" si="20"/>
        <v>3.5362145742389126</v>
      </c>
      <c r="BG11" s="482">
        <f t="shared" si="20"/>
        <v>2.6600653984253664</v>
      </c>
      <c r="BH11" s="483">
        <f t="shared" si="20"/>
        <v>1.345841634704988</v>
      </c>
      <c r="BI11" s="12">
        <f t="shared" si="5"/>
        <v>-0.72707065395261417</v>
      </c>
    </row>
    <row r="12" spans="8:61" ht="15.75" x14ac:dyDescent="0.25">
      <c r="H12" s="431" t="s">
        <v>1221</v>
      </c>
      <c r="I12" s="432" t="s">
        <v>1222</v>
      </c>
      <c r="J12" s="432" t="s">
        <v>1234</v>
      </c>
      <c r="K12" s="432" t="s">
        <v>1228</v>
      </c>
      <c r="L12" s="433" t="s">
        <v>1236</v>
      </c>
      <c r="M12" s="399">
        <f>+F59+F60</f>
        <v>14.689239307777516</v>
      </c>
      <c r="O12" s="399">
        <f t="shared" ref="O12:AA12" si="21">+AE59+AE60</f>
        <v>5679.11856760105</v>
      </c>
      <c r="P12" s="399">
        <f t="shared" si="21"/>
        <v>4516.5900457759853</v>
      </c>
      <c r="Q12" s="399">
        <f t="shared" si="21"/>
        <v>3741.5710312259325</v>
      </c>
      <c r="R12" s="399">
        <f t="shared" si="21"/>
        <v>2966.5520166759088</v>
      </c>
      <c r="S12" s="399">
        <f t="shared" si="21"/>
        <v>1494.3277197162388</v>
      </c>
      <c r="T12" s="399">
        <f t="shared" si="21"/>
        <v>1274.9769859749649</v>
      </c>
      <c r="U12" s="399">
        <f t="shared" si="21"/>
        <v>1128.7431634807726</v>
      </c>
      <c r="V12" s="399">
        <f t="shared" si="21"/>
        <v>982.50934098660946</v>
      </c>
      <c r="W12" s="399">
        <f t="shared" si="21"/>
        <v>763.15860724533559</v>
      </c>
      <c r="X12" s="399">
        <f t="shared" si="21"/>
        <v>543.80787350406172</v>
      </c>
      <c r="Y12" s="468">
        <f t="shared" si="21"/>
        <v>397.57405100989854</v>
      </c>
      <c r="Z12" s="468">
        <f t="shared" si="21"/>
        <v>251.34022851570626</v>
      </c>
      <c r="AA12" s="468">
        <f t="shared" si="21"/>
        <v>31.989494774432387</v>
      </c>
      <c r="AB12" s="468">
        <f t="shared" si="1"/>
        <v>-171.66604777525708</v>
      </c>
      <c r="AC12" s="469">
        <f t="shared" ref="AC12:AO12" si="22">+O12*$T$2*365/1000</f>
        <v>11.815406179893985</v>
      </c>
      <c r="AD12" s="469">
        <f t="shared" si="22"/>
        <v>9.3967655902369387</v>
      </c>
      <c r="AE12" s="469">
        <f t="shared" si="22"/>
        <v>7.7843385304655532</v>
      </c>
      <c r="AF12" s="469">
        <f t="shared" si="22"/>
        <v>6.1719114706942282</v>
      </c>
      <c r="AG12" s="469">
        <f t="shared" si="22"/>
        <v>3.1089488208696352</v>
      </c>
      <c r="AH12" s="469">
        <f t="shared" si="22"/>
        <v>2.6525896193209144</v>
      </c>
      <c r="AI12" s="469">
        <f t="shared" si="22"/>
        <v>2.3483501516217475</v>
      </c>
      <c r="AJ12" s="469">
        <f t="shared" si="22"/>
        <v>2.0441106839226411</v>
      </c>
      <c r="AK12" s="469">
        <f t="shared" si="22"/>
        <v>1.5877514823739207</v>
      </c>
      <c r="AL12" s="469">
        <f t="shared" si="22"/>
        <v>1.1313922808252004</v>
      </c>
      <c r="AM12" s="469">
        <f t="shared" si="22"/>
        <v>0.8271528131260939</v>
      </c>
      <c r="AN12" s="469">
        <f t="shared" si="22"/>
        <v>0.52291334542692691</v>
      </c>
      <c r="AO12" s="469">
        <f t="shared" si="22"/>
        <v>6.6554143878206573E-2</v>
      </c>
      <c r="AP12" s="470">
        <f t="shared" si="3"/>
        <v>-0.35715121239642228</v>
      </c>
      <c r="AQ12" s="12" t="s">
        <v>1236</v>
      </c>
      <c r="AT12" s="484"/>
    </row>
    <row r="13" spans="8:61" x14ac:dyDescent="0.25">
      <c r="H13" s="431" t="s">
        <v>1221</v>
      </c>
      <c r="I13" s="432" t="s">
        <v>1222</v>
      </c>
      <c r="J13" s="432" t="s">
        <v>1237</v>
      </c>
      <c r="K13" s="432" t="s">
        <v>1228</v>
      </c>
      <c r="L13" s="433" t="s">
        <v>1238</v>
      </c>
      <c r="M13" s="399">
        <f>+F67</f>
        <v>272.89999999999998</v>
      </c>
      <c r="O13" s="399">
        <f t="shared" ref="O13:AA13" si="23">+AE67</f>
        <v>101621.62162162177</v>
      </c>
      <c r="P13" s="399">
        <f t="shared" si="23"/>
        <v>84756.756756756455</v>
      </c>
      <c r="Q13" s="399">
        <f t="shared" si="23"/>
        <v>73513.513513512909</v>
      </c>
      <c r="R13" s="399">
        <f t="shared" si="23"/>
        <v>62270.270270269364</v>
      </c>
      <c r="S13" s="399">
        <f t="shared" si="23"/>
        <v>45405.405405405909</v>
      </c>
      <c r="T13" s="399">
        <f t="shared" si="23"/>
        <v>28540.540540540591</v>
      </c>
      <c r="U13" s="399">
        <f t="shared" si="23"/>
        <v>17297.297297297046</v>
      </c>
      <c r="V13" s="399">
        <f t="shared" si="23"/>
        <v>0</v>
      </c>
      <c r="W13" s="399">
        <f t="shared" si="23"/>
        <v>0</v>
      </c>
      <c r="X13" s="399">
        <f t="shared" si="23"/>
        <v>0</v>
      </c>
      <c r="Y13" s="468">
        <f t="shared" si="23"/>
        <v>0</v>
      </c>
      <c r="Z13" s="468">
        <f t="shared" si="23"/>
        <v>0</v>
      </c>
      <c r="AA13" s="468">
        <f t="shared" si="23"/>
        <v>0</v>
      </c>
      <c r="AB13" s="468">
        <f t="shared" si="1"/>
        <v>-3611.0416466288243</v>
      </c>
      <c r="AC13" s="469">
        <f t="shared" ref="AC13:AI13" si="24">+O13*$T$2*365/1000</f>
        <v>211.4237837837841</v>
      </c>
      <c r="AD13" s="469">
        <f t="shared" si="24"/>
        <v>176.33643243243182</v>
      </c>
      <c r="AE13" s="469">
        <f t="shared" si="24"/>
        <v>152.94486486486363</v>
      </c>
      <c r="AF13" s="469">
        <f t="shared" si="24"/>
        <v>129.55329729729542</v>
      </c>
      <c r="AG13" s="469">
        <f t="shared" si="24"/>
        <v>94.465945945946999</v>
      </c>
      <c r="AH13" s="469">
        <f t="shared" si="24"/>
        <v>59.378594594594702</v>
      </c>
      <c r="AI13" s="469">
        <f t="shared" si="24"/>
        <v>35.9870270270265</v>
      </c>
      <c r="AJ13" s="469"/>
      <c r="AK13" s="469"/>
      <c r="AL13" s="469"/>
      <c r="AM13" s="469"/>
      <c r="AN13" s="469"/>
      <c r="AO13" s="469"/>
      <c r="AP13" s="470">
        <f t="shared" si="3"/>
        <v>-11.695783783783762</v>
      </c>
      <c r="AQ13" s="12" t="s">
        <v>1238</v>
      </c>
      <c r="AV13" s="293">
        <f>+SUM(AV6:BH11)</f>
        <v>5175.1741990991441</v>
      </c>
    </row>
    <row r="14" spans="8:61" ht="25.5" x14ac:dyDescent="0.25">
      <c r="H14" s="431" t="s">
        <v>1221</v>
      </c>
      <c r="I14" s="432" t="s">
        <v>1222</v>
      </c>
      <c r="J14" s="432" t="s">
        <v>1239</v>
      </c>
      <c r="K14" s="432" t="s">
        <v>1228</v>
      </c>
      <c r="L14" s="433" t="s">
        <v>1240</v>
      </c>
      <c r="M14" s="399">
        <f>+F46+F45+F47</f>
        <v>459.04505225870071</v>
      </c>
      <c r="O14" s="399">
        <f t="shared" ref="O14:AA14" si="25">+AE46+AE45+AE47</f>
        <v>104196.74339982207</v>
      </c>
      <c r="P14" s="399">
        <f t="shared" si="25"/>
        <v>91549.650787922772</v>
      </c>
      <c r="Q14" s="399">
        <f t="shared" si="25"/>
        <v>83118.25571332348</v>
      </c>
      <c r="R14" s="399">
        <f t="shared" si="25"/>
        <v>74686.860638724189</v>
      </c>
      <c r="S14" s="399">
        <f t="shared" si="25"/>
        <v>62039.768026825594</v>
      </c>
      <c r="T14" s="399">
        <f t="shared" si="25"/>
        <v>49392.675414926314</v>
      </c>
      <c r="U14" s="399">
        <f t="shared" si="25"/>
        <v>40961.280340327015</v>
      </c>
      <c r="V14" s="399">
        <f t="shared" si="25"/>
        <v>29854.546512339461</v>
      </c>
      <c r="W14" s="399">
        <f t="shared" si="25"/>
        <v>27470.868534586669</v>
      </c>
      <c r="X14" s="399">
        <f t="shared" si="25"/>
        <v>25050.419885017211</v>
      </c>
      <c r="Y14" s="468">
        <f t="shared" si="25"/>
        <v>23474.28389575053</v>
      </c>
      <c r="Z14" s="468">
        <f t="shared" si="25"/>
        <v>21898.14790648385</v>
      </c>
      <c r="AA14" s="468">
        <f t="shared" si="25"/>
        <v>19533.943922583712</v>
      </c>
      <c r="AB14" s="468">
        <f t="shared" si="1"/>
        <v>-2945.9181727825594</v>
      </c>
      <c r="AC14" s="469">
        <f t="shared" ref="AC14:AO14" si="26">+O14*$T$2*365/1000</f>
        <v>216.78132464332984</v>
      </c>
      <c r="AD14" s="469">
        <f t="shared" si="26"/>
        <v>190.46904846427333</v>
      </c>
      <c r="AE14" s="469">
        <f t="shared" si="26"/>
        <v>172.92753101156953</v>
      </c>
      <c r="AF14" s="469">
        <f t="shared" si="26"/>
        <v>155.38601355886567</v>
      </c>
      <c r="AG14" s="469">
        <f t="shared" si="26"/>
        <v>129.07373737981067</v>
      </c>
      <c r="AH14" s="469">
        <f t="shared" si="26"/>
        <v>102.7614612007542</v>
      </c>
      <c r="AI14" s="469">
        <f t="shared" si="26"/>
        <v>85.219943748050355</v>
      </c>
      <c r="AJ14" s="469">
        <f t="shared" si="26"/>
        <v>62.112384018922256</v>
      </c>
      <c r="AK14" s="469">
        <f t="shared" si="26"/>
        <v>57.153141986207565</v>
      </c>
      <c r="AL14" s="469">
        <f t="shared" si="26"/>
        <v>52.117398570778313</v>
      </c>
      <c r="AM14" s="469">
        <f t="shared" si="26"/>
        <v>48.838247645108986</v>
      </c>
      <c r="AN14" s="469">
        <f t="shared" si="26"/>
        <v>45.559096719439651</v>
      </c>
      <c r="AO14" s="469">
        <f t="shared" si="26"/>
        <v>40.640370330935419</v>
      </c>
      <c r="AP14" s="470">
        <f t="shared" si="3"/>
        <v>-6.1289827584741143</v>
      </c>
      <c r="AQ14" s="12" t="s">
        <v>1240</v>
      </c>
    </row>
    <row r="15" spans="8:61" x14ac:dyDescent="0.25">
      <c r="H15" s="431" t="s">
        <v>1221</v>
      </c>
      <c r="I15" s="432" t="s">
        <v>1222</v>
      </c>
      <c r="J15" s="432" t="s">
        <v>1241</v>
      </c>
      <c r="K15" s="432" t="s">
        <v>1228</v>
      </c>
      <c r="L15" s="433" t="s">
        <v>1242</v>
      </c>
      <c r="M15" s="399">
        <f>+F48+F49</f>
        <v>236.24</v>
      </c>
      <c r="O15" s="399">
        <f t="shared" ref="O15:AA15" si="27">+AE48+AE49</f>
        <v>68166.815655914135</v>
      </c>
      <c r="P15" s="399">
        <f t="shared" si="27"/>
        <v>58703.848843057407</v>
      </c>
      <c r="Q15" s="399">
        <f t="shared" si="27"/>
        <v>52395.20430115331</v>
      </c>
      <c r="R15" s="399">
        <f t="shared" si="27"/>
        <v>46086.559759249212</v>
      </c>
      <c r="S15" s="399">
        <f t="shared" si="27"/>
        <v>36623.592946392484</v>
      </c>
      <c r="T15" s="399">
        <f t="shared" si="27"/>
        <v>27160.626133535523</v>
      </c>
      <c r="U15" s="399">
        <f t="shared" si="27"/>
        <v>20851.981591630494</v>
      </c>
      <c r="V15" s="399">
        <f t="shared" si="27"/>
        <v>14543.337049726397</v>
      </c>
      <c r="W15" s="399">
        <f t="shared" si="27"/>
        <v>5606.7655319848564</v>
      </c>
      <c r="X15" s="399">
        <f t="shared" si="27"/>
        <v>3290.1269175105263</v>
      </c>
      <c r="Y15" s="468">
        <f t="shared" si="27"/>
        <v>0</v>
      </c>
      <c r="Z15" s="468">
        <f t="shared" si="27"/>
        <v>0</v>
      </c>
      <c r="AA15" s="468">
        <f t="shared" si="27"/>
        <v>0</v>
      </c>
      <c r="AB15" s="468">
        <f t="shared" si="1"/>
        <v>-2467.6073326872774</v>
      </c>
      <c r="AC15" s="469">
        <f t="shared" ref="AC15:AL15" si="28">+O15*$T$2*365/1000</f>
        <v>141.82105997212938</v>
      </c>
      <c r="AD15" s="469">
        <f t="shared" si="28"/>
        <v>122.13335751798094</v>
      </c>
      <c r="AE15" s="469">
        <f t="shared" si="28"/>
        <v>109.00822254854945</v>
      </c>
      <c r="AF15" s="469">
        <f t="shared" si="28"/>
        <v>95.883087579117998</v>
      </c>
      <c r="AG15" s="469">
        <f t="shared" si="28"/>
        <v>76.195385124969576</v>
      </c>
      <c r="AH15" s="469">
        <f t="shared" si="28"/>
        <v>56.507682670820657</v>
      </c>
      <c r="AI15" s="469">
        <f t="shared" si="28"/>
        <v>43.382547701387246</v>
      </c>
      <c r="AJ15" s="469">
        <f t="shared" si="28"/>
        <v>30.257412731955768</v>
      </c>
      <c r="AK15" s="469">
        <f t="shared" si="28"/>
        <v>11.664875689294496</v>
      </c>
      <c r="AL15" s="469">
        <f t="shared" si="28"/>
        <v>6.8451090518806508</v>
      </c>
      <c r="AM15" s="469"/>
      <c r="AN15" s="469"/>
      <c r="AO15" s="469"/>
      <c r="AP15" s="470">
        <f t="shared" si="3"/>
        <v>-6.183690388691935</v>
      </c>
      <c r="AQ15" s="12" t="s">
        <v>1242</v>
      </c>
      <c r="BI15" s="12">
        <f>15*BI11</f>
        <v>-10.906059809289212</v>
      </c>
    </row>
    <row r="16" spans="8:61" x14ac:dyDescent="0.25">
      <c r="H16" s="431" t="s">
        <v>1221</v>
      </c>
      <c r="I16" s="432" t="s">
        <v>1222</v>
      </c>
      <c r="J16" s="432" t="s">
        <v>1241</v>
      </c>
      <c r="K16" s="432" t="s">
        <v>1228</v>
      </c>
      <c r="L16" s="433" t="s">
        <v>1243</v>
      </c>
      <c r="M16" s="399">
        <f>+F39</f>
        <v>89.87</v>
      </c>
      <c r="O16" s="399">
        <f t="shared" ref="O16:AA16" si="29">+AE39</f>
        <v>15609.574506649165</v>
      </c>
      <c r="P16" s="399">
        <f t="shared" si="29"/>
        <v>14210.290029251133</v>
      </c>
      <c r="Q16" s="399">
        <f t="shared" si="29"/>
        <v>13277.433710985701</v>
      </c>
      <c r="R16" s="399">
        <f t="shared" si="29"/>
        <v>12344.577392720385</v>
      </c>
      <c r="S16" s="399">
        <f t="shared" si="29"/>
        <v>10945.292915322352</v>
      </c>
      <c r="T16" s="399">
        <f t="shared" si="29"/>
        <v>9546.0084379243199</v>
      </c>
      <c r="U16" s="399">
        <f t="shared" si="29"/>
        <v>8613.1521196590038</v>
      </c>
      <c r="V16" s="399">
        <f t="shared" si="29"/>
        <v>7680.2958013936877</v>
      </c>
      <c r="W16" s="399">
        <f t="shared" si="29"/>
        <v>6281.0113239956554</v>
      </c>
      <c r="X16" s="399">
        <f t="shared" si="29"/>
        <v>4881.7268465976231</v>
      </c>
      <c r="Y16" s="468">
        <f t="shared" si="29"/>
        <v>3948.870528332307</v>
      </c>
      <c r="Z16" s="468">
        <f t="shared" si="29"/>
        <v>3016.0142100669909</v>
      </c>
      <c r="AA16" s="468">
        <f t="shared" si="29"/>
        <v>0</v>
      </c>
      <c r="AB16" s="468">
        <f t="shared" si="1"/>
        <v>-488.0037338569021</v>
      </c>
      <c r="AC16" s="469">
        <f t="shared" ref="AC16:AN16" si="30">+O16*$T$2*365/1000</f>
        <v>32.475719761083589</v>
      </c>
      <c r="AD16" s="469">
        <f t="shared" si="30"/>
        <v>29.56450840585698</v>
      </c>
      <c r="AE16" s="469">
        <f t="shared" si="30"/>
        <v>27.623700835705748</v>
      </c>
      <c r="AF16" s="469">
        <f t="shared" si="30"/>
        <v>25.68289326555476</v>
      </c>
      <c r="AG16" s="469">
        <f t="shared" si="30"/>
        <v>22.771681910328155</v>
      </c>
      <c r="AH16" s="469">
        <f t="shared" si="30"/>
        <v>19.860470555101546</v>
      </c>
      <c r="AI16" s="469">
        <f t="shared" si="30"/>
        <v>17.919662984950559</v>
      </c>
      <c r="AJ16" s="469">
        <f t="shared" si="30"/>
        <v>15.97885541479957</v>
      </c>
      <c r="AK16" s="469">
        <f t="shared" si="30"/>
        <v>13.067644059572961</v>
      </c>
      <c r="AL16" s="469">
        <f t="shared" si="30"/>
        <v>10.156432704346354</v>
      </c>
      <c r="AM16" s="469">
        <f t="shared" si="30"/>
        <v>8.2156251341953652</v>
      </c>
      <c r="AN16" s="469">
        <f t="shared" si="30"/>
        <v>6.2748175640443753</v>
      </c>
      <c r="AO16" s="469"/>
      <c r="AP16" s="470">
        <f t="shared" si="3"/>
        <v>-0.97040378507552527</v>
      </c>
      <c r="AQ16" s="12" t="s">
        <v>1243</v>
      </c>
      <c r="BI16" s="293">
        <f>+AV11+BI15</f>
        <v>11.839307116564433</v>
      </c>
    </row>
    <row r="17" spans="1:61" x14ac:dyDescent="0.25">
      <c r="H17" s="431" t="s">
        <v>1221</v>
      </c>
      <c r="I17" s="432" t="s">
        <v>1222</v>
      </c>
      <c r="J17" s="432" t="s">
        <v>1244</v>
      </c>
      <c r="K17" s="432" t="s">
        <v>1228</v>
      </c>
      <c r="L17" s="433" t="s">
        <v>1245</v>
      </c>
      <c r="M17" s="399">
        <f>+F40+F41</f>
        <v>3.87</v>
      </c>
      <c r="O17" s="399">
        <f t="shared" ref="O17:AA17" si="31">+AE40+AE41</f>
        <v>2705.6487388743917</v>
      </c>
      <c r="P17" s="399">
        <f t="shared" si="31"/>
        <v>1918.6806659888607</v>
      </c>
      <c r="Q17" s="399">
        <f t="shared" si="31"/>
        <v>1394.035284065154</v>
      </c>
      <c r="R17" s="399">
        <f t="shared" si="31"/>
        <v>869.38990214144724</v>
      </c>
      <c r="S17" s="399">
        <f t="shared" si="31"/>
        <v>212.52948060442577</v>
      </c>
      <c r="T17" s="399">
        <f t="shared" si="31"/>
        <v>162.45225156654487</v>
      </c>
      <c r="U17" s="399">
        <f t="shared" si="31"/>
        <v>129.06743220795761</v>
      </c>
      <c r="V17" s="399">
        <f t="shared" si="31"/>
        <v>95.682612849370344</v>
      </c>
      <c r="W17" s="399">
        <f t="shared" si="31"/>
        <v>45.605383811489446</v>
      </c>
      <c r="X17" s="399">
        <f t="shared" si="31"/>
        <v>0</v>
      </c>
      <c r="Y17" s="468">
        <f t="shared" si="31"/>
        <v>0</v>
      </c>
      <c r="Z17" s="468">
        <f t="shared" si="31"/>
        <v>0</v>
      </c>
      <c r="AA17" s="468">
        <f t="shared" si="31"/>
        <v>0</v>
      </c>
      <c r="AB17" s="468">
        <f t="shared" si="1"/>
        <v>-76.043176952103508</v>
      </c>
      <c r="AC17" s="469">
        <f t="shared" ref="AC17:AK17" si="32">+O17*$T$2*365/1000</f>
        <v>5.6291022012281715</v>
      </c>
      <c r="AD17" s="469">
        <f t="shared" si="32"/>
        <v>3.9918151255898247</v>
      </c>
      <c r="AE17" s="469">
        <f t="shared" si="32"/>
        <v>2.9002904084975532</v>
      </c>
      <c r="AF17" s="469">
        <f t="shared" si="32"/>
        <v>1.8087656914052812</v>
      </c>
      <c r="AG17" s="469">
        <f t="shared" si="32"/>
        <v>0.44216758439750781</v>
      </c>
      <c r="AH17" s="469">
        <f t="shared" si="32"/>
        <v>0.33798190938419664</v>
      </c>
      <c r="AI17" s="469">
        <f t="shared" si="32"/>
        <v>0.26852479270865581</v>
      </c>
      <c r="AJ17" s="469">
        <f t="shared" si="32"/>
        <v>0.19906767603311501</v>
      </c>
      <c r="AK17" s="469">
        <f t="shared" si="32"/>
        <v>9.4882001019803791E-2</v>
      </c>
      <c r="AL17" s="469"/>
      <c r="AM17" s="469"/>
      <c r="AN17" s="469"/>
      <c r="AO17" s="469"/>
      <c r="AP17" s="470">
        <f t="shared" si="3"/>
        <v>-0.27175577479231794</v>
      </c>
      <c r="AQ17" s="12" t="s">
        <v>1245</v>
      </c>
      <c r="BH17" s="293"/>
    </row>
    <row r="18" spans="1:61" x14ac:dyDescent="0.25">
      <c r="H18" s="431" t="s">
        <v>1221</v>
      </c>
      <c r="I18" s="432" t="s">
        <v>1222</v>
      </c>
      <c r="J18" s="432" t="s">
        <v>1246</v>
      </c>
      <c r="K18" s="432" t="s">
        <v>1247</v>
      </c>
      <c r="L18" s="433" t="s">
        <v>1246</v>
      </c>
      <c r="M18" s="399">
        <f>+F64</f>
        <v>7.3</v>
      </c>
      <c r="O18" s="399">
        <f t="shared" ref="O18:AA18" si="33">+AE64</f>
        <v>1859.7386897289543</v>
      </c>
      <c r="P18" s="399">
        <f t="shared" si="33"/>
        <v>1643.1394429720822</v>
      </c>
      <c r="Q18" s="399">
        <f t="shared" si="33"/>
        <v>1498.7399451341771</v>
      </c>
      <c r="R18" s="399">
        <f t="shared" si="33"/>
        <v>1354.3404472962429</v>
      </c>
      <c r="S18" s="399">
        <f t="shared" si="33"/>
        <v>1137.7412005393999</v>
      </c>
      <c r="T18" s="399">
        <f t="shared" si="33"/>
        <v>921.14195378252771</v>
      </c>
      <c r="U18" s="399">
        <f t="shared" si="33"/>
        <v>776.74245594459353</v>
      </c>
      <c r="V18" s="399">
        <f t="shared" si="33"/>
        <v>632.34295810668846</v>
      </c>
      <c r="W18" s="399">
        <f t="shared" si="33"/>
        <v>415.74371134981629</v>
      </c>
      <c r="X18" s="399">
        <f t="shared" si="33"/>
        <v>199.14446459294413</v>
      </c>
      <c r="Y18" s="468">
        <f t="shared" si="33"/>
        <v>0</v>
      </c>
      <c r="Z18" s="468">
        <f t="shared" si="33"/>
        <v>0</v>
      </c>
      <c r="AA18" s="468">
        <f t="shared" si="33"/>
        <v>0</v>
      </c>
      <c r="AB18" s="468">
        <f t="shared" si="1"/>
        <v>-67.642621362871054</v>
      </c>
      <c r="AC18" s="469">
        <f t="shared" ref="AC18:AL18" si="34">+O18*$T$2*365/1000</f>
        <v>3.8691863439810894</v>
      </c>
      <c r="AD18" s="469">
        <f t="shared" si="34"/>
        <v>3.4185516111034171</v>
      </c>
      <c r="AE18" s="469">
        <f t="shared" si="34"/>
        <v>3.1181284558516555</v>
      </c>
      <c r="AF18" s="469">
        <f t="shared" si="34"/>
        <v>2.8177053005998336</v>
      </c>
      <c r="AG18" s="469">
        <f t="shared" si="34"/>
        <v>2.3670705677222217</v>
      </c>
      <c r="AH18" s="469">
        <f t="shared" si="34"/>
        <v>1.9164358348445492</v>
      </c>
      <c r="AI18" s="469">
        <f t="shared" si="34"/>
        <v>1.616012679592727</v>
      </c>
      <c r="AJ18" s="469">
        <f t="shared" si="34"/>
        <v>1.3155895243409652</v>
      </c>
      <c r="AK18" s="469">
        <f t="shared" si="34"/>
        <v>0.86495479146329268</v>
      </c>
      <c r="AL18" s="469">
        <f t="shared" si="34"/>
        <v>0.41432005858562032</v>
      </c>
      <c r="AM18" s="469"/>
      <c r="AN18" s="469"/>
      <c r="AO18" s="469"/>
      <c r="AP18" s="470">
        <f t="shared" si="3"/>
        <v>-0.15021157762588988</v>
      </c>
      <c r="AQ18" s="12" t="s">
        <v>1246</v>
      </c>
      <c r="BI18" s="485"/>
    </row>
    <row r="19" spans="1:61" x14ac:dyDescent="0.25">
      <c r="H19" s="431" t="s">
        <v>1221</v>
      </c>
      <c r="I19" s="432" t="s">
        <v>1222</v>
      </c>
      <c r="J19" s="432" t="s">
        <v>1248</v>
      </c>
      <c r="K19" s="432" t="s">
        <v>1249</v>
      </c>
      <c r="L19" s="433" t="s">
        <v>1250</v>
      </c>
      <c r="M19" s="399">
        <f>+F44+F43</f>
        <v>30.656206108938417</v>
      </c>
      <c r="O19" s="399">
        <f t="shared" ref="O19:AA19" si="35">+AE44+AE43</f>
        <v>11630.082572906918</v>
      </c>
      <c r="P19" s="399">
        <f t="shared" si="35"/>
        <v>9640.5228169767361</v>
      </c>
      <c r="Q19" s="399">
        <f t="shared" si="35"/>
        <v>8314.1496463567019</v>
      </c>
      <c r="R19" s="399">
        <f t="shared" si="35"/>
        <v>6987.7764757366676</v>
      </c>
      <c r="S19" s="399">
        <f t="shared" si="35"/>
        <v>4998.2167198064853</v>
      </c>
      <c r="T19" s="399">
        <f t="shared" si="35"/>
        <v>3008.6569638763322</v>
      </c>
      <c r="U19" s="399">
        <f t="shared" si="35"/>
        <v>882.392134489608</v>
      </c>
      <c r="V19" s="399">
        <f t="shared" si="35"/>
        <v>749.16429738342413</v>
      </c>
      <c r="W19" s="399">
        <f t="shared" si="35"/>
        <v>549.32254172416287</v>
      </c>
      <c r="X19" s="399">
        <f t="shared" si="35"/>
        <v>349.48078606487252</v>
      </c>
      <c r="Y19" s="468">
        <f t="shared" si="35"/>
        <v>216.25294895868865</v>
      </c>
      <c r="Z19" s="468">
        <f t="shared" si="35"/>
        <v>83.025111852504779</v>
      </c>
      <c r="AA19" s="468">
        <f t="shared" si="35"/>
        <v>0</v>
      </c>
      <c r="AB19" s="468">
        <f t="shared" si="1"/>
        <v>-400.346974884205</v>
      </c>
      <c r="AC19" s="469">
        <f t="shared" ref="AC19:AN19" si="36">+O19*$T$2*365/1000</f>
        <v>24.196386792932845</v>
      </c>
      <c r="AD19" s="469">
        <f t="shared" si="36"/>
        <v>20.057107720720101</v>
      </c>
      <c r="AE19" s="469">
        <f t="shared" si="36"/>
        <v>17.297588339245117</v>
      </c>
      <c r="AF19" s="469">
        <f t="shared" si="36"/>
        <v>14.538068957770138</v>
      </c>
      <c r="AG19" s="469">
        <f t="shared" si="36"/>
        <v>10.398789885557393</v>
      </c>
      <c r="AH19" s="469">
        <f t="shared" si="36"/>
        <v>6.2595108133447104</v>
      </c>
      <c r="AI19" s="469">
        <f t="shared" si="36"/>
        <v>1.8358168358056295</v>
      </c>
      <c r="AJ19" s="469">
        <f t="shared" si="36"/>
        <v>1.5586363207062142</v>
      </c>
      <c r="AK19" s="469">
        <f t="shared" si="36"/>
        <v>1.1428655480571208</v>
      </c>
      <c r="AL19" s="469">
        <f t="shared" si="36"/>
        <v>0.7270947754079673</v>
      </c>
      <c r="AM19" s="469">
        <f t="shared" si="36"/>
        <v>0.44991426030855169</v>
      </c>
      <c r="AN19" s="469">
        <f t="shared" si="36"/>
        <v>0.1727337452091362</v>
      </c>
      <c r="AO19" s="469"/>
      <c r="AP19" s="470">
        <f t="shared" si="3"/>
        <v>-0.92350020111029185</v>
      </c>
      <c r="AQ19" s="12" t="s">
        <v>1250</v>
      </c>
    </row>
    <row r="20" spans="1:61" x14ac:dyDescent="0.25">
      <c r="H20" s="431" t="s">
        <v>1221</v>
      </c>
      <c r="I20" s="432" t="s">
        <v>1222</v>
      </c>
      <c r="J20" s="432" t="s">
        <v>1251</v>
      </c>
      <c r="K20" s="432" t="s">
        <v>1249</v>
      </c>
      <c r="L20" s="433" t="s">
        <v>1252</v>
      </c>
      <c r="M20" s="399">
        <f>+F69</f>
        <v>5.59</v>
      </c>
      <c r="O20" s="399">
        <f t="shared" ref="O20:AA20" si="37">+AE69</f>
        <v>1493.6552899376111</v>
      </c>
      <c r="P20" s="399">
        <f t="shared" si="37"/>
        <v>1319.8699844136281</v>
      </c>
      <c r="Q20" s="399">
        <f t="shared" si="37"/>
        <v>1204.0131140643207</v>
      </c>
      <c r="R20" s="399">
        <f t="shared" si="37"/>
        <v>1088.1562437149987</v>
      </c>
      <c r="S20" s="399">
        <f t="shared" si="37"/>
        <v>914.37093819101574</v>
      </c>
      <c r="T20" s="399">
        <f t="shared" si="37"/>
        <v>740.58563266703277</v>
      </c>
      <c r="U20" s="399">
        <f t="shared" si="37"/>
        <v>624.72876231772534</v>
      </c>
      <c r="V20" s="399">
        <f t="shared" si="37"/>
        <v>508.87189196840336</v>
      </c>
      <c r="W20" s="399">
        <f t="shared" si="37"/>
        <v>335.08658644442039</v>
      </c>
      <c r="X20" s="399">
        <f t="shared" si="37"/>
        <v>161.30128092043742</v>
      </c>
      <c r="Y20" s="468">
        <f t="shared" si="37"/>
        <v>45.444410571129993</v>
      </c>
      <c r="Z20" s="468">
        <f t="shared" si="37"/>
        <v>0</v>
      </c>
      <c r="AA20" s="468">
        <f t="shared" si="37"/>
        <v>0</v>
      </c>
      <c r="AB20" s="468">
        <f t="shared" si="1"/>
        <v>-53.917833753955819</v>
      </c>
      <c r="AC20" s="469">
        <f t="shared" ref="AC20:AM20" si="38">+O20*$T$2*365/1000</f>
        <v>3.1075498307151999</v>
      </c>
      <c r="AD20" s="469">
        <f t="shared" si="38"/>
        <v>2.7459895025725531</v>
      </c>
      <c r="AE20" s="469">
        <f t="shared" si="38"/>
        <v>2.5049492838108196</v>
      </c>
      <c r="AF20" s="469">
        <f t="shared" si="38"/>
        <v>2.263909065049055</v>
      </c>
      <c r="AG20" s="469">
        <f t="shared" si="38"/>
        <v>1.9023487369064083</v>
      </c>
      <c r="AH20" s="469">
        <f t="shared" si="38"/>
        <v>1.5407884087637616</v>
      </c>
      <c r="AI20" s="469">
        <f t="shared" si="38"/>
        <v>1.2997481900020276</v>
      </c>
      <c r="AJ20" s="469">
        <f t="shared" si="38"/>
        <v>1.0587079712402634</v>
      </c>
      <c r="AK20" s="469">
        <f t="shared" si="38"/>
        <v>0.69714764309761668</v>
      </c>
      <c r="AL20" s="469">
        <f t="shared" si="38"/>
        <v>0.33558731495497007</v>
      </c>
      <c r="AM20" s="469">
        <f t="shared" si="38"/>
        <v>9.4547096193235938E-2</v>
      </c>
      <c r="AN20" s="469"/>
      <c r="AO20" s="469"/>
      <c r="AP20" s="470">
        <f t="shared" si="3"/>
        <v>-0.12052010938087906</v>
      </c>
      <c r="AQ20" s="12" t="s">
        <v>1252</v>
      </c>
    </row>
    <row r="21" spans="1:61" ht="15.75" customHeight="1" x14ac:dyDescent="0.25">
      <c r="H21" s="431" t="s">
        <v>1221</v>
      </c>
      <c r="I21" s="432" t="s">
        <v>1222</v>
      </c>
      <c r="J21" s="432" t="s">
        <v>1253</v>
      </c>
      <c r="K21" s="432" t="s">
        <v>1249</v>
      </c>
      <c r="L21" s="433" t="s">
        <v>1254</v>
      </c>
      <c r="M21" s="399">
        <f>+F71</f>
        <v>84.047997756260287</v>
      </c>
      <c r="O21" s="399">
        <f t="shared" ref="O21:AA21" si="39">+AE71</f>
        <v>17779.047619047575</v>
      </c>
      <c r="P21" s="399">
        <f t="shared" si="39"/>
        <v>16016.761904761894</v>
      </c>
      <c r="Q21" s="399">
        <f t="shared" si="39"/>
        <v>14841.904761904618</v>
      </c>
      <c r="R21" s="399">
        <f t="shared" si="39"/>
        <v>13667.047619047575</v>
      </c>
      <c r="S21" s="399">
        <f t="shared" si="39"/>
        <v>11904.761904761894</v>
      </c>
      <c r="T21" s="399">
        <f t="shared" si="39"/>
        <v>10142.476190476213</v>
      </c>
      <c r="U21" s="399">
        <f t="shared" si="39"/>
        <v>8967.6190476189367</v>
      </c>
      <c r="V21" s="399">
        <f t="shared" si="39"/>
        <v>7792.7619047618937</v>
      </c>
      <c r="W21" s="399">
        <f t="shared" si="39"/>
        <v>6030.4761904762127</v>
      </c>
      <c r="X21" s="399">
        <f t="shared" si="39"/>
        <v>4268.1904761905316</v>
      </c>
      <c r="Y21" s="468">
        <f t="shared" si="39"/>
        <v>3093.3333333332557</v>
      </c>
      <c r="Z21" s="468">
        <f t="shared" si="39"/>
        <v>1918.4761904762127</v>
      </c>
      <c r="AA21" s="468">
        <f t="shared" si="39"/>
        <v>156.19047619053163</v>
      </c>
      <c r="AB21" s="468">
        <f t="shared" si="1"/>
        <v>-587.42857142856838</v>
      </c>
      <c r="AC21" s="469">
        <f t="shared" ref="AC21:AO21" si="40">+O21*$T$2*365/1000</f>
        <v>36.989308571428481</v>
      </c>
      <c r="AD21" s="469">
        <f t="shared" si="40"/>
        <v>33.322873142857119</v>
      </c>
      <c r="AE21" s="469">
        <f t="shared" si="40"/>
        <v>30.878582857142554</v>
      </c>
      <c r="AF21" s="469">
        <f t="shared" si="40"/>
        <v>28.434292571428479</v>
      </c>
      <c r="AG21" s="469">
        <f t="shared" si="40"/>
        <v>24.767857142857121</v>
      </c>
      <c r="AH21" s="469">
        <f t="shared" si="40"/>
        <v>21.10142171428576</v>
      </c>
      <c r="AI21" s="469">
        <f t="shared" si="40"/>
        <v>18.657131428571201</v>
      </c>
      <c r="AJ21" s="469">
        <f t="shared" si="40"/>
        <v>16.212841142857119</v>
      </c>
      <c r="AK21" s="469">
        <f t="shared" si="40"/>
        <v>12.546405714285759</v>
      </c>
      <c r="AL21" s="469">
        <f t="shared" si="40"/>
        <v>8.8799702857144016</v>
      </c>
      <c r="AM21" s="469">
        <f t="shared" si="40"/>
        <v>6.435679999999838</v>
      </c>
      <c r="AN21" s="469">
        <f t="shared" si="40"/>
        <v>3.9913897142857606</v>
      </c>
      <c r="AO21" s="469">
        <f t="shared" si="40"/>
        <v>0.32495428571440105</v>
      </c>
      <c r="AP21" s="470">
        <f t="shared" si="3"/>
        <v>-1.2221451428571364</v>
      </c>
      <c r="AQ21" s="12" t="s">
        <v>1254</v>
      </c>
    </row>
    <row r="22" spans="1:61" ht="15.75" customHeight="1" x14ac:dyDescent="0.25">
      <c r="H22" s="431" t="s">
        <v>1221</v>
      </c>
      <c r="I22" s="432" t="s">
        <v>1222</v>
      </c>
      <c r="J22" s="432" t="s">
        <v>1255</v>
      </c>
      <c r="K22" s="432" t="s">
        <v>1249</v>
      </c>
      <c r="L22" s="433" t="s">
        <v>1256</v>
      </c>
      <c r="M22" s="399">
        <f>+F63+F62</f>
        <v>58.34</v>
      </c>
      <c r="O22" s="399">
        <f t="shared" ref="O22:AA22" si="41">+AE63+AE62</f>
        <v>28319.723846840905</v>
      </c>
      <c r="P22" s="399">
        <f t="shared" si="41"/>
        <v>23499.695635298383</v>
      </c>
      <c r="Q22" s="399">
        <f t="shared" si="41"/>
        <v>20286.34349427023</v>
      </c>
      <c r="R22" s="399">
        <f t="shared" si="41"/>
        <v>17072.991353242192</v>
      </c>
      <c r="S22" s="399">
        <f t="shared" si="41"/>
        <v>12252.963141699671</v>
      </c>
      <c r="T22" s="399">
        <f t="shared" si="41"/>
        <v>7432.9349301574985</v>
      </c>
      <c r="U22" s="399">
        <f t="shared" si="41"/>
        <v>4219.5827891294612</v>
      </c>
      <c r="V22" s="399">
        <f t="shared" si="41"/>
        <v>1006.2306481009582</v>
      </c>
      <c r="W22" s="399">
        <f t="shared" si="41"/>
        <v>0</v>
      </c>
      <c r="X22" s="399">
        <f t="shared" si="41"/>
        <v>0</v>
      </c>
      <c r="Y22" s="468">
        <f t="shared" si="41"/>
        <v>0</v>
      </c>
      <c r="Z22" s="468">
        <f t="shared" si="41"/>
        <v>0</v>
      </c>
      <c r="AA22" s="468">
        <f t="shared" si="41"/>
        <v>0</v>
      </c>
      <c r="AB22" s="468">
        <f t="shared" si="1"/>
        <v>-996.7596044194355</v>
      </c>
      <c r="AC22" s="469">
        <f t="shared" ref="AC22:AJ22" si="42">+O22*$T$2*365/1000</f>
        <v>58.919185463352498</v>
      </c>
      <c r="AD22" s="469">
        <f t="shared" si="42"/>
        <v>48.891116769238288</v>
      </c>
      <c r="AE22" s="469">
        <f t="shared" si="42"/>
        <v>42.205737639829209</v>
      </c>
      <c r="AF22" s="469">
        <f t="shared" si="42"/>
        <v>35.520358510420387</v>
      </c>
      <c r="AG22" s="469">
        <f t="shared" si="42"/>
        <v>25.492289816306165</v>
      </c>
      <c r="AH22" s="469">
        <f t="shared" si="42"/>
        <v>15.464221122192678</v>
      </c>
      <c r="AI22" s="469">
        <f t="shared" si="42"/>
        <v>8.7788419927838444</v>
      </c>
      <c r="AJ22" s="469">
        <f t="shared" si="42"/>
        <v>2.0934628633740435</v>
      </c>
      <c r="AK22" s="469"/>
      <c r="AL22" s="469"/>
      <c r="AM22" s="469"/>
      <c r="AN22" s="469"/>
      <c r="AO22" s="469"/>
      <c r="AP22" s="470">
        <f t="shared" si="3"/>
        <v>-3.3426895647045884</v>
      </c>
      <c r="AQ22" s="12" t="s">
        <v>1256</v>
      </c>
    </row>
    <row r="23" spans="1:61" ht="15.75" customHeight="1" x14ac:dyDescent="0.25">
      <c r="H23" s="431" t="s">
        <v>1221</v>
      </c>
      <c r="I23" s="432" t="s">
        <v>1222</v>
      </c>
      <c r="J23" s="432" t="s">
        <v>1257</v>
      </c>
      <c r="K23" s="432" t="s">
        <v>1258</v>
      </c>
      <c r="L23" s="433" t="s">
        <v>1259</v>
      </c>
      <c r="M23" s="399">
        <f>+F56+F57+F58</f>
        <v>11.225912562946453</v>
      </c>
      <c r="O23" s="399">
        <f t="shared" ref="O23:AA23" si="43">+AE56+AE57+AE58</f>
        <v>3968.89577214374</v>
      </c>
      <c r="P23" s="399">
        <f t="shared" si="43"/>
        <v>3300.834962928031</v>
      </c>
      <c r="Q23" s="399">
        <f t="shared" si="43"/>
        <v>2855.4610901176165</v>
      </c>
      <c r="R23" s="399">
        <f t="shared" si="43"/>
        <v>2410.0872173071148</v>
      </c>
      <c r="S23" s="399">
        <f t="shared" si="43"/>
        <v>1742.026408091464</v>
      </c>
      <c r="T23" s="399">
        <f t="shared" si="43"/>
        <v>1169.8104944504848</v>
      </c>
      <c r="U23" s="399">
        <f t="shared" si="43"/>
        <v>855.62911470271138</v>
      </c>
      <c r="V23" s="399">
        <f t="shared" si="43"/>
        <v>541.44773495493791</v>
      </c>
      <c r="W23" s="399">
        <f t="shared" si="43"/>
        <v>88.197440591869963</v>
      </c>
      <c r="X23" s="399">
        <f t="shared" si="43"/>
        <v>46.642343160281598</v>
      </c>
      <c r="Y23" s="468">
        <f t="shared" si="43"/>
        <v>18.938944872556021</v>
      </c>
      <c r="Z23" s="468">
        <f t="shared" si="43"/>
        <v>0</v>
      </c>
      <c r="AA23" s="468">
        <f t="shared" si="43"/>
        <v>0</v>
      </c>
      <c r="AB23" s="468">
        <f t="shared" si="1"/>
        <v>-138.73852930552206</v>
      </c>
      <c r="AC23" s="469">
        <f t="shared" ref="AC23:AL23" si="44">+O23*$T$2*365/1000</f>
        <v>8.2572876539450526</v>
      </c>
      <c r="AD23" s="469">
        <f t="shared" si="44"/>
        <v>6.8673871403717692</v>
      </c>
      <c r="AE23" s="469">
        <f t="shared" si="44"/>
        <v>5.9407867979897011</v>
      </c>
      <c r="AF23" s="469">
        <f t="shared" si="44"/>
        <v>5.0141864556074527</v>
      </c>
      <c r="AG23" s="469">
        <f t="shared" si="44"/>
        <v>3.6242859420342906</v>
      </c>
      <c r="AH23" s="469">
        <f t="shared" si="44"/>
        <v>2.4337907337042339</v>
      </c>
      <c r="AI23" s="469">
        <f t="shared" si="44"/>
        <v>1.780136373138991</v>
      </c>
      <c r="AJ23" s="469">
        <f t="shared" si="44"/>
        <v>1.1264820125737482</v>
      </c>
      <c r="AK23" s="469">
        <f t="shared" si="44"/>
        <v>0.18349477515138546</v>
      </c>
      <c r="AL23" s="469">
        <f t="shared" si="44"/>
        <v>9.7039394944965857E-2</v>
      </c>
      <c r="AM23" s="469"/>
      <c r="AN23" s="469"/>
      <c r="AO23" s="469"/>
      <c r="AP23" s="470">
        <f t="shared" si="3"/>
        <v>-0.37469510191372613</v>
      </c>
      <c r="AQ23" s="12" t="s">
        <v>1259</v>
      </c>
    </row>
    <row r="24" spans="1:61" ht="15.75" customHeight="1" x14ac:dyDescent="0.25">
      <c r="H24" s="431" t="s">
        <v>1221</v>
      </c>
      <c r="I24" s="432" t="s">
        <v>1222</v>
      </c>
      <c r="J24" s="432" t="s">
        <v>1260</v>
      </c>
      <c r="K24" s="432" t="s">
        <v>1258</v>
      </c>
      <c r="L24" s="433" t="s">
        <v>1261</v>
      </c>
      <c r="M24" s="399">
        <f>+F68</f>
        <v>20.053293235445725</v>
      </c>
      <c r="O24" s="399">
        <f t="shared" ref="O24:AA24" si="45">+AE68</f>
        <v>3699.072721168428</v>
      </c>
      <c r="P24" s="399">
        <f t="shared" si="45"/>
        <v>3390.493496084353</v>
      </c>
      <c r="Q24" s="399">
        <f t="shared" si="45"/>
        <v>3184.7740126949793</v>
      </c>
      <c r="R24" s="399">
        <f t="shared" si="45"/>
        <v>2979.0545293056057</v>
      </c>
      <c r="S24" s="399">
        <f t="shared" si="45"/>
        <v>2670.4753042215307</v>
      </c>
      <c r="T24" s="399">
        <f t="shared" si="45"/>
        <v>2361.8960791374557</v>
      </c>
      <c r="U24" s="399">
        <f t="shared" si="45"/>
        <v>2156.1765957480529</v>
      </c>
      <c r="V24" s="399">
        <f t="shared" si="45"/>
        <v>1950.4571123586793</v>
      </c>
      <c r="W24" s="399">
        <f t="shared" si="45"/>
        <v>1641.8778872746043</v>
      </c>
      <c r="X24" s="399">
        <f t="shared" si="45"/>
        <v>1333.2986621905293</v>
      </c>
      <c r="Y24" s="468">
        <f t="shared" si="45"/>
        <v>1127.5791788011556</v>
      </c>
      <c r="Z24" s="468">
        <f t="shared" si="45"/>
        <v>921.85969541178201</v>
      </c>
      <c r="AA24" s="468">
        <f t="shared" si="45"/>
        <v>613.28047032770701</v>
      </c>
      <c r="AB24" s="468">
        <f t="shared" si="1"/>
        <v>-102.85974169469101</v>
      </c>
      <c r="AC24" s="469">
        <f t="shared" ref="AC24:AO24" si="46">+O24*$T$2*365/1000</f>
        <v>7.6959207963909142</v>
      </c>
      <c r="AD24" s="469">
        <f t="shared" si="46"/>
        <v>7.0539217186034957</v>
      </c>
      <c r="AE24" s="469">
        <f t="shared" si="46"/>
        <v>6.6259223334119044</v>
      </c>
      <c r="AF24" s="469">
        <f t="shared" si="46"/>
        <v>6.1979229482203131</v>
      </c>
      <c r="AG24" s="469">
        <f t="shared" si="46"/>
        <v>5.5559238704328946</v>
      </c>
      <c r="AH24" s="469">
        <f t="shared" si="46"/>
        <v>4.9139247926454761</v>
      </c>
      <c r="AI24" s="469">
        <f t="shared" si="46"/>
        <v>4.4859254074538235</v>
      </c>
      <c r="AJ24" s="469">
        <f t="shared" si="46"/>
        <v>4.0579260222622322</v>
      </c>
      <c r="AK24" s="469">
        <f t="shared" si="46"/>
        <v>3.4159269444748142</v>
      </c>
      <c r="AL24" s="469">
        <f t="shared" si="46"/>
        <v>2.7739278666873961</v>
      </c>
      <c r="AM24" s="469">
        <f t="shared" si="46"/>
        <v>2.3459284814958048</v>
      </c>
      <c r="AN24" s="469">
        <f t="shared" si="46"/>
        <v>1.9179290963042124</v>
      </c>
      <c r="AO24" s="469">
        <f t="shared" si="46"/>
        <v>1.2759300185167946</v>
      </c>
      <c r="AP24" s="470">
        <f t="shared" si="3"/>
        <v>-0.21399969259580465</v>
      </c>
      <c r="AQ24" s="12" t="s">
        <v>1261</v>
      </c>
    </row>
    <row r="25" spans="1:61" ht="15.75" customHeight="1" x14ac:dyDescent="0.25">
      <c r="H25" s="431" t="s">
        <v>1221</v>
      </c>
      <c r="I25" s="432" t="s">
        <v>1222</v>
      </c>
      <c r="J25" s="432" t="s">
        <v>1262</v>
      </c>
      <c r="K25" s="432" t="s">
        <v>1258</v>
      </c>
      <c r="L25" s="438" t="s">
        <v>1263</v>
      </c>
      <c r="M25" s="399">
        <f>+F70</f>
        <v>15.033100775988247</v>
      </c>
      <c r="O25" s="399">
        <f t="shared" ref="O25:AA25" si="47">+AE70</f>
        <v>3264.6760276460845</v>
      </c>
      <c r="P25" s="399">
        <f t="shared" si="47"/>
        <v>2941.5687525040703</v>
      </c>
      <c r="Q25" s="399">
        <f t="shared" si="47"/>
        <v>2726.1639024094038</v>
      </c>
      <c r="R25" s="399">
        <f t="shared" si="47"/>
        <v>2510.7590523147373</v>
      </c>
      <c r="S25" s="399">
        <f t="shared" si="47"/>
        <v>2187.6517771727231</v>
      </c>
      <c r="T25" s="399">
        <f t="shared" si="47"/>
        <v>1864.5445020307088</v>
      </c>
      <c r="U25" s="399">
        <f t="shared" si="47"/>
        <v>1649.1396519360424</v>
      </c>
      <c r="V25" s="399">
        <f t="shared" si="47"/>
        <v>1433.7348018413759</v>
      </c>
      <c r="W25" s="399">
        <f t="shared" si="47"/>
        <v>1110.6275266993616</v>
      </c>
      <c r="X25" s="399">
        <f t="shared" si="47"/>
        <v>787.52025155734736</v>
      </c>
      <c r="Y25" s="468">
        <f t="shared" si="47"/>
        <v>572.11540146268089</v>
      </c>
      <c r="Z25" s="468">
        <f t="shared" si="47"/>
        <v>356.71055136801442</v>
      </c>
      <c r="AA25" s="468">
        <f t="shared" si="47"/>
        <v>33.603276226000162</v>
      </c>
      <c r="AB25" s="468">
        <f t="shared" si="1"/>
        <v>-107.70242504733608</v>
      </c>
      <c r="AC25" s="469">
        <f t="shared" ref="AC25:AO25" si="48">+O25*$T$2*365/1000</f>
        <v>6.7921584755176792</v>
      </c>
      <c r="AD25" s="469">
        <f t="shared" si="48"/>
        <v>6.1199337895847181</v>
      </c>
      <c r="AE25" s="469">
        <f t="shared" si="48"/>
        <v>5.6717839989627645</v>
      </c>
      <c r="AF25" s="469">
        <f t="shared" si="48"/>
        <v>5.2236342083408118</v>
      </c>
      <c r="AG25" s="469">
        <f t="shared" si="48"/>
        <v>4.5514095224078499</v>
      </c>
      <c r="AH25" s="469">
        <f t="shared" si="48"/>
        <v>3.8791848364748893</v>
      </c>
      <c r="AI25" s="469">
        <f t="shared" si="48"/>
        <v>3.4310350458529362</v>
      </c>
      <c r="AJ25" s="469">
        <f t="shared" si="48"/>
        <v>2.9828852552309821</v>
      </c>
      <c r="AK25" s="469">
        <f t="shared" si="48"/>
        <v>2.310660569298022</v>
      </c>
      <c r="AL25" s="469">
        <f t="shared" si="48"/>
        <v>1.638435883365061</v>
      </c>
      <c r="AM25" s="469">
        <f t="shared" si="48"/>
        <v>1.1902860927431076</v>
      </c>
      <c r="AN25" s="469">
        <f t="shared" si="48"/>
        <v>0.742136302121154</v>
      </c>
      <c r="AO25" s="469">
        <f t="shared" si="48"/>
        <v>6.9911616188193332E-2</v>
      </c>
      <c r="AP25" s="470">
        <f t="shared" si="3"/>
        <v>-0.22407489531098276</v>
      </c>
      <c r="AQ25" s="12" t="s">
        <v>1263</v>
      </c>
    </row>
    <row r="26" spans="1:61" ht="15.75" customHeight="1" x14ac:dyDescent="0.25">
      <c r="A26" s="445"/>
      <c r="B26" s="445"/>
      <c r="C26" s="445"/>
      <c r="D26" s="445"/>
      <c r="E26" s="445"/>
      <c r="F26" s="445"/>
      <c r="G26" s="445"/>
      <c r="H26" s="486"/>
      <c r="I26" s="487"/>
      <c r="J26" s="487"/>
      <c r="K26" s="487"/>
      <c r="L26" s="488" t="s">
        <v>1267</v>
      </c>
      <c r="M26" s="489">
        <f t="shared" ref="M26:M28" si="49">+F72</f>
        <v>2.9855592436974785</v>
      </c>
      <c r="N26" s="445"/>
      <c r="O26" s="489">
        <f t="shared" ref="O26:AA26" si="50">+AE72</f>
        <v>568.21101321884635</v>
      </c>
      <c r="P26" s="489">
        <f t="shared" si="50"/>
        <v>515.2067606703713</v>
      </c>
      <c r="Q26" s="489">
        <f t="shared" si="50"/>
        <v>479.87059230471641</v>
      </c>
      <c r="R26" s="489">
        <f t="shared" si="50"/>
        <v>444.5344239390688</v>
      </c>
      <c r="S26" s="489">
        <f t="shared" si="50"/>
        <v>391.53017139059375</v>
      </c>
      <c r="T26" s="489">
        <f t="shared" si="50"/>
        <v>338.52591884211142</v>
      </c>
      <c r="U26" s="489">
        <f t="shared" si="50"/>
        <v>303.18975047646381</v>
      </c>
      <c r="V26" s="489">
        <f t="shared" si="50"/>
        <v>267.85358211080893</v>
      </c>
      <c r="W26" s="489">
        <f t="shared" si="50"/>
        <v>214.84932956233388</v>
      </c>
      <c r="X26" s="489">
        <f t="shared" si="50"/>
        <v>161.84507701385883</v>
      </c>
      <c r="Y26" s="489">
        <f t="shared" si="50"/>
        <v>126.50890864820394</v>
      </c>
      <c r="Z26" s="489">
        <f t="shared" si="50"/>
        <v>91.172740282556333</v>
      </c>
      <c r="AA26" s="489">
        <f t="shared" si="50"/>
        <v>38.168487734074006</v>
      </c>
      <c r="AB26" s="468">
        <f t="shared" si="1"/>
        <v>-17.668084182825687</v>
      </c>
      <c r="AC26" s="469">
        <f t="shared" ref="AC26:AO26" si="51">+O26*$T$2*365/1000</f>
        <v>1.1821630130018097</v>
      </c>
      <c r="AD26" s="469">
        <f t="shared" si="51"/>
        <v>1.0718876655747076</v>
      </c>
      <c r="AE26" s="469">
        <f t="shared" si="51"/>
        <v>0.99837076728996244</v>
      </c>
      <c r="AF26" s="469">
        <f t="shared" si="51"/>
        <v>0.9248538690052327</v>
      </c>
      <c r="AG26" s="469">
        <f t="shared" si="51"/>
        <v>0.81457852157813038</v>
      </c>
      <c r="AH26" s="469">
        <f t="shared" si="51"/>
        <v>0.70430317415101285</v>
      </c>
      <c r="AI26" s="469">
        <f t="shared" si="51"/>
        <v>0.630786275866283</v>
      </c>
      <c r="AJ26" s="469">
        <f t="shared" si="51"/>
        <v>0.55726937758153805</v>
      </c>
      <c r="AK26" s="469">
        <f t="shared" si="51"/>
        <v>0.44699403015443562</v>
      </c>
      <c r="AL26" s="469">
        <f t="shared" si="51"/>
        <v>0.3367186827273333</v>
      </c>
      <c r="AM26" s="469">
        <f t="shared" si="51"/>
        <v>0.26320178444258829</v>
      </c>
      <c r="AN26" s="469">
        <f t="shared" si="51"/>
        <v>0.18968488615785845</v>
      </c>
      <c r="AO26" s="469">
        <f t="shared" si="51"/>
        <v>7.9409538730740983E-2</v>
      </c>
      <c r="AP26" s="470">
        <f t="shared" si="3"/>
        <v>-3.6758449142368844E-2</v>
      </c>
      <c r="AQ26" s="488" t="s">
        <v>1267</v>
      </c>
      <c r="AR26" s="445"/>
      <c r="AS26" s="445"/>
      <c r="AT26" s="445"/>
      <c r="AU26" s="445"/>
      <c r="AV26" s="445"/>
      <c r="AW26" s="445"/>
      <c r="AX26" s="445"/>
      <c r="AY26" s="445"/>
      <c r="AZ26" s="445"/>
      <c r="BA26" s="445"/>
      <c r="BB26" s="445"/>
      <c r="BC26" s="445"/>
      <c r="BD26" s="445"/>
      <c r="BE26" s="445"/>
      <c r="BF26" s="445"/>
      <c r="BG26" s="445"/>
      <c r="BH26" s="445"/>
      <c r="BI26" s="445"/>
    </row>
    <row r="27" spans="1:61" ht="15.75" customHeight="1" x14ac:dyDescent="0.25">
      <c r="A27" s="445"/>
      <c r="B27" s="445"/>
      <c r="C27" s="445"/>
      <c r="D27" s="445"/>
      <c r="E27" s="445"/>
      <c r="F27" s="445"/>
      <c r="G27" s="445"/>
      <c r="H27" s="486"/>
      <c r="I27" s="487"/>
      <c r="J27" s="487"/>
      <c r="K27" s="487"/>
      <c r="L27" s="488" t="s">
        <v>1270</v>
      </c>
      <c r="M27" s="489">
        <f t="shared" si="49"/>
        <v>3.99</v>
      </c>
      <c r="N27" s="445"/>
      <c r="O27" s="489">
        <f t="shared" ref="O27:AA27" si="52">+AE73</f>
        <v>932.35658264670928</v>
      </c>
      <c r="P27" s="489">
        <f t="shared" si="52"/>
        <v>827.09395482088439</v>
      </c>
      <c r="Q27" s="489">
        <f t="shared" si="52"/>
        <v>756.91886960367265</v>
      </c>
      <c r="R27" s="489">
        <f t="shared" si="52"/>
        <v>686.7437843864609</v>
      </c>
      <c r="S27" s="489">
        <f t="shared" si="52"/>
        <v>581.48115656065056</v>
      </c>
      <c r="T27" s="489">
        <f t="shared" si="52"/>
        <v>476.21852873482567</v>
      </c>
      <c r="U27" s="489">
        <f t="shared" si="52"/>
        <v>406.04344351761392</v>
      </c>
      <c r="V27" s="489">
        <f t="shared" si="52"/>
        <v>335.86835830040218</v>
      </c>
      <c r="W27" s="489">
        <f t="shared" si="52"/>
        <v>230.60573047459184</v>
      </c>
      <c r="X27" s="489">
        <f t="shared" si="52"/>
        <v>125.34310264876694</v>
      </c>
      <c r="Y27" s="489">
        <f t="shared" si="52"/>
        <v>55.168017431555199</v>
      </c>
      <c r="Z27" s="489">
        <f t="shared" si="52"/>
        <v>-15.007067785656545</v>
      </c>
      <c r="AA27" s="489">
        <f t="shared" si="52"/>
        <v>0</v>
      </c>
      <c r="AB27" s="468">
        <f t="shared" si="1"/>
        <v>-33.482519980338964</v>
      </c>
      <c r="AC27" s="469">
        <f t="shared" ref="AC27:AO27" si="53">+O27*$T$2*365/1000</f>
        <v>1.9397678701964789</v>
      </c>
      <c r="AD27" s="469">
        <f t="shared" si="53"/>
        <v>1.7207689730048501</v>
      </c>
      <c r="AE27" s="469">
        <f t="shared" si="53"/>
        <v>1.574769708210441</v>
      </c>
      <c r="AF27" s="469">
        <f t="shared" si="53"/>
        <v>1.428770443416032</v>
      </c>
      <c r="AG27" s="469">
        <f t="shared" si="53"/>
        <v>1.2097715462244334</v>
      </c>
      <c r="AH27" s="469">
        <f t="shared" si="53"/>
        <v>0.99077264903280482</v>
      </c>
      <c r="AI27" s="469">
        <f t="shared" si="53"/>
        <v>0.84477338423839576</v>
      </c>
      <c r="AJ27" s="469">
        <f t="shared" si="53"/>
        <v>0.69877411944398682</v>
      </c>
      <c r="AK27" s="469">
        <f t="shared" si="53"/>
        <v>0.47977522225238828</v>
      </c>
      <c r="AL27" s="469">
        <f t="shared" si="53"/>
        <v>0.26077632506075965</v>
      </c>
      <c r="AM27" s="469">
        <f t="shared" si="53"/>
        <v>0.11477706026635061</v>
      </c>
      <c r="AN27" s="469">
        <f t="shared" si="53"/>
        <v>-3.1222204528058441E-2</v>
      </c>
      <c r="AO27" s="469">
        <f t="shared" si="53"/>
        <v>0</v>
      </c>
      <c r="AP27" s="470">
        <f t="shared" si="3"/>
        <v>-6.9660382819095229E-2</v>
      </c>
      <c r="AQ27" s="488" t="s">
        <v>1270</v>
      </c>
      <c r="AR27" s="445"/>
      <c r="AS27" s="445"/>
      <c r="AT27" s="445"/>
      <c r="AU27" s="445"/>
      <c r="AV27" s="445"/>
      <c r="AW27" s="445"/>
      <c r="AX27" s="445"/>
      <c r="AY27" s="445"/>
      <c r="AZ27" s="445"/>
      <c r="BA27" s="445"/>
      <c r="BB27" s="445"/>
      <c r="BC27" s="445"/>
      <c r="BD27" s="445"/>
      <c r="BE27" s="445"/>
      <c r="BF27" s="445"/>
      <c r="BG27" s="445"/>
      <c r="BH27" s="445"/>
      <c r="BI27" s="445"/>
    </row>
    <row r="28" spans="1:61" ht="15.75" customHeight="1" x14ac:dyDescent="0.25">
      <c r="A28" s="445"/>
      <c r="B28" s="445"/>
      <c r="C28" s="445"/>
      <c r="D28" s="445"/>
      <c r="E28" s="445"/>
      <c r="F28" s="445"/>
      <c r="G28" s="445"/>
      <c r="H28" s="486"/>
      <c r="I28" s="487"/>
      <c r="J28" s="487"/>
      <c r="K28" s="487"/>
      <c r="L28" s="488" t="s">
        <v>1271</v>
      </c>
      <c r="M28" s="489">
        <f t="shared" si="49"/>
        <v>18.809999999999999</v>
      </c>
      <c r="N28" s="445"/>
      <c r="O28" s="489">
        <f t="shared" ref="O28:AA28" si="54">+AE74</f>
        <v>4573.938629676355</v>
      </c>
      <c r="P28" s="489">
        <f t="shared" si="54"/>
        <v>4035.6031946195872</v>
      </c>
      <c r="Q28" s="489">
        <f t="shared" si="54"/>
        <v>3676.7129045817419</v>
      </c>
      <c r="R28" s="489">
        <f t="shared" si="54"/>
        <v>3317.8226145438966</v>
      </c>
      <c r="S28" s="489">
        <f t="shared" si="54"/>
        <v>2779.4871794871869</v>
      </c>
      <c r="T28" s="489">
        <f t="shared" si="54"/>
        <v>2241.1517444304191</v>
      </c>
      <c r="U28" s="489">
        <f t="shared" si="54"/>
        <v>1882.2614543925738</v>
      </c>
      <c r="V28" s="489">
        <f t="shared" si="54"/>
        <v>1523.3711643547867</v>
      </c>
      <c r="W28" s="489">
        <f t="shared" si="54"/>
        <v>985.03572929801885</v>
      </c>
      <c r="X28" s="489">
        <f t="shared" si="54"/>
        <v>0</v>
      </c>
      <c r="Y28" s="489">
        <f t="shared" si="54"/>
        <v>0</v>
      </c>
      <c r="Z28" s="489">
        <f t="shared" si="54"/>
        <v>0</v>
      </c>
      <c r="AA28" s="489">
        <f t="shared" si="54"/>
        <v>0</v>
      </c>
      <c r="AB28" s="468">
        <f t="shared" si="1"/>
        <v>-169.70982753900896</v>
      </c>
      <c r="AC28" s="469">
        <f t="shared" ref="AC28:AO28" si="55">+O28*$T$2*365/1000</f>
        <v>9.5160793190416566</v>
      </c>
      <c r="AD28" s="469">
        <f t="shared" si="55"/>
        <v>8.3960724464060519</v>
      </c>
      <c r="AE28" s="469">
        <f t="shared" si="55"/>
        <v>7.6494011979823142</v>
      </c>
      <c r="AF28" s="469">
        <f t="shared" si="55"/>
        <v>6.9027299495585765</v>
      </c>
      <c r="AG28" s="469">
        <f t="shared" si="55"/>
        <v>5.7827230769230926</v>
      </c>
      <c r="AH28" s="469">
        <f t="shared" si="55"/>
        <v>4.662716204287487</v>
      </c>
      <c r="AI28" s="469">
        <f t="shared" si="55"/>
        <v>3.9160449558637498</v>
      </c>
      <c r="AJ28" s="469">
        <f t="shared" si="55"/>
        <v>3.1693737074401338</v>
      </c>
      <c r="AK28" s="469">
        <f t="shared" si="55"/>
        <v>2.0493668348045282</v>
      </c>
      <c r="AL28" s="469">
        <f t="shared" si="55"/>
        <v>0</v>
      </c>
      <c r="AM28" s="469">
        <f t="shared" si="55"/>
        <v>0</v>
      </c>
      <c r="AN28" s="469">
        <f t="shared" si="55"/>
        <v>0</v>
      </c>
      <c r="AO28" s="469">
        <f t="shared" si="55"/>
        <v>0</v>
      </c>
      <c r="AP28" s="470">
        <f t="shared" si="3"/>
        <v>-0.35308129619490813</v>
      </c>
      <c r="AQ28" s="488" t="s">
        <v>1271</v>
      </c>
      <c r="AR28" s="445"/>
      <c r="AS28" s="445"/>
      <c r="AT28" s="445"/>
      <c r="AU28" s="445"/>
      <c r="AV28" s="445"/>
      <c r="AW28" s="445"/>
      <c r="AX28" s="445"/>
      <c r="AY28" s="445"/>
      <c r="AZ28" s="445"/>
      <c r="BA28" s="445"/>
      <c r="BB28" s="445"/>
      <c r="BC28" s="445"/>
      <c r="BD28" s="445"/>
      <c r="BE28" s="445"/>
      <c r="BF28" s="445"/>
      <c r="BG28" s="445"/>
      <c r="BH28" s="445"/>
      <c r="BI28" s="445"/>
    </row>
    <row r="29" spans="1:61" ht="15.75" customHeight="1" x14ac:dyDescent="0.25">
      <c r="L29" s="306"/>
      <c r="M29" s="306"/>
    </row>
    <row r="30" spans="1:61" ht="18" customHeight="1" x14ac:dyDescent="0.25">
      <c r="L30" s="306"/>
      <c r="M30" s="490">
        <f>+SUM(M6:M25)</f>
        <v>1690.7105163294189</v>
      </c>
      <c r="N30" s="12" t="s">
        <v>1325</v>
      </c>
      <c r="O30" s="231"/>
      <c r="AO30" s="205">
        <f>+SUM(AC6:AO25)-SUM(AC20:AO20)</f>
        <v>5175.9134734434429</v>
      </c>
    </row>
    <row r="31" spans="1:61" ht="15.75" customHeight="1" x14ac:dyDescent="0.25">
      <c r="L31" s="306"/>
      <c r="M31" s="306"/>
      <c r="O31" s="231"/>
    </row>
    <row r="32" spans="1:61" ht="15.75" customHeight="1" x14ac:dyDescent="0.25">
      <c r="L32" s="306"/>
      <c r="M32" s="306"/>
    </row>
    <row r="33" spans="1:43" ht="15.75" customHeight="1" x14ac:dyDescent="0.25">
      <c r="I33" s="12">
        <v>5800</v>
      </c>
      <c r="J33" s="12" t="s">
        <v>743</v>
      </c>
      <c r="L33" s="306"/>
      <c r="M33" s="306"/>
    </row>
    <row r="34" spans="1:43" ht="15.75" customHeight="1" x14ac:dyDescent="0.25">
      <c r="I34" s="491">
        <v>5800000</v>
      </c>
      <c r="J34" s="12" t="s">
        <v>651</v>
      </c>
      <c r="L34" s="306"/>
      <c r="M34" s="306"/>
    </row>
    <row r="35" spans="1:43" ht="15.75" customHeight="1" x14ac:dyDescent="0.25">
      <c r="I35" s="12">
        <v>5.7</v>
      </c>
      <c r="J35" s="12" t="s">
        <v>1332</v>
      </c>
      <c r="L35" s="306"/>
      <c r="M35" s="306"/>
    </row>
    <row r="36" spans="1:43" ht="15.75" customHeight="1" x14ac:dyDescent="0.25">
      <c r="I36" s="12">
        <v>1</v>
      </c>
      <c r="J36" s="12" t="s">
        <v>1333</v>
      </c>
      <c r="L36" s="306"/>
      <c r="M36" s="306"/>
    </row>
    <row r="37" spans="1:43" ht="15.75" customHeight="1" x14ac:dyDescent="0.25">
      <c r="D37" s="14" t="s">
        <v>1325</v>
      </c>
      <c r="E37" s="14" t="s">
        <v>1325</v>
      </c>
      <c r="L37" s="306"/>
      <c r="M37" s="492"/>
      <c r="N37" s="854" t="s">
        <v>1334</v>
      </c>
      <c r="O37" s="809"/>
      <c r="P37" s="809"/>
      <c r="Q37" s="809"/>
      <c r="R37" s="809"/>
      <c r="S37" s="809"/>
      <c r="T37" s="809"/>
      <c r="U37" s="809"/>
      <c r="V37" s="809"/>
      <c r="W37" s="810"/>
      <c r="X37" s="492"/>
      <c r="Y37" s="492"/>
      <c r="Z37" s="492"/>
      <c r="AE37" s="855" t="s">
        <v>1335</v>
      </c>
      <c r="AF37" s="809"/>
      <c r="AG37" s="809"/>
      <c r="AH37" s="809"/>
      <c r="AI37" s="809"/>
      <c r="AJ37" s="809"/>
      <c r="AK37" s="809"/>
      <c r="AL37" s="809"/>
      <c r="AM37" s="809"/>
      <c r="AN37" s="810"/>
      <c r="AO37" s="216"/>
      <c r="AP37" s="216"/>
      <c r="AQ37" s="216"/>
    </row>
    <row r="38" spans="1:43" ht="15.75" customHeight="1" x14ac:dyDescent="0.25">
      <c r="D38" s="12" t="s">
        <v>1336</v>
      </c>
      <c r="E38" s="493" t="str">
        <f>"-RR2050"</f>
        <v>-RR2050</v>
      </c>
      <c r="F38" s="446" t="s">
        <v>1337</v>
      </c>
      <c r="G38" s="446" t="s">
        <v>1338</v>
      </c>
      <c r="H38" s="446" t="s">
        <v>1339</v>
      </c>
      <c r="I38" s="446" t="s">
        <v>1340</v>
      </c>
      <c r="J38" s="446" t="s">
        <v>1341</v>
      </c>
      <c r="K38" s="446" t="s">
        <v>1342</v>
      </c>
      <c r="L38" s="494" t="s">
        <v>1343</v>
      </c>
      <c r="M38" s="495">
        <v>2019</v>
      </c>
      <c r="N38" s="496">
        <v>2020</v>
      </c>
      <c r="O38" s="497">
        <v>2023</v>
      </c>
      <c r="P38" s="497">
        <v>2025</v>
      </c>
      <c r="Q38" s="497">
        <v>2027</v>
      </c>
      <c r="R38" s="497">
        <v>2030</v>
      </c>
      <c r="S38" s="497">
        <v>2033</v>
      </c>
      <c r="T38" s="497">
        <v>2035</v>
      </c>
      <c r="U38" s="497">
        <v>2037</v>
      </c>
      <c r="V38" s="497">
        <v>2040</v>
      </c>
      <c r="W38" s="497">
        <v>2043</v>
      </c>
      <c r="X38" s="497">
        <v>2045</v>
      </c>
      <c r="Y38" s="497">
        <v>2047</v>
      </c>
      <c r="Z38" s="498">
        <v>2050</v>
      </c>
      <c r="AA38" s="466" t="s">
        <v>1344</v>
      </c>
      <c r="AB38" s="466" t="s">
        <v>1345</v>
      </c>
      <c r="AC38" s="499" t="s">
        <v>1346</v>
      </c>
      <c r="AE38" s="500">
        <v>2020</v>
      </c>
      <c r="AF38" s="459">
        <v>2023</v>
      </c>
      <c r="AG38" s="459">
        <v>2025</v>
      </c>
      <c r="AH38" s="459">
        <v>2027</v>
      </c>
      <c r="AI38" s="459">
        <v>2030</v>
      </c>
      <c r="AJ38" s="459">
        <v>2033</v>
      </c>
      <c r="AK38" s="459">
        <v>2035</v>
      </c>
      <c r="AL38" s="459">
        <v>2037</v>
      </c>
      <c r="AM38" s="459">
        <v>2040</v>
      </c>
      <c r="AN38" s="459">
        <v>2043</v>
      </c>
      <c r="AO38" s="459">
        <v>2045</v>
      </c>
      <c r="AP38" s="459">
        <v>2047</v>
      </c>
      <c r="AQ38" s="460">
        <v>2050</v>
      </c>
    </row>
    <row r="39" spans="1:43" ht="15.75" customHeight="1" x14ac:dyDescent="0.25">
      <c r="A39" s="231"/>
      <c r="B39" s="12" t="s">
        <v>1347</v>
      </c>
      <c r="C39" s="12" t="s">
        <v>1243</v>
      </c>
      <c r="D39" s="99">
        <v>89.87</v>
      </c>
      <c r="E39" s="501"/>
      <c r="F39" s="446">
        <f t="shared" ref="F39:F74" si="56">+D39-E39</f>
        <v>89.87</v>
      </c>
      <c r="G39" s="502">
        <f t="shared" ref="G39:G74" si="57">+J39/F39</f>
        <v>1</v>
      </c>
      <c r="H39" s="502">
        <f t="shared" ref="H39:H74" si="58">100%-G39</f>
        <v>0</v>
      </c>
      <c r="I39" s="502" t="str">
        <f t="shared" ref="I39:I74" si="59">+IF(AND(G39&gt;0,H39&gt;0),"Oil and Gas",IF(G39&gt;0,"Oil","Gas"))</f>
        <v>Oil</v>
      </c>
      <c r="J39" s="503">
        <f>+F39</f>
        <v>89.87</v>
      </c>
      <c r="K39" s="99">
        <v>0</v>
      </c>
      <c r="L39" s="504">
        <f t="shared" ref="L39:L71" si="60">+H39*(J39*1000000*$I$33)/(1000000000)</f>
        <v>0</v>
      </c>
      <c r="M39" s="505">
        <v>19000</v>
      </c>
      <c r="N39" s="506">
        <v>9590.1639344262294</v>
      </c>
      <c r="O39" s="507">
        <v>19016.393442622953</v>
      </c>
      <c r="P39" s="507">
        <v>16065.573770491805</v>
      </c>
      <c r="Q39" s="507"/>
      <c r="R39" s="507">
        <v>11065.573770491806</v>
      </c>
      <c r="S39" s="507"/>
      <c r="T39" s="507">
        <v>7786.8852459016416</v>
      </c>
      <c r="U39" s="507"/>
      <c r="V39" s="507">
        <v>5409.8360655737706</v>
      </c>
      <c r="W39" s="507"/>
      <c r="X39" s="507">
        <v>3852.4590163934445</v>
      </c>
      <c r="Y39" s="507">
        <v>3114.7540983606559</v>
      </c>
      <c r="Z39" s="508"/>
      <c r="AA39" s="467">
        <f t="shared" ref="AA39:AA74" si="61">+SLOPE(N39:Z39,$N$38:$Z$38)</f>
        <v>-466.42815913267287</v>
      </c>
      <c r="AB39" s="467">
        <f t="shared" ref="AB39:AB74" si="62">+INTERCEPT(N39:Z39,$N$38:$Z$38)</f>
        <v>957794.45595464832</v>
      </c>
      <c r="AC39" s="509">
        <v>2048</v>
      </c>
      <c r="AD39" s="99" t="s">
        <v>1243</v>
      </c>
      <c r="AE39" s="510">
        <f t="shared" ref="AE39:AQ39" si="63">+IF(AE$38&lt;$AC39,$AA39*AE$38+$AB39,0)</f>
        <v>15609.574506649165</v>
      </c>
      <c r="AF39" s="510">
        <f t="shared" si="63"/>
        <v>14210.290029251133</v>
      </c>
      <c r="AG39" s="510">
        <f t="shared" si="63"/>
        <v>13277.433710985701</v>
      </c>
      <c r="AH39" s="510">
        <f t="shared" si="63"/>
        <v>12344.577392720385</v>
      </c>
      <c r="AI39" s="510">
        <f t="shared" si="63"/>
        <v>10945.292915322352</v>
      </c>
      <c r="AJ39" s="510">
        <f t="shared" si="63"/>
        <v>9546.0084379243199</v>
      </c>
      <c r="AK39" s="510">
        <f t="shared" si="63"/>
        <v>8613.1521196590038</v>
      </c>
      <c r="AL39" s="510">
        <f t="shared" si="63"/>
        <v>7680.2958013936877</v>
      </c>
      <c r="AM39" s="510">
        <f t="shared" si="63"/>
        <v>6281.0113239956554</v>
      </c>
      <c r="AN39" s="510">
        <f t="shared" si="63"/>
        <v>4881.7268465976231</v>
      </c>
      <c r="AO39" s="510">
        <f t="shared" si="63"/>
        <v>3948.870528332307</v>
      </c>
      <c r="AP39" s="510">
        <f t="shared" si="63"/>
        <v>3016.0142100669909</v>
      </c>
      <c r="AQ39" s="510">
        <f t="shared" si="63"/>
        <v>0</v>
      </c>
    </row>
    <row r="40" spans="1:43" ht="15.75" customHeight="1" x14ac:dyDescent="0.25">
      <c r="B40" s="12" t="s">
        <v>1347</v>
      </c>
      <c r="C40" s="12" t="s">
        <v>1245</v>
      </c>
      <c r="D40" s="99">
        <v>2.5</v>
      </c>
      <c r="E40" s="501"/>
      <c r="F40" s="446">
        <f t="shared" si="56"/>
        <v>2.5</v>
      </c>
      <c r="G40" s="502">
        <f t="shared" si="57"/>
        <v>0.99529999999999996</v>
      </c>
      <c r="H40" s="502">
        <f t="shared" si="58"/>
        <v>4.7000000000000375E-3</v>
      </c>
      <c r="I40" s="502" t="str">
        <f t="shared" si="59"/>
        <v>Oil and Gas</v>
      </c>
      <c r="J40" s="503">
        <f>+F40*99.53%</f>
        <v>2.4882499999999999</v>
      </c>
      <c r="K40" s="99">
        <v>7.0000000000000007E-2</v>
      </c>
      <c r="L40" s="504">
        <f t="shared" si="60"/>
        <v>6.7829695000000537E-2</v>
      </c>
      <c r="M40" s="505">
        <v>3900</v>
      </c>
      <c r="N40" s="511">
        <v>2895.7055214723941</v>
      </c>
      <c r="O40" s="512">
        <v>1104.2944785276086</v>
      </c>
      <c r="P40" s="512">
        <v>638.03680981595244</v>
      </c>
      <c r="Q40" s="512"/>
      <c r="R40" s="512">
        <v>245.39877300613625</v>
      </c>
      <c r="S40" s="512"/>
      <c r="T40" s="512"/>
      <c r="U40" s="512"/>
      <c r="V40" s="512"/>
      <c r="W40" s="512"/>
      <c r="X40" s="512"/>
      <c r="Y40" s="512"/>
      <c r="Z40" s="513"/>
      <c r="AA40" s="467">
        <f t="shared" si="61"/>
        <v>-245.6302812825559</v>
      </c>
      <c r="AB40" s="467">
        <f t="shared" si="62"/>
        <v>498499.36335223995</v>
      </c>
      <c r="AC40" s="466">
        <v>2029</v>
      </c>
      <c r="AD40" s="99" t="s">
        <v>1245</v>
      </c>
      <c r="AE40" s="510">
        <f t="shared" ref="AE40:AQ40" si="64">+IF(AE$38&lt;$AC40,$AA40*AE$38+$AB40,0)</f>
        <v>2326.1951614770223</v>
      </c>
      <c r="AF40" s="510">
        <f t="shared" si="64"/>
        <v>1589.3043176293722</v>
      </c>
      <c r="AG40" s="510">
        <f t="shared" si="64"/>
        <v>1098.0437550642528</v>
      </c>
      <c r="AH40" s="510">
        <f t="shared" si="64"/>
        <v>606.78319249913329</v>
      </c>
      <c r="AI40" s="510">
        <f t="shared" si="64"/>
        <v>0</v>
      </c>
      <c r="AJ40" s="510">
        <f t="shared" si="64"/>
        <v>0</v>
      </c>
      <c r="AK40" s="510">
        <f t="shared" si="64"/>
        <v>0</v>
      </c>
      <c r="AL40" s="510">
        <f t="shared" si="64"/>
        <v>0</v>
      </c>
      <c r="AM40" s="510">
        <f t="shared" si="64"/>
        <v>0</v>
      </c>
      <c r="AN40" s="510">
        <f t="shared" si="64"/>
        <v>0</v>
      </c>
      <c r="AO40" s="510">
        <f t="shared" si="64"/>
        <v>0</v>
      </c>
      <c r="AP40" s="510">
        <f t="shared" si="64"/>
        <v>0</v>
      </c>
      <c r="AQ40" s="510">
        <f t="shared" si="64"/>
        <v>0</v>
      </c>
    </row>
    <row r="41" spans="1:43" ht="15.75" customHeight="1" x14ac:dyDescent="0.25">
      <c r="B41" s="12" t="s">
        <v>1347</v>
      </c>
      <c r="C41" s="12" t="s">
        <v>1348</v>
      </c>
      <c r="D41" s="99">
        <v>1.37</v>
      </c>
      <c r="E41" s="501"/>
      <c r="F41" s="446">
        <f t="shared" si="56"/>
        <v>1.37</v>
      </c>
      <c r="G41" s="502">
        <f t="shared" si="57"/>
        <v>0.98879999999999979</v>
      </c>
      <c r="H41" s="502">
        <f t="shared" si="58"/>
        <v>1.120000000000021E-2</v>
      </c>
      <c r="I41" s="502" t="str">
        <f t="shared" si="59"/>
        <v>Oil and Gas</v>
      </c>
      <c r="J41" s="503">
        <f>+F41*98.88%</f>
        <v>1.3546559999999999</v>
      </c>
      <c r="K41" s="99">
        <v>1.5344000000000003E-2</v>
      </c>
      <c r="L41" s="504">
        <f t="shared" si="60"/>
        <v>8.7998453760001649E-2</v>
      </c>
      <c r="M41" s="505">
        <v>310</v>
      </c>
      <c r="N41" s="511">
        <v>390.47502763283035</v>
      </c>
      <c r="O41" s="512">
        <v>344.4663650618204</v>
      </c>
      <c r="P41" s="512">
        <v>275.72230933347043</v>
      </c>
      <c r="Q41" s="512"/>
      <c r="R41" s="512">
        <v>198.10040356784828</v>
      </c>
      <c r="S41" s="512"/>
      <c r="T41" s="512">
        <v>123.34138755365916</v>
      </c>
      <c r="U41" s="512"/>
      <c r="V41" s="512">
        <v>59.918258232013045</v>
      </c>
      <c r="W41" s="512"/>
      <c r="X41" s="512"/>
      <c r="Y41" s="512"/>
      <c r="Z41" s="513"/>
      <c r="AA41" s="467">
        <f t="shared" si="61"/>
        <v>-16.69240967929418</v>
      </c>
      <c r="AB41" s="467">
        <f t="shared" si="62"/>
        <v>34098.121129571613</v>
      </c>
      <c r="AC41" s="466">
        <v>2041</v>
      </c>
      <c r="AD41" s="99" t="s">
        <v>1348</v>
      </c>
      <c r="AE41" s="510">
        <f t="shared" ref="AE41:AQ41" si="65">+IF(AE$38&lt;$AC41,$AA41*AE$38+$AB41,0)</f>
        <v>379.45357739736937</v>
      </c>
      <c r="AF41" s="510">
        <f t="shared" si="65"/>
        <v>329.37634835948847</v>
      </c>
      <c r="AG41" s="510">
        <f t="shared" si="65"/>
        <v>295.99152900090121</v>
      </c>
      <c r="AH41" s="510">
        <f t="shared" si="65"/>
        <v>262.60670964231394</v>
      </c>
      <c r="AI41" s="510">
        <f t="shared" si="65"/>
        <v>212.52948060442577</v>
      </c>
      <c r="AJ41" s="510">
        <f t="shared" si="65"/>
        <v>162.45225156654487</v>
      </c>
      <c r="AK41" s="510">
        <f t="shared" si="65"/>
        <v>129.06743220795761</v>
      </c>
      <c r="AL41" s="510">
        <f t="shared" si="65"/>
        <v>95.682612849370344</v>
      </c>
      <c r="AM41" s="510">
        <f t="shared" si="65"/>
        <v>45.605383811489446</v>
      </c>
      <c r="AN41" s="510">
        <f t="shared" si="65"/>
        <v>0</v>
      </c>
      <c r="AO41" s="510">
        <f t="shared" si="65"/>
        <v>0</v>
      </c>
      <c r="AP41" s="510">
        <f t="shared" si="65"/>
        <v>0</v>
      </c>
      <c r="AQ41" s="510">
        <f t="shared" si="65"/>
        <v>0</v>
      </c>
    </row>
    <row r="42" spans="1:43" ht="15.75" customHeight="1" x14ac:dyDescent="0.25">
      <c r="B42" s="12" t="s">
        <v>1347</v>
      </c>
      <c r="C42" s="12" t="s">
        <v>1226</v>
      </c>
      <c r="D42" s="99">
        <v>14.92</v>
      </c>
      <c r="E42" s="501"/>
      <c r="F42" s="446">
        <f t="shared" si="56"/>
        <v>14.92</v>
      </c>
      <c r="G42" s="502">
        <f t="shared" si="57"/>
        <v>0</v>
      </c>
      <c r="H42" s="502">
        <f t="shared" si="58"/>
        <v>1</v>
      </c>
      <c r="I42" s="502" t="str">
        <f t="shared" si="59"/>
        <v>Gas</v>
      </c>
      <c r="J42" s="503">
        <v>0</v>
      </c>
      <c r="K42" s="99">
        <v>89.54</v>
      </c>
      <c r="L42" s="504">
        <f t="shared" si="60"/>
        <v>0</v>
      </c>
      <c r="M42" s="505">
        <v>3750</v>
      </c>
      <c r="N42" s="511">
        <v>2688.1998197310859</v>
      </c>
      <c r="O42" s="512">
        <v>4033.9723277920784</v>
      </c>
      <c r="P42" s="512">
        <v>2897.3861007089963</v>
      </c>
      <c r="Q42" s="512">
        <v>2545.9174665712671</v>
      </c>
      <c r="R42" s="512">
        <v>2313.091797764293</v>
      </c>
      <c r="S42" s="512">
        <v>1610.2660360352002</v>
      </c>
      <c r="T42" s="512">
        <v>1259.1319215365602</v>
      </c>
      <c r="U42" s="512">
        <v>1026.306252729586</v>
      </c>
      <c r="V42" s="512"/>
      <c r="W42" s="512"/>
      <c r="X42" s="512"/>
      <c r="Y42" s="512"/>
      <c r="Z42" s="513"/>
      <c r="AA42" s="467">
        <f t="shared" si="61"/>
        <v>-141.87789450348069</v>
      </c>
      <c r="AB42" s="467">
        <f t="shared" si="62"/>
        <v>290131.56243929506</v>
      </c>
      <c r="AC42" s="466">
        <v>2039</v>
      </c>
      <c r="AD42" s="99" t="s">
        <v>1226</v>
      </c>
      <c r="AE42" s="510">
        <f t="shared" ref="AE42:AQ42" si="66">+IF(AE$38&lt;$AC42,$AA42*AE$38+$AB42,0)</f>
        <v>3538.2155422640499</v>
      </c>
      <c r="AF42" s="510">
        <f t="shared" si="66"/>
        <v>3112.5818587536342</v>
      </c>
      <c r="AG42" s="510">
        <f t="shared" si="66"/>
        <v>2828.8260697466321</v>
      </c>
      <c r="AH42" s="510">
        <f t="shared" si="66"/>
        <v>2545.0702807396883</v>
      </c>
      <c r="AI42" s="510">
        <f t="shared" si="66"/>
        <v>2119.4365972292726</v>
      </c>
      <c r="AJ42" s="510">
        <f t="shared" si="66"/>
        <v>1693.8029137187987</v>
      </c>
      <c r="AK42" s="510">
        <f t="shared" si="66"/>
        <v>1410.0471247118548</v>
      </c>
      <c r="AL42" s="510">
        <f t="shared" si="66"/>
        <v>1126.291335704911</v>
      </c>
      <c r="AM42" s="510">
        <f t="shared" si="66"/>
        <v>0</v>
      </c>
      <c r="AN42" s="510">
        <f t="shared" si="66"/>
        <v>0</v>
      </c>
      <c r="AO42" s="510">
        <f t="shared" si="66"/>
        <v>0</v>
      </c>
      <c r="AP42" s="510">
        <f t="shared" si="66"/>
        <v>0</v>
      </c>
      <c r="AQ42" s="510">
        <f t="shared" si="66"/>
        <v>0</v>
      </c>
    </row>
    <row r="43" spans="1:43" ht="15.75" customHeight="1" x14ac:dyDescent="0.25">
      <c r="B43" s="12" t="s">
        <v>1347</v>
      </c>
      <c r="C43" s="12" t="s">
        <v>1250</v>
      </c>
      <c r="D43" s="99">
        <v>21.91</v>
      </c>
      <c r="E43" s="501"/>
      <c r="F43" s="446">
        <f t="shared" si="56"/>
        <v>21.91</v>
      </c>
      <c r="G43" s="502">
        <f t="shared" si="57"/>
        <v>1</v>
      </c>
      <c r="H43" s="502">
        <f t="shared" si="58"/>
        <v>0</v>
      </c>
      <c r="I43" s="502" t="str">
        <f t="shared" si="59"/>
        <v>Oil</v>
      </c>
      <c r="J43" s="503">
        <f t="shared" ref="J43:J44" si="67">+F43</f>
        <v>21.91</v>
      </c>
      <c r="K43" s="99">
        <v>0</v>
      </c>
      <c r="L43" s="504">
        <f t="shared" si="60"/>
        <v>0</v>
      </c>
      <c r="M43" s="505">
        <v>10000</v>
      </c>
      <c r="N43" s="511">
        <v>10465.971477086872</v>
      </c>
      <c r="O43" s="512"/>
      <c r="P43" s="512">
        <v>6174.2002020980708</v>
      </c>
      <c r="Q43" s="512"/>
      <c r="R43" s="512">
        <v>2813.1217901305317</v>
      </c>
      <c r="S43" s="512"/>
      <c r="T43" s="512">
        <v>1643.4531684602007</v>
      </c>
      <c r="U43" s="512"/>
      <c r="V43" s="512"/>
      <c r="W43" s="512"/>
      <c r="X43" s="512"/>
      <c r="Y43" s="512"/>
      <c r="Z43" s="513"/>
      <c r="AA43" s="467">
        <f t="shared" si="61"/>
        <v>-596.57266675695109</v>
      </c>
      <c r="AB43" s="467">
        <f t="shared" si="62"/>
        <v>1214825.2685091621</v>
      </c>
      <c r="AC43" s="466">
        <v>2035</v>
      </c>
      <c r="AD43" s="99" t="s">
        <v>1250</v>
      </c>
      <c r="AE43" s="510">
        <f t="shared" ref="AE43:AQ43" si="68">+IF(AE$38&lt;$AC43,$AA43*AE$38+$AB43,0)</f>
        <v>9748.4816601208877</v>
      </c>
      <c r="AF43" s="510">
        <f t="shared" si="68"/>
        <v>7958.7636598499957</v>
      </c>
      <c r="AG43" s="510">
        <f t="shared" si="68"/>
        <v>6765.6183263361454</v>
      </c>
      <c r="AH43" s="510">
        <f t="shared" si="68"/>
        <v>5572.4729928222951</v>
      </c>
      <c r="AI43" s="510">
        <f t="shared" si="68"/>
        <v>3782.7549925514031</v>
      </c>
      <c r="AJ43" s="510">
        <f t="shared" si="68"/>
        <v>1993.0369922805112</v>
      </c>
      <c r="AK43" s="510">
        <f t="shared" si="68"/>
        <v>0</v>
      </c>
      <c r="AL43" s="510">
        <f t="shared" si="68"/>
        <v>0</v>
      </c>
      <c r="AM43" s="510">
        <f t="shared" si="68"/>
        <v>0</v>
      </c>
      <c r="AN43" s="510">
        <f t="shared" si="68"/>
        <v>0</v>
      </c>
      <c r="AO43" s="510">
        <f t="shared" si="68"/>
        <v>0</v>
      </c>
      <c r="AP43" s="510">
        <f t="shared" si="68"/>
        <v>0</v>
      </c>
      <c r="AQ43" s="510">
        <f t="shared" si="68"/>
        <v>0</v>
      </c>
    </row>
    <row r="44" spans="1:43" ht="15.75" customHeight="1" x14ac:dyDescent="0.25">
      <c r="B44" s="12" t="s">
        <v>1347</v>
      </c>
      <c r="C44" s="1" t="s">
        <v>1349</v>
      </c>
      <c r="D44" s="514">
        <v>8.85</v>
      </c>
      <c r="E44" s="501">
        <v>0.10379389106158297</v>
      </c>
      <c r="F44" s="446">
        <f t="shared" si="56"/>
        <v>8.7462061089384164</v>
      </c>
      <c r="G44" s="502">
        <f t="shared" si="57"/>
        <v>1</v>
      </c>
      <c r="H44" s="502">
        <f t="shared" si="58"/>
        <v>0</v>
      </c>
      <c r="I44" s="502" t="str">
        <f t="shared" si="59"/>
        <v>Oil</v>
      </c>
      <c r="J44" s="503">
        <f t="shared" si="67"/>
        <v>8.7462061089384164</v>
      </c>
      <c r="K44" s="99">
        <v>0</v>
      </c>
      <c r="L44" s="504">
        <f t="shared" si="60"/>
        <v>0</v>
      </c>
      <c r="M44" s="505">
        <v>1750</v>
      </c>
      <c r="N44" s="511">
        <v>1648.5786991601608</v>
      </c>
      <c r="O44" s="512">
        <v>2065.3937346384009</v>
      </c>
      <c r="P44" s="512">
        <v>1591.6354730287221</v>
      </c>
      <c r="Q44" s="512"/>
      <c r="R44" s="512">
        <v>1118.8933568407438</v>
      </c>
      <c r="S44" s="512"/>
      <c r="T44" s="512">
        <v>750.03256876351679</v>
      </c>
      <c r="U44" s="512"/>
      <c r="V44" s="512">
        <v>440.61628785575977</v>
      </c>
      <c r="W44" s="512"/>
      <c r="X44" s="512">
        <v>279.75265109735119</v>
      </c>
      <c r="Y44" s="512">
        <v>163.4430828288796</v>
      </c>
      <c r="Z44" s="513"/>
      <c r="AA44" s="467">
        <f t="shared" si="61"/>
        <v>-66.613918553093967</v>
      </c>
      <c r="AB44" s="467">
        <f t="shared" si="62"/>
        <v>136441.71639003584</v>
      </c>
      <c r="AC44" s="466">
        <v>2052</v>
      </c>
      <c r="AD44" s="99" t="s">
        <v>1349</v>
      </c>
      <c r="AE44" s="510">
        <f t="shared" ref="AE44:AP44" si="69">+IF(AE$38&lt;$AC44,$AA44*AE$38+$AB44,0)</f>
        <v>1881.6009127860307</v>
      </c>
      <c r="AF44" s="510">
        <f t="shared" si="69"/>
        <v>1681.7591571267403</v>
      </c>
      <c r="AG44" s="510">
        <f t="shared" si="69"/>
        <v>1548.5313200205564</v>
      </c>
      <c r="AH44" s="510">
        <f t="shared" si="69"/>
        <v>1415.3034829143726</v>
      </c>
      <c r="AI44" s="510">
        <f t="shared" si="69"/>
        <v>1215.4617272550822</v>
      </c>
      <c r="AJ44" s="510">
        <f t="shared" si="69"/>
        <v>1015.619971595821</v>
      </c>
      <c r="AK44" s="510">
        <f t="shared" si="69"/>
        <v>882.392134489608</v>
      </c>
      <c r="AL44" s="510">
        <f t="shared" si="69"/>
        <v>749.16429738342413</v>
      </c>
      <c r="AM44" s="510">
        <f t="shared" si="69"/>
        <v>549.32254172416287</v>
      </c>
      <c r="AN44" s="510">
        <f t="shared" si="69"/>
        <v>349.48078606487252</v>
      </c>
      <c r="AO44" s="510">
        <f t="shared" si="69"/>
        <v>216.25294895868865</v>
      </c>
      <c r="AP44" s="510">
        <f t="shared" si="69"/>
        <v>83.025111852504779</v>
      </c>
      <c r="AQ44" s="510">
        <v>0</v>
      </c>
    </row>
    <row r="45" spans="1:43" ht="15.75" customHeight="1" x14ac:dyDescent="0.25">
      <c r="B45" s="12" t="s">
        <v>1347</v>
      </c>
      <c r="C45" s="1" t="s">
        <v>1350</v>
      </c>
      <c r="D45" s="514">
        <v>153.29</v>
      </c>
      <c r="E45" s="501"/>
      <c r="F45" s="446">
        <f t="shared" si="56"/>
        <v>153.29</v>
      </c>
      <c r="G45" s="502">
        <f t="shared" si="57"/>
        <v>1</v>
      </c>
      <c r="H45" s="502">
        <f t="shared" si="58"/>
        <v>0</v>
      </c>
      <c r="I45" s="502" t="str">
        <f t="shared" si="59"/>
        <v>Oil</v>
      </c>
      <c r="J45" s="503">
        <v>153.29</v>
      </c>
      <c r="K45" s="99">
        <v>0</v>
      </c>
      <c r="L45" s="504">
        <f t="shared" si="60"/>
        <v>0</v>
      </c>
      <c r="M45" s="505">
        <v>70000</v>
      </c>
      <c r="N45" s="511">
        <v>66124.661246612479</v>
      </c>
      <c r="O45" s="512"/>
      <c r="P45" s="512">
        <v>37723.577235772369</v>
      </c>
      <c r="Q45" s="512"/>
      <c r="R45" s="512">
        <v>22764.227642276433</v>
      </c>
      <c r="S45" s="512"/>
      <c r="T45" s="512">
        <v>14092.140921409227</v>
      </c>
      <c r="U45" s="512"/>
      <c r="V45" s="512"/>
      <c r="W45" s="512"/>
      <c r="X45" s="512"/>
      <c r="Y45" s="512"/>
      <c r="Z45" s="513"/>
      <c r="AA45" s="467">
        <f t="shared" si="61"/>
        <v>-3421.1382113821137</v>
      </c>
      <c r="AB45" s="467">
        <f t="shared" si="62"/>
        <v>6971533.8753387537</v>
      </c>
      <c r="AC45" s="466">
        <v>2036</v>
      </c>
      <c r="AD45" s="99" t="s">
        <v>1350</v>
      </c>
      <c r="AE45" s="510">
        <f t="shared" ref="AE45:AQ45" si="70">+IF(AE$38&lt;$AC45,$AA45*AE$38+$AB45,0)</f>
        <v>60834.688346884213</v>
      </c>
      <c r="AF45" s="510">
        <f t="shared" si="70"/>
        <v>50571.273712737486</v>
      </c>
      <c r="AG45" s="510">
        <f t="shared" si="70"/>
        <v>43728.997289973311</v>
      </c>
      <c r="AH45" s="510">
        <f t="shared" si="70"/>
        <v>36886.720867209136</v>
      </c>
      <c r="AI45" s="510">
        <f t="shared" si="70"/>
        <v>26623.30623306334</v>
      </c>
      <c r="AJ45" s="510">
        <f t="shared" si="70"/>
        <v>16359.891598916613</v>
      </c>
      <c r="AK45" s="510">
        <f t="shared" si="70"/>
        <v>9517.6151761524379</v>
      </c>
      <c r="AL45" s="510">
        <f t="shared" si="70"/>
        <v>0</v>
      </c>
      <c r="AM45" s="510">
        <f t="shared" si="70"/>
        <v>0</v>
      </c>
      <c r="AN45" s="510">
        <f t="shared" si="70"/>
        <v>0</v>
      </c>
      <c r="AO45" s="510">
        <f t="shared" si="70"/>
        <v>0</v>
      </c>
      <c r="AP45" s="510">
        <f t="shared" si="70"/>
        <v>0</v>
      </c>
      <c r="AQ45" s="510">
        <f t="shared" si="70"/>
        <v>0</v>
      </c>
    </row>
    <row r="46" spans="1:43" ht="15.75" customHeight="1" x14ac:dyDescent="0.25">
      <c r="B46" s="12" t="s">
        <v>628</v>
      </c>
      <c r="C46" s="1" t="s">
        <v>1351</v>
      </c>
      <c r="D46" s="514">
        <v>0.88</v>
      </c>
      <c r="E46" s="501"/>
      <c r="F46" s="446">
        <f t="shared" si="56"/>
        <v>0.88</v>
      </c>
      <c r="G46" s="502">
        <f t="shared" si="57"/>
        <v>1</v>
      </c>
      <c r="H46" s="502">
        <f t="shared" si="58"/>
        <v>0</v>
      </c>
      <c r="I46" s="502" t="str">
        <f t="shared" si="59"/>
        <v>Oil</v>
      </c>
      <c r="J46" s="503">
        <v>0.88</v>
      </c>
      <c r="K46" s="99">
        <v>0</v>
      </c>
      <c r="L46" s="504">
        <f t="shared" si="60"/>
        <v>0</v>
      </c>
      <c r="M46" s="505">
        <v>200</v>
      </c>
      <c r="N46" s="511">
        <v>139.28969359331495</v>
      </c>
      <c r="O46" s="512">
        <v>224.70055710306417</v>
      </c>
      <c r="P46" s="512">
        <v>158.94150417827314</v>
      </c>
      <c r="Q46" s="512"/>
      <c r="R46" s="512">
        <v>115.27855153203359</v>
      </c>
      <c r="S46" s="512"/>
      <c r="T46" s="512">
        <v>78.133704735376114</v>
      </c>
      <c r="U46" s="512">
        <v>68.920612813370553</v>
      </c>
      <c r="V46" s="512">
        <v>62.841225626741107</v>
      </c>
      <c r="W46" s="512"/>
      <c r="X46" s="512"/>
      <c r="Y46" s="512"/>
      <c r="Z46" s="513"/>
      <c r="AA46" s="467">
        <f t="shared" si="61"/>
        <v>-6.4913312842186155</v>
      </c>
      <c r="AB46" s="467">
        <f t="shared" si="62"/>
        <v>13298.560485475529</v>
      </c>
      <c r="AC46" s="466">
        <v>2042</v>
      </c>
      <c r="AD46" s="99" t="s">
        <v>1351</v>
      </c>
      <c r="AE46" s="510">
        <f t="shared" ref="AE46:AQ46" si="71">+IF(AE$38&lt;$AC46,$AA46*AE$38+$AB46,0)</f>
        <v>186.07129135392643</v>
      </c>
      <c r="AF46" s="510">
        <f t="shared" si="71"/>
        <v>166.59729750127008</v>
      </c>
      <c r="AG46" s="510">
        <f t="shared" si="71"/>
        <v>153.61463493283372</v>
      </c>
      <c r="AH46" s="510">
        <f t="shared" si="71"/>
        <v>140.63197236439555</v>
      </c>
      <c r="AI46" s="510">
        <f t="shared" si="71"/>
        <v>121.1579785117392</v>
      </c>
      <c r="AJ46" s="510">
        <f t="shared" si="71"/>
        <v>101.68398465908467</v>
      </c>
      <c r="AK46" s="510">
        <f t="shared" si="71"/>
        <v>88.701322090646499</v>
      </c>
      <c r="AL46" s="510">
        <f t="shared" si="71"/>
        <v>75.718659522210146</v>
      </c>
      <c r="AM46" s="510">
        <f t="shared" si="71"/>
        <v>56.244665669553797</v>
      </c>
      <c r="AN46" s="510">
        <f t="shared" si="71"/>
        <v>0</v>
      </c>
      <c r="AO46" s="510">
        <f t="shared" si="71"/>
        <v>0</v>
      </c>
      <c r="AP46" s="510">
        <f t="shared" si="71"/>
        <v>0</v>
      </c>
      <c r="AQ46" s="510">
        <f t="shared" si="71"/>
        <v>0</v>
      </c>
    </row>
    <row r="47" spans="1:43" ht="15.75" customHeight="1" x14ac:dyDescent="0.25">
      <c r="B47" s="12" t="s">
        <v>628</v>
      </c>
      <c r="C47" s="1" t="s">
        <v>1352</v>
      </c>
      <c r="D47" s="514">
        <v>543.79</v>
      </c>
      <c r="E47" s="501">
        <v>238.91494774129922</v>
      </c>
      <c r="F47" s="446">
        <f t="shared" si="56"/>
        <v>304.87505225870075</v>
      </c>
      <c r="G47" s="502">
        <f t="shared" si="57"/>
        <v>1</v>
      </c>
      <c r="H47" s="502">
        <f t="shared" si="58"/>
        <v>0</v>
      </c>
      <c r="I47" s="502" t="str">
        <f t="shared" si="59"/>
        <v>Oil</v>
      </c>
      <c r="J47" s="503">
        <f>+F47</f>
        <v>304.87505225870075</v>
      </c>
      <c r="K47" s="99">
        <v>0</v>
      </c>
      <c r="L47" s="504">
        <f t="shared" si="60"/>
        <v>0</v>
      </c>
      <c r="M47" s="505">
        <v>42000</v>
      </c>
      <c r="N47" s="511">
        <v>46080.722145667336</v>
      </c>
      <c r="O47" s="512">
        <v>39727.331429446349</v>
      </c>
      <c r="P47" s="512"/>
      <c r="Q47" s="512"/>
      <c r="R47" s="512">
        <v>32953.221629753898</v>
      </c>
      <c r="S47" s="512"/>
      <c r="T47" s="512"/>
      <c r="U47" s="512"/>
      <c r="V47" s="512">
        <v>26312.58362790327</v>
      </c>
      <c r="W47" s="512"/>
      <c r="X47" s="512"/>
      <c r="Y47" s="512"/>
      <c r="Z47" s="513">
        <v>21157.776313249327</v>
      </c>
      <c r="AA47" s="467">
        <f t="shared" si="61"/>
        <v>-788.06799463334039</v>
      </c>
      <c r="AB47" s="467">
        <f t="shared" si="62"/>
        <v>1635073.3329209315</v>
      </c>
      <c r="AC47" s="466">
        <v>2099</v>
      </c>
      <c r="AD47" s="99" t="s">
        <v>1352</v>
      </c>
      <c r="AE47" s="510">
        <f t="shared" ref="AE47:AQ47" si="72">+IF(AE$38&lt;$AC47,$AA47*AE$38+$AB47,0)</f>
        <v>43175.983761583921</v>
      </c>
      <c r="AF47" s="510">
        <f t="shared" si="72"/>
        <v>40811.779777684016</v>
      </c>
      <c r="AG47" s="510">
        <f t="shared" si="72"/>
        <v>39235.643788417336</v>
      </c>
      <c r="AH47" s="510">
        <f t="shared" si="72"/>
        <v>37659.507799150655</v>
      </c>
      <c r="AI47" s="510">
        <f t="shared" si="72"/>
        <v>35295.303815250518</v>
      </c>
      <c r="AJ47" s="510">
        <f t="shared" si="72"/>
        <v>32931.099831350613</v>
      </c>
      <c r="AK47" s="510">
        <f t="shared" si="72"/>
        <v>31354.963842083933</v>
      </c>
      <c r="AL47" s="510">
        <f t="shared" si="72"/>
        <v>29778.827852817252</v>
      </c>
      <c r="AM47" s="510">
        <f t="shared" si="72"/>
        <v>27414.623868917115</v>
      </c>
      <c r="AN47" s="510">
        <f t="shared" si="72"/>
        <v>25050.419885017211</v>
      </c>
      <c r="AO47" s="510">
        <f t="shared" si="72"/>
        <v>23474.28389575053</v>
      </c>
      <c r="AP47" s="510">
        <f t="shared" si="72"/>
        <v>21898.14790648385</v>
      </c>
      <c r="AQ47" s="510">
        <f t="shared" si="72"/>
        <v>19533.943922583712</v>
      </c>
    </row>
    <row r="48" spans="1:43" ht="15.75" customHeight="1" x14ac:dyDescent="0.25">
      <c r="B48" s="12" t="s">
        <v>628</v>
      </c>
      <c r="C48" s="1" t="s">
        <v>1242</v>
      </c>
      <c r="D48" s="514">
        <v>146.25</v>
      </c>
      <c r="E48" s="501"/>
      <c r="F48" s="446">
        <f t="shared" si="56"/>
        <v>146.25</v>
      </c>
      <c r="G48" s="502">
        <f t="shared" si="57"/>
        <v>1</v>
      </c>
      <c r="H48" s="502">
        <f t="shared" si="58"/>
        <v>0</v>
      </c>
      <c r="I48" s="502" t="str">
        <f t="shared" si="59"/>
        <v>Oil</v>
      </c>
      <c r="J48" s="503">
        <v>146.25</v>
      </c>
      <c r="K48" s="99">
        <v>0</v>
      </c>
      <c r="L48" s="504">
        <f t="shared" si="60"/>
        <v>0</v>
      </c>
      <c r="M48" s="505">
        <v>49000</v>
      </c>
      <c r="N48" s="511">
        <v>49014.692742976287</v>
      </c>
      <c r="O48" s="512"/>
      <c r="P48" s="512">
        <v>34761.491114861514</v>
      </c>
      <c r="Q48" s="512"/>
      <c r="R48" s="512">
        <v>19155.415467090243</v>
      </c>
      <c r="S48" s="512">
        <v>16260.547999602895</v>
      </c>
      <c r="T48" s="512">
        <v>12169.165094807897</v>
      </c>
      <c r="U48" s="512">
        <v>8406.8797776233405</v>
      </c>
      <c r="V48" s="512"/>
      <c r="W48" s="512"/>
      <c r="X48" s="512"/>
      <c r="Y48" s="512"/>
      <c r="Z48" s="513"/>
      <c r="AA48" s="467">
        <f t="shared" si="61"/>
        <v>-2382.1093994608605</v>
      </c>
      <c r="AB48" s="467">
        <f t="shared" si="62"/>
        <v>4858976.7796050403</v>
      </c>
      <c r="AC48" s="466">
        <v>2039</v>
      </c>
      <c r="AD48" s="99" t="s">
        <v>1242</v>
      </c>
      <c r="AE48" s="510">
        <f t="shared" ref="AE48:AQ48" si="73">+IF(AE$38&lt;$AC48,$AA48*AE$38+$AB48,0)</f>
        <v>47115.792694102041</v>
      </c>
      <c r="AF48" s="510">
        <f t="shared" si="73"/>
        <v>39969.46449571941</v>
      </c>
      <c r="AG48" s="510">
        <f t="shared" si="73"/>
        <v>35205.245696797967</v>
      </c>
      <c r="AH48" s="510">
        <f t="shared" si="73"/>
        <v>30441.026897876523</v>
      </c>
      <c r="AI48" s="510">
        <f t="shared" si="73"/>
        <v>23294.698699493892</v>
      </c>
      <c r="AJ48" s="510">
        <f t="shared" si="73"/>
        <v>16148.370501111262</v>
      </c>
      <c r="AK48" s="510">
        <f t="shared" si="73"/>
        <v>11384.151702188887</v>
      </c>
      <c r="AL48" s="510">
        <f t="shared" si="73"/>
        <v>6619.9329032674432</v>
      </c>
      <c r="AM48" s="510">
        <f t="shared" si="73"/>
        <v>0</v>
      </c>
      <c r="AN48" s="510">
        <f t="shared" si="73"/>
        <v>0</v>
      </c>
      <c r="AO48" s="510">
        <f t="shared" si="73"/>
        <v>0</v>
      </c>
      <c r="AP48" s="510">
        <f t="shared" si="73"/>
        <v>0</v>
      </c>
      <c r="AQ48" s="510">
        <f t="shared" si="73"/>
        <v>0</v>
      </c>
    </row>
    <row r="49" spans="2:43" ht="15.75" customHeight="1" x14ac:dyDescent="0.25">
      <c r="B49" s="12" t="s">
        <v>628</v>
      </c>
      <c r="C49" s="1" t="s">
        <v>1353</v>
      </c>
      <c r="D49" s="514">
        <v>89.99</v>
      </c>
      <c r="E49" s="501"/>
      <c r="F49" s="446">
        <f t="shared" si="56"/>
        <v>89.99</v>
      </c>
      <c r="G49" s="502">
        <f t="shared" si="57"/>
        <v>1</v>
      </c>
      <c r="H49" s="502">
        <f t="shared" si="58"/>
        <v>0</v>
      </c>
      <c r="I49" s="502" t="str">
        <f t="shared" si="59"/>
        <v>Oil</v>
      </c>
      <c r="J49" s="503">
        <f>+F49</f>
        <v>89.99</v>
      </c>
      <c r="K49" s="99">
        <v>0</v>
      </c>
      <c r="L49" s="504">
        <f t="shared" si="60"/>
        <v>0</v>
      </c>
      <c r="M49" s="505">
        <v>20000</v>
      </c>
      <c r="N49" s="511">
        <v>19904.801688505846</v>
      </c>
      <c r="O49" s="512">
        <v>21393.017324773544</v>
      </c>
      <c r="P49" s="512">
        <v>17374.901064110454</v>
      </c>
      <c r="Q49" s="512"/>
      <c r="R49" s="512">
        <v>11787.002022689294</v>
      </c>
      <c r="S49" s="512"/>
      <c r="T49" s="512">
        <v>8168.8066133145694</v>
      </c>
      <c r="U49" s="512"/>
      <c r="V49" s="512">
        <v>5706.1823938088055</v>
      </c>
      <c r="W49" s="512">
        <v>4334.2713921378891</v>
      </c>
      <c r="X49" s="512"/>
      <c r="Y49" s="512"/>
      <c r="Z49" s="513"/>
      <c r="AA49" s="467">
        <f t="shared" si="61"/>
        <v>-772.21287149137254</v>
      </c>
      <c r="AB49" s="467">
        <f t="shared" si="62"/>
        <v>1580921.0233743847</v>
      </c>
      <c r="AC49" s="466">
        <v>2044</v>
      </c>
      <c r="AD49" s="99" t="s">
        <v>1353</v>
      </c>
      <c r="AE49" s="510">
        <f t="shared" ref="AE49:AQ49" si="74">+IF(AE$38&lt;$AC49,$AA49*AE$38+$AB49,0)</f>
        <v>21051.022961812094</v>
      </c>
      <c r="AF49" s="510">
        <f t="shared" si="74"/>
        <v>18734.384347337997</v>
      </c>
      <c r="AG49" s="510">
        <f t="shared" si="74"/>
        <v>17189.958604355343</v>
      </c>
      <c r="AH49" s="510">
        <f t="shared" si="74"/>
        <v>15645.532861372689</v>
      </c>
      <c r="AI49" s="510">
        <f t="shared" si="74"/>
        <v>13328.894246898592</v>
      </c>
      <c r="AJ49" s="510">
        <f t="shared" si="74"/>
        <v>11012.255632424261</v>
      </c>
      <c r="AK49" s="510">
        <f t="shared" si="74"/>
        <v>9467.8298894416075</v>
      </c>
      <c r="AL49" s="510">
        <f t="shared" si="74"/>
        <v>7923.4041464589536</v>
      </c>
      <c r="AM49" s="510">
        <f t="shared" si="74"/>
        <v>5606.7655319848564</v>
      </c>
      <c r="AN49" s="510">
        <f t="shared" si="74"/>
        <v>3290.1269175105263</v>
      </c>
      <c r="AO49" s="510">
        <f t="shared" si="74"/>
        <v>0</v>
      </c>
      <c r="AP49" s="510">
        <f t="shared" si="74"/>
        <v>0</v>
      </c>
      <c r="AQ49" s="510">
        <f t="shared" si="74"/>
        <v>0</v>
      </c>
    </row>
    <row r="50" spans="2:43" ht="15.75" customHeight="1" x14ac:dyDescent="0.25">
      <c r="B50" s="12" t="s">
        <v>628</v>
      </c>
      <c r="C50" s="1" t="s">
        <v>1225</v>
      </c>
      <c r="D50" s="514">
        <v>28.68</v>
      </c>
      <c r="E50" s="501"/>
      <c r="F50" s="446">
        <f t="shared" si="56"/>
        <v>28.68</v>
      </c>
      <c r="G50" s="502">
        <f t="shared" si="57"/>
        <v>0</v>
      </c>
      <c r="H50" s="502">
        <f t="shared" si="58"/>
        <v>1</v>
      </c>
      <c r="I50" s="502" t="str">
        <f t="shared" si="59"/>
        <v>Gas</v>
      </c>
      <c r="J50" s="503">
        <v>0</v>
      </c>
      <c r="K50" s="99">
        <v>172.07</v>
      </c>
      <c r="L50" s="504">
        <f t="shared" si="60"/>
        <v>0</v>
      </c>
      <c r="M50" s="505">
        <v>22500</v>
      </c>
      <c r="N50" s="511">
        <v>18473.762408216862</v>
      </c>
      <c r="O50" s="512"/>
      <c r="P50" s="512">
        <v>12112.142288064424</v>
      </c>
      <c r="Q50" s="512">
        <v>9490.7517064662534</v>
      </c>
      <c r="R50" s="512"/>
      <c r="S50" s="512"/>
      <c r="T50" s="512"/>
      <c r="U50" s="512"/>
      <c r="V50" s="512"/>
      <c r="W50" s="512"/>
      <c r="X50" s="512"/>
      <c r="Y50" s="512"/>
      <c r="Z50" s="513"/>
      <c r="AA50" s="467">
        <f t="shared" si="61"/>
        <v>-1281.1789317463179</v>
      </c>
      <c r="AB50" s="467">
        <f t="shared" si="62"/>
        <v>2606465.0433221296</v>
      </c>
      <c r="AC50" s="515">
        <v>2027</v>
      </c>
      <c r="AD50" s="99" t="s">
        <v>1225</v>
      </c>
      <c r="AE50" s="510">
        <f t="shared" ref="AE50:AQ50" si="75">+IF(AE$38&lt;$AC50,$AA50*AE$38+$AB50,0)</f>
        <v>18483.601194567513</v>
      </c>
      <c r="AF50" s="510">
        <f t="shared" si="75"/>
        <v>14640.064399328548</v>
      </c>
      <c r="AG50" s="510">
        <f t="shared" si="75"/>
        <v>12077.70653583575</v>
      </c>
      <c r="AH50" s="510">
        <f t="shared" si="75"/>
        <v>0</v>
      </c>
      <c r="AI50" s="510">
        <f t="shared" si="75"/>
        <v>0</v>
      </c>
      <c r="AJ50" s="510">
        <f t="shared" si="75"/>
        <v>0</v>
      </c>
      <c r="AK50" s="510">
        <f t="shared" si="75"/>
        <v>0</v>
      </c>
      <c r="AL50" s="510">
        <f t="shared" si="75"/>
        <v>0</v>
      </c>
      <c r="AM50" s="510">
        <f t="shared" si="75"/>
        <v>0</v>
      </c>
      <c r="AN50" s="510">
        <f t="shared" si="75"/>
        <v>0</v>
      </c>
      <c r="AO50" s="510">
        <f t="shared" si="75"/>
        <v>0</v>
      </c>
      <c r="AP50" s="510">
        <f t="shared" si="75"/>
        <v>0</v>
      </c>
      <c r="AQ50" s="510">
        <f t="shared" si="75"/>
        <v>0</v>
      </c>
    </row>
    <row r="51" spans="2:43" ht="15.75" customHeight="1" x14ac:dyDescent="0.25">
      <c r="B51" s="12" t="s">
        <v>628</v>
      </c>
      <c r="C51" s="1" t="s">
        <v>1354</v>
      </c>
      <c r="D51" s="514">
        <v>86.96</v>
      </c>
      <c r="E51" s="501"/>
      <c r="F51" s="446">
        <f t="shared" si="56"/>
        <v>86.96</v>
      </c>
      <c r="G51" s="502">
        <f t="shared" si="57"/>
        <v>0.31430000000000002</v>
      </c>
      <c r="H51" s="502">
        <f t="shared" si="58"/>
        <v>0.68569999999999998</v>
      </c>
      <c r="I51" s="502" t="str">
        <f t="shared" si="59"/>
        <v>Oil and Gas</v>
      </c>
      <c r="J51" s="503">
        <f>+F51*(100%-68.57%)</f>
        <v>27.331527999999999</v>
      </c>
      <c r="K51" s="99">
        <v>357.74</v>
      </c>
      <c r="L51" s="504">
        <f t="shared" si="60"/>
        <v>108.69912674768</v>
      </c>
      <c r="M51" s="505">
        <v>42000</v>
      </c>
      <c r="N51" s="511">
        <v>44548.767539958091</v>
      </c>
      <c r="O51" s="512">
        <v>31427.013687623752</v>
      </c>
      <c r="P51" s="512">
        <v>23791.787425751099</v>
      </c>
      <c r="Q51" s="512"/>
      <c r="R51" s="512">
        <v>13036.815977502934</v>
      </c>
      <c r="S51" s="512"/>
      <c r="T51" s="512">
        <v>6368.0449941174884</v>
      </c>
      <c r="U51" s="512"/>
      <c r="V51" s="512"/>
      <c r="W51" s="512"/>
      <c r="X51" s="512"/>
      <c r="Y51" s="512"/>
      <c r="Z51" s="513"/>
      <c r="AA51" s="467">
        <f t="shared" si="61"/>
        <v>-2460.405259534517</v>
      </c>
      <c r="AB51" s="467">
        <f t="shared" si="62"/>
        <v>5010091.7848976431</v>
      </c>
      <c r="AC51" s="466">
        <v>2035</v>
      </c>
      <c r="AD51" s="99" t="s">
        <v>1354</v>
      </c>
      <c r="AE51" s="510">
        <f t="shared" ref="AE51:AQ51" si="76">+IF(AE$38&lt;$AC51,$AA51*AE$38+$AB51,0)</f>
        <v>40073.16063791886</v>
      </c>
      <c r="AF51" s="510">
        <f t="shared" si="76"/>
        <v>32691.944859315641</v>
      </c>
      <c r="AG51" s="510">
        <f t="shared" si="76"/>
        <v>27771.134340246208</v>
      </c>
      <c r="AH51" s="510">
        <f t="shared" si="76"/>
        <v>22850.323821176775</v>
      </c>
      <c r="AI51" s="510">
        <f t="shared" si="76"/>
        <v>15469.108042573556</v>
      </c>
      <c r="AJ51" s="510">
        <f t="shared" si="76"/>
        <v>8087.8922639703378</v>
      </c>
      <c r="AK51" s="510">
        <f t="shared" si="76"/>
        <v>0</v>
      </c>
      <c r="AL51" s="510">
        <f t="shared" si="76"/>
        <v>0</v>
      </c>
      <c r="AM51" s="510">
        <f t="shared" si="76"/>
        <v>0</v>
      </c>
      <c r="AN51" s="510">
        <f t="shared" si="76"/>
        <v>0</v>
      </c>
      <c r="AO51" s="510">
        <f t="shared" si="76"/>
        <v>0</v>
      </c>
      <c r="AP51" s="510">
        <f t="shared" si="76"/>
        <v>0</v>
      </c>
      <c r="AQ51" s="510">
        <f t="shared" si="76"/>
        <v>0</v>
      </c>
    </row>
    <row r="52" spans="2:43" ht="15.75" customHeight="1" x14ac:dyDescent="0.25">
      <c r="B52" s="12" t="s">
        <v>1355</v>
      </c>
      <c r="C52" s="1" t="s">
        <v>1356</v>
      </c>
      <c r="D52" s="514">
        <v>5.73</v>
      </c>
      <c r="E52" s="501"/>
      <c r="F52" s="446">
        <f t="shared" si="56"/>
        <v>5.73</v>
      </c>
      <c r="G52" s="502">
        <f t="shared" si="57"/>
        <v>1</v>
      </c>
      <c r="H52" s="502">
        <f t="shared" si="58"/>
        <v>0</v>
      </c>
      <c r="I52" s="502" t="str">
        <f t="shared" si="59"/>
        <v>Oil</v>
      </c>
      <c r="J52" s="503">
        <f>+F52</f>
        <v>5.73</v>
      </c>
      <c r="K52" s="99">
        <v>0</v>
      </c>
      <c r="L52" s="504">
        <f t="shared" si="60"/>
        <v>0</v>
      </c>
      <c r="M52" s="505">
        <v>2900</v>
      </c>
      <c r="N52" s="511">
        <v>2264.0625</v>
      </c>
      <c r="O52" s="512">
        <v>1785.9375000000005</v>
      </c>
      <c r="P52" s="512">
        <v>1223.4375</v>
      </c>
      <c r="Q52" s="512"/>
      <c r="R52" s="512">
        <v>689.0625</v>
      </c>
      <c r="S52" s="512"/>
      <c r="T52" s="512">
        <v>407.8125</v>
      </c>
      <c r="U52" s="512"/>
      <c r="V52" s="512">
        <v>239.0625</v>
      </c>
      <c r="W52" s="512"/>
      <c r="X52" s="512">
        <v>140.625</v>
      </c>
      <c r="Y52" s="512"/>
      <c r="Z52" s="513">
        <v>98.4375</v>
      </c>
      <c r="AA52" s="467">
        <f t="shared" si="61"/>
        <v>-68.669605024213084</v>
      </c>
      <c r="AB52" s="467">
        <f t="shared" si="62"/>
        <v>140495.6965042373</v>
      </c>
      <c r="AC52" s="466">
        <v>2050</v>
      </c>
      <c r="AD52" s="99" t="s">
        <v>1356</v>
      </c>
      <c r="AE52" s="510">
        <f t="shared" ref="AE52:AO52" si="77">+IF(AE$38&lt;$AC52,$AA52*AE$38+$AB52,0)</f>
        <v>1783.0943553268735</v>
      </c>
      <c r="AF52" s="510">
        <f t="shared" si="77"/>
        <v>1577.085540254222</v>
      </c>
      <c r="AG52" s="510">
        <f t="shared" si="77"/>
        <v>1439.7463302058168</v>
      </c>
      <c r="AH52" s="510">
        <f t="shared" si="77"/>
        <v>1302.4071201573825</v>
      </c>
      <c r="AI52" s="510">
        <f t="shared" si="77"/>
        <v>1096.398305084731</v>
      </c>
      <c r="AJ52" s="510">
        <f t="shared" si="77"/>
        <v>890.38949001210858</v>
      </c>
      <c r="AK52" s="510">
        <f t="shared" si="77"/>
        <v>753.05027996367426</v>
      </c>
      <c r="AL52" s="510">
        <f t="shared" si="77"/>
        <v>615.71106991523993</v>
      </c>
      <c r="AM52" s="510">
        <f t="shared" si="77"/>
        <v>409.70225484261755</v>
      </c>
      <c r="AN52" s="510">
        <f t="shared" si="77"/>
        <v>203.69343976996606</v>
      </c>
      <c r="AO52" s="510">
        <f t="shared" si="77"/>
        <v>66.354229721560841</v>
      </c>
      <c r="AP52" s="510">
        <v>0</v>
      </c>
      <c r="AQ52" s="510">
        <f>+IF(AQ$38&lt;$AC52,$AA52*AQ$38+$AB52,0)</f>
        <v>0</v>
      </c>
    </row>
    <row r="53" spans="2:43" ht="15.75" customHeight="1" x14ac:dyDescent="0.25">
      <c r="B53" s="12" t="s">
        <v>628</v>
      </c>
      <c r="C53" s="1" t="s">
        <v>1357</v>
      </c>
      <c r="D53" s="514">
        <v>89.27</v>
      </c>
      <c r="E53" s="516">
        <v>6.3002856766383486</v>
      </c>
      <c r="F53" s="517">
        <f t="shared" si="56"/>
        <v>82.969714323361643</v>
      </c>
      <c r="G53" s="502">
        <f t="shared" si="57"/>
        <v>5.8400000000000001E-2</v>
      </c>
      <c r="H53" s="502">
        <f t="shared" si="58"/>
        <v>0.94159999999999999</v>
      </c>
      <c r="I53" s="502" t="str">
        <f t="shared" si="59"/>
        <v>Oil and Gas</v>
      </c>
      <c r="J53" s="503">
        <f>+F53*5.84%</f>
        <v>4.8454313164843201</v>
      </c>
      <c r="K53" s="99">
        <v>504.38</v>
      </c>
      <c r="L53" s="504">
        <f t="shared" si="60"/>
        <v>26.462257140089484</v>
      </c>
      <c r="M53" s="505">
        <v>5500</v>
      </c>
      <c r="N53" s="511">
        <v>10948.509485094852</v>
      </c>
      <c r="O53" s="512">
        <v>18536.585365853658</v>
      </c>
      <c r="P53" s="512">
        <v>15121.951219512197</v>
      </c>
      <c r="Q53" s="512"/>
      <c r="R53" s="512">
        <v>10135.501355013552</v>
      </c>
      <c r="S53" s="512"/>
      <c r="T53" s="512">
        <v>6991.8699186991871</v>
      </c>
      <c r="U53" s="512"/>
      <c r="V53" s="512">
        <v>4932.2493224932259</v>
      </c>
      <c r="W53" s="512"/>
      <c r="X53" s="512">
        <v>3360.4336043360454</v>
      </c>
      <c r="Y53" s="512"/>
      <c r="Z53" s="513">
        <v>2493.2249322493226</v>
      </c>
      <c r="AA53" s="467">
        <f t="shared" si="61"/>
        <v>-465.03540095933653</v>
      </c>
      <c r="AB53" s="467">
        <f t="shared" si="62"/>
        <v>954714.52850121737</v>
      </c>
      <c r="AC53" s="466">
        <v>2059</v>
      </c>
      <c r="AD53" s="99" t="s">
        <v>1357</v>
      </c>
      <c r="AE53" s="510">
        <f t="shared" ref="AE53:AQ53" si="78">+IF(AE$38&lt;$AC53,$AA53*AE$38+$AB53,0)</f>
        <v>15343.018563357531</v>
      </c>
      <c r="AF53" s="510">
        <f t="shared" si="78"/>
        <v>13947.91236047959</v>
      </c>
      <c r="AG53" s="510">
        <f t="shared" si="78"/>
        <v>13017.841558560845</v>
      </c>
      <c r="AH53" s="510">
        <f t="shared" si="78"/>
        <v>12087.770756642218</v>
      </c>
      <c r="AI53" s="510">
        <f t="shared" si="78"/>
        <v>10692.664553764276</v>
      </c>
      <c r="AJ53" s="510">
        <f t="shared" si="78"/>
        <v>9297.5583508862182</v>
      </c>
      <c r="AK53" s="510">
        <f t="shared" si="78"/>
        <v>8367.4875489675906</v>
      </c>
      <c r="AL53" s="510">
        <f t="shared" si="78"/>
        <v>7437.4167470488464</v>
      </c>
      <c r="AM53" s="510">
        <f t="shared" si="78"/>
        <v>6042.3105441709049</v>
      </c>
      <c r="AN53" s="510">
        <f t="shared" si="78"/>
        <v>4647.2043412928469</v>
      </c>
      <c r="AO53" s="510">
        <f t="shared" si="78"/>
        <v>3717.1335393742193</v>
      </c>
      <c r="AP53" s="510">
        <f t="shared" si="78"/>
        <v>2787.0627374554751</v>
      </c>
      <c r="AQ53" s="510">
        <f t="shared" si="78"/>
        <v>1391.9565345775336</v>
      </c>
    </row>
    <row r="54" spans="2:43" ht="15.75" customHeight="1" x14ac:dyDescent="0.25">
      <c r="B54" s="12" t="s">
        <v>1355</v>
      </c>
      <c r="C54" s="1" t="s">
        <v>1358</v>
      </c>
      <c r="D54" s="514">
        <v>17.7</v>
      </c>
      <c r="E54" s="501"/>
      <c r="F54" s="446">
        <f t="shared" si="56"/>
        <v>17.7</v>
      </c>
      <c r="G54" s="502">
        <f t="shared" si="57"/>
        <v>8.2299999999999998E-2</v>
      </c>
      <c r="H54" s="502">
        <f t="shared" si="58"/>
        <v>0.91769999999999996</v>
      </c>
      <c r="I54" s="502" t="str">
        <f t="shared" si="59"/>
        <v>Oil and Gas</v>
      </c>
      <c r="J54" s="503">
        <f>+F54*8.23%</f>
        <v>1.4567099999999999</v>
      </c>
      <c r="K54" s="99">
        <v>97.48</v>
      </c>
      <c r="L54" s="504">
        <f t="shared" si="60"/>
        <v>7.7535720485999997</v>
      </c>
      <c r="M54" s="505">
        <v>21000</v>
      </c>
      <c r="N54" s="511">
        <v>18542.472955633653</v>
      </c>
      <c r="O54" s="512"/>
      <c r="P54" s="512">
        <v>10048.403417448106</v>
      </c>
      <c r="Q54" s="512"/>
      <c r="R54" s="512"/>
      <c r="S54" s="512"/>
      <c r="T54" s="512"/>
      <c r="U54" s="512"/>
      <c r="V54" s="512"/>
      <c r="W54" s="512"/>
      <c r="X54" s="512"/>
      <c r="Y54" s="512"/>
      <c r="Z54" s="513"/>
      <c r="AA54" s="467">
        <f t="shared" si="61"/>
        <v>-1698.8139076371094</v>
      </c>
      <c r="AB54" s="467">
        <f t="shared" si="62"/>
        <v>3450146.5663825944</v>
      </c>
      <c r="AC54" s="466">
        <v>2025</v>
      </c>
      <c r="AD54" s="99" t="s">
        <v>1358</v>
      </c>
      <c r="AE54" s="510">
        <f t="shared" ref="AE54:AQ54" si="79">+IF(AE$38&lt;$AC54,$AA54*AE$38+$AB54,0)</f>
        <v>18542.47295563342</v>
      </c>
      <c r="AF54" s="510">
        <f t="shared" si="79"/>
        <v>13446.031232722104</v>
      </c>
      <c r="AG54" s="510">
        <f t="shared" si="79"/>
        <v>0</v>
      </c>
      <c r="AH54" s="510">
        <f t="shared" si="79"/>
        <v>0</v>
      </c>
      <c r="AI54" s="510">
        <f t="shared" si="79"/>
        <v>0</v>
      </c>
      <c r="AJ54" s="510">
        <f t="shared" si="79"/>
        <v>0</v>
      </c>
      <c r="AK54" s="510">
        <f t="shared" si="79"/>
        <v>0</v>
      </c>
      <c r="AL54" s="510">
        <f t="shared" si="79"/>
        <v>0</v>
      </c>
      <c r="AM54" s="510">
        <f t="shared" si="79"/>
        <v>0</v>
      </c>
      <c r="AN54" s="510">
        <f t="shared" si="79"/>
        <v>0</v>
      </c>
      <c r="AO54" s="510">
        <f t="shared" si="79"/>
        <v>0</v>
      </c>
      <c r="AP54" s="510">
        <f t="shared" si="79"/>
        <v>0</v>
      </c>
      <c r="AQ54" s="510">
        <f t="shared" si="79"/>
        <v>0</v>
      </c>
    </row>
    <row r="55" spans="2:43" ht="15.75" customHeight="1" x14ac:dyDescent="0.25">
      <c r="B55" s="12" t="s">
        <v>628</v>
      </c>
      <c r="C55" s="1" t="s">
        <v>1359</v>
      </c>
      <c r="D55" s="514">
        <v>10.25</v>
      </c>
      <c r="E55" s="501"/>
      <c r="F55" s="446">
        <f t="shared" si="56"/>
        <v>10.25</v>
      </c>
      <c r="G55" s="502">
        <f t="shared" si="57"/>
        <v>0.02</v>
      </c>
      <c r="H55" s="502">
        <f t="shared" si="58"/>
        <v>0.98</v>
      </c>
      <c r="I55" s="502" t="str">
        <f t="shared" si="59"/>
        <v>Oil and Gas</v>
      </c>
      <c r="J55" s="503">
        <f>+F55*2%</f>
        <v>0.20500000000000002</v>
      </c>
      <c r="K55" s="99">
        <v>60.26</v>
      </c>
      <c r="L55" s="504">
        <f t="shared" si="60"/>
        <v>1.1652200000000001</v>
      </c>
      <c r="M55" s="505">
        <v>12000</v>
      </c>
      <c r="N55" s="511">
        <v>9971.5099715100077</v>
      </c>
      <c r="O55" s="512"/>
      <c r="P55" s="512">
        <v>4985.7549857549602</v>
      </c>
      <c r="Q55" s="512"/>
      <c r="R55" s="512"/>
      <c r="S55" s="512"/>
      <c r="T55" s="512"/>
      <c r="U55" s="512"/>
      <c r="V55" s="512"/>
      <c r="W55" s="512"/>
      <c r="X55" s="512"/>
      <c r="Y55" s="512"/>
      <c r="Z55" s="513"/>
      <c r="AA55" s="467">
        <f t="shared" si="61"/>
        <v>-997.15099715100951</v>
      </c>
      <c r="AB55" s="467">
        <f t="shared" si="62"/>
        <v>2024216.5242165492</v>
      </c>
      <c r="AC55" s="466">
        <v>2025</v>
      </c>
      <c r="AD55" s="99" t="s">
        <v>1359</v>
      </c>
      <c r="AE55" s="510">
        <f t="shared" ref="AE55:AQ55" si="80">+IF(AE$38&lt;$AC55,$AA55*AE$38+$AB55,0)</f>
        <v>9971.5099715099204</v>
      </c>
      <c r="AF55" s="510">
        <f t="shared" si="80"/>
        <v>6980.056980056921</v>
      </c>
      <c r="AG55" s="510">
        <f t="shared" si="80"/>
        <v>0</v>
      </c>
      <c r="AH55" s="510">
        <f t="shared" si="80"/>
        <v>0</v>
      </c>
      <c r="AI55" s="510">
        <f t="shared" si="80"/>
        <v>0</v>
      </c>
      <c r="AJ55" s="510">
        <f t="shared" si="80"/>
        <v>0</v>
      </c>
      <c r="AK55" s="510">
        <f t="shared" si="80"/>
        <v>0</v>
      </c>
      <c r="AL55" s="510">
        <f t="shared" si="80"/>
        <v>0</v>
      </c>
      <c r="AM55" s="510">
        <f t="shared" si="80"/>
        <v>0</v>
      </c>
      <c r="AN55" s="510">
        <f t="shared" si="80"/>
        <v>0</v>
      </c>
      <c r="AO55" s="510">
        <f t="shared" si="80"/>
        <v>0</v>
      </c>
      <c r="AP55" s="510">
        <f t="shared" si="80"/>
        <v>0</v>
      </c>
      <c r="AQ55" s="510">
        <f t="shared" si="80"/>
        <v>0</v>
      </c>
    </row>
    <row r="56" spans="2:43" ht="15.75" customHeight="1" x14ac:dyDescent="0.25">
      <c r="B56" s="12" t="s">
        <v>1355</v>
      </c>
      <c r="C56" s="1" t="s">
        <v>1360</v>
      </c>
      <c r="D56" s="514">
        <v>1.1399999999999999</v>
      </c>
      <c r="E56" s="501"/>
      <c r="F56" s="446">
        <f t="shared" si="56"/>
        <v>1.1399999999999999</v>
      </c>
      <c r="G56" s="502">
        <f t="shared" si="57"/>
        <v>0.93119999999999992</v>
      </c>
      <c r="H56" s="502">
        <f t="shared" si="58"/>
        <v>6.8800000000000083E-2</v>
      </c>
      <c r="I56" s="502" t="str">
        <f t="shared" si="59"/>
        <v>Oil and Gas</v>
      </c>
      <c r="J56" s="503">
        <f>+F56*93.12%</f>
        <v>1.0615679999999998</v>
      </c>
      <c r="K56" s="99">
        <v>0.47</v>
      </c>
      <c r="L56" s="504">
        <f t="shared" si="60"/>
        <v>0.42360809472000044</v>
      </c>
      <c r="M56" s="505">
        <v>1200</v>
      </c>
      <c r="N56" s="511">
        <v>1011.5853658536586</v>
      </c>
      <c r="O56" s="512">
        <v>426.82926829268285</v>
      </c>
      <c r="P56" s="512">
        <v>273.17073170731692</v>
      </c>
      <c r="Q56" s="512">
        <v>170.73170731707319</v>
      </c>
      <c r="R56" s="512">
        <v>110.97560975609758</v>
      </c>
      <c r="S56" s="512">
        <v>55.487804878048792</v>
      </c>
      <c r="T56" s="512"/>
      <c r="U56" s="512"/>
      <c r="V56" s="512"/>
      <c r="W56" s="512"/>
      <c r="X56" s="512"/>
      <c r="Y56" s="512"/>
      <c r="Z56" s="513"/>
      <c r="AA56" s="467">
        <f t="shared" si="61"/>
        <v>-65.59624653132758</v>
      </c>
      <c r="AB56" s="467">
        <f t="shared" si="62"/>
        <v>133261.32430261426</v>
      </c>
      <c r="AC56" s="466">
        <v>2033</v>
      </c>
      <c r="AD56" s="99" t="s">
        <v>1360</v>
      </c>
      <c r="AE56" s="510">
        <f t="shared" ref="AE56:AQ56" si="81">+IF(AE$38&lt;$AC56,$AA56*AE$38+$AB56,0)</f>
        <v>756.90630933255306</v>
      </c>
      <c r="AF56" s="510">
        <f t="shared" si="81"/>
        <v>560.11756973856245</v>
      </c>
      <c r="AG56" s="510">
        <f t="shared" si="81"/>
        <v>428.92507667592145</v>
      </c>
      <c r="AH56" s="510">
        <f t="shared" si="81"/>
        <v>297.73258361325134</v>
      </c>
      <c r="AI56" s="510">
        <f t="shared" si="81"/>
        <v>100.94384401926072</v>
      </c>
      <c r="AJ56" s="510">
        <f t="shared" si="81"/>
        <v>0</v>
      </c>
      <c r="AK56" s="510">
        <f t="shared" si="81"/>
        <v>0</v>
      </c>
      <c r="AL56" s="510">
        <f t="shared" si="81"/>
        <v>0</v>
      </c>
      <c r="AM56" s="510">
        <f t="shared" si="81"/>
        <v>0</v>
      </c>
      <c r="AN56" s="510">
        <f t="shared" si="81"/>
        <v>0</v>
      </c>
      <c r="AO56" s="510">
        <f t="shared" si="81"/>
        <v>0</v>
      </c>
      <c r="AP56" s="510">
        <f t="shared" si="81"/>
        <v>0</v>
      </c>
      <c r="AQ56" s="510">
        <f t="shared" si="81"/>
        <v>0</v>
      </c>
    </row>
    <row r="57" spans="2:43" ht="15.75" customHeight="1" x14ac:dyDescent="0.25">
      <c r="B57" s="12" t="s">
        <v>1355</v>
      </c>
      <c r="C57" s="1" t="s">
        <v>1361</v>
      </c>
      <c r="D57" s="514">
        <v>1.31</v>
      </c>
      <c r="E57" s="501">
        <v>2.4087437053548013E-2</v>
      </c>
      <c r="F57" s="446">
        <f t="shared" si="56"/>
        <v>1.2859125629464521</v>
      </c>
      <c r="G57" s="502">
        <f t="shared" si="57"/>
        <v>0.95340000000000003</v>
      </c>
      <c r="H57" s="502">
        <f t="shared" si="58"/>
        <v>4.6599999999999975E-2</v>
      </c>
      <c r="I57" s="502" t="str">
        <f t="shared" si="59"/>
        <v>Oil and Gas</v>
      </c>
      <c r="J57" s="503">
        <f>+F57*95.34%</f>
        <v>1.2259890375131475</v>
      </c>
      <c r="K57" s="99">
        <v>0.37</v>
      </c>
      <c r="L57" s="504">
        <f t="shared" si="60"/>
        <v>0.33136031705905339</v>
      </c>
      <c r="M57" s="505">
        <v>500</v>
      </c>
      <c r="N57" s="511">
        <v>478.4770733757025</v>
      </c>
      <c r="O57" s="512"/>
      <c r="P57" s="512">
        <v>279.42512737013499</v>
      </c>
      <c r="Q57" s="512"/>
      <c r="R57" s="512">
        <v>141.14055360050423</v>
      </c>
      <c r="S57" s="512"/>
      <c r="T57" s="512">
        <v>88.287199957980988</v>
      </c>
      <c r="U57" s="512"/>
      <c r="V57" s="512">
        <v>56.323861547350248</v>
      </c>
      <c r="W57" s="512"/>
      <c r="X57" s="512">
        <v>35.752928200010388</v>
      </c>
      <c r="Y57" s="512"/>
      <c r="Z57" s="513">
        <v>22.784810126582215</v>
      </c>
      <c r="AA57" s="467">
        <f t="shared" si="61"/>
        <v>-13.851699143862602</v>
      </c>
      <c r="AB57" s="467">
        <f t="shared" si="62"/>
        <v>28345.663694071576</v>
      </c>
      <c r="AC57" s="466">
        <v>2053</v>
      </c>
      <c r="AD57" s="99" t="s">
        <v>1361</v>
      </c>
      <c r="AE57" s="510">
        <f t="shared" ref="AE57:AO57" si="82">+IF(AE$38&lt;$AC57,$AA57*AE$38+$AB57,0)</f>
        <v>365.23142346912209</v>
      </c>
      <c r="AF57" s="510">
        <f t="shared" si="82"/>
        <v>323.67632603753373</v>
      </c>
      <c r="AG57" s="510">
        <f t="shared" si="82"/>
        <v>295.97292774980815</v>
      </c>
      <c r="AH57" s="510">
        <f t="shared" si="82"/>
        <v>268.26952946208257</v>
      </c>
      <c r="AI57" s="510">
        <f t="shared" si="82"/>
        <v>226.71443203049421</v>
      </c>
      <c r="AJ57" s="510">
        <f t="shared" si="82"/>
        <v>185.15933459890584</v>
      </c>
      <c r="AK57" s="510">
        <f t="shared" si="82"/>
        <v>157.45593631118027</v>
      </c>
      <c r="AL57" s="510">
        <f t="shared" si="82"/>
        <v>129.75253802345469</v>
      </c>
      <c r="AM57" s="510">
        <f t="shared" si="82"/>
        <v>88.197440591869963</v>
      </c>
      <c r="AN57" s="510">
        <f t="shared" si="82"/>
        <v>46.642343160281598</v>
      </c>
      <c r="AO57" s="510">
        <f t="shared" si="82"/>
        <v>18.938944872556021</v>
      </c>
      <c r="AP57" s="510">
        <v>0</v>
      </c>
      <c r="AQ57" s="510">
        <v>0</v>
      </c>
    </row>
    <row r="58" spans="2:43" ht="15.75" customHeight="1" x14ac:dyDescent="0.25">
      <c r="B58" s="12" t="s">
        <v>628</v>
      </c>
      <c r="C58" s="1" t="s">
        <v>1362</v>
      </c>
      <c r="D58" s="514">
        <v>8.8000000000000007</v>
      </c>
      <c r="E58" s="501"/>
      <c r="F58" s="446">
        <f t="shared" si="56"/>
        <v>8.8000000000000007</v>
      </c>
      <c r="G58" s="502">
        <f t="shared" si="57"/>
        <v>0.9466</v>
      </c>
      <c r="H58" s="502">
        <f t="shared" si="58"/>
        <v>5.3400000000000003E-2</v>
      </c>
      <c r="I58" s="502" t="str">
        <f t="shared" si="59"/>
        <v>Oil and Gas</v>
      </c>
      <c r="J58" s="503">
        <f>+F58*94.66%</f>
        <v>8.3300800000000006</v>
      </c>
      <c r="K58" s="99">
        <v>2.82</v>
      </c>
      <c r="L58" s="504">
        <f t="shared" si="60"/>
        <v>2.5799923776000004</v>
      </c>
      <c r="M58" s="505">
        <v>3150</v>
      </c>
      <c r="N58" s="511">
        <v>3015.5763239875378</v>
      </c>
      <c r="O58" s="512"/>
      <c r="P58" s="512">
        <v>2068.5358255451711</v>
      </c>
      <c r="Q58" s="512"/>
      <c r="R58" s="512">
        <v>1096.5732087227407</v>
      </c>
      <c r="S58" s="512"/>
      <c r="T58" s="512">
        <v>747.66355140186806</v>
      </c>
      <c r="U58" s="512">
        <v>573.20872274143221</v>
      </c>
      <c r="V58" s="512"/>
      <c r="W58" s="512"/>
      <c r="X58" s="512"/>
      <c r="Y58" s="512"/>
      <c r="Z58" s="513"/>
      <c r="AA58" s="467">
        <f t="shared" si="61"/>
        <v>-143.23899073003355</v>
      </c>
      <c r="AB58" s="467">
        <f t="shared" si="62"/>
        <v>292189.51931400981</v>
      </c>
      <c r="AC58" s="466">
        <v>2039</v>
      </c>
      <c r="AD58" s="99" t="s">
        <v>1362</v>
      </c>
      <c r="AE58" s="510">
        <f t="shared" ref="AE58:AQ58" si="83">+IF(AE$38&lt;$AC58,$AA58*AE$38+$AB58,0)</f>
        <v>2846.7580393420649</v>
      </c>
      <c r="AF58" s="510">
        <f t="shared" si="83"/>
        <v>2417.0410671519348</v>
      </c>
      <c r="AG58" s="510">
        <f t="shared" si="83"/>
        <v>2130.563085691887</v>
      </c>
      <c r="AH58" s="510">
        <f t="shared" si="83"/>
        <v>1844.0851042317809</v>
      </c>
      <c r="AI58" s="510">
        <f t="shared" si="83"/>
        <v>1414.368132041709</v>
      </c>
      <c r="AJ58" s="510">
        <f t="shared" si="83"/>
        <v>984.651159851579</v>
      </c>
      <c r="AK58" s="510">
        <f t="shared" si="83"/>
        <v>698.17317839153111</v>
      </c>
      <c r="AL58" s="510">
        <f t="shared" si="83"/>
        <v>411.69519693148322</v>
      </c>
      <c r="AM58" s="510">
        <f t="shared" si="83"/>
        <v>0</v>
      </c>
      <c r="AN58" s="510">
        <f t="shared" si="83"/>
        <v>0</v>
      </c>
      <c r="AO58" s="510">
        <f t="shared" si="83"/>
        <v>0</v>
      </c>
      <c r="AP58" s="510">
        <f t="shared" si="83"/>
        <v>0</v>
      </c>
      <c r="AQ58" s="510">
        <f t="shared" si="83"/>
        <v>0</v>
      </c>
    </row>
    <row r="59" spans="2:43" ht="15.75" customHeight="1" x14ac:dyDescent="0.25">
      <c r="B59" s="12" t="s">
        <v>1355</v>
      </c>
      <c r="C59" s="1" t="s">
        <v>1363</v>
      </c>
      <c r="D59" s="514">
        <v>4.72</v>
      </c>
      <c r="E59" s="501"/>
      <c r="F59" s="446">
        <f t="shared" si="56"/>
        <v>4.72</v>
      </c>
      <c r="G59" s="502">
        <f t="shared" si="57"/>
        <v>0.73699999999999999</v>
      </c>
      <c r="H59" s="502">
        <f t="shared" si="58"/>
        <v>0.26300000000000001</v>
      </c>
      <c r="I59" s="502" t="str">
        <f t="shared" si="59"/>
        <v>Oil and Gas</v>
      </c>
      <c r="J59" s="503">
        <f>+F59*73.7%</f>
        <v>3.47864</v>
      </c>
      <c r="K59" s="99">
        <v>7.45</v>
      </c>
      <c r="L59" s="504">
        <f t="shared" si="60"/>
        <v>5.3063174560000004</v>
      </c>
      <c r="M59" s="505">
        <v>5000</v>
      </c>
      <c r="N59" s="511">
        <v>3418.0511603375526</v>
      </c>
      <c r="O59" s="512">
        <v>2772.6133966244743</v>
      </c>
      <c r="P59" s="512">
        <v>1873.6814345991588</v>
      </c>
      <c r="Q59" s="512">
        <v>773.00896624472807</v>
      </c>
      <c r="R59" s="512">
        <v>570.93881856540247</v>
      </c>
      <c r="S59" s="512"/>
      <c r="T59" s="512"/>
      <c r="U59" s="512"/>
      <c r="V59" s="512"/>
      <c r="W59" s="512"/>
      <c r="X59" s="512"/>
      <c r="Y59" s="512"/>
      <c r="Z59" s="513"/>
      <c r="AA59" s="467">
        <f t="shared" si="61"/>
        <v>-314.39259602793521</v>
      </c>
      <c r="AB59" s="467">
        <f t="shared" si="62"/>
        <v>638526.66571184306</v>
      </c>
      <c r="AC59" s="466">
        <v>2030</v>
      </c>
      <c r="AD59" s="99" t="s">
        <v>1363</v>
      </c>
      <c r="AE59" s="510">
        <f t="shared" ref="AE59:AQ59" si="84">+IF(AE$38&lt;$AC59,$AA59*AE$38+$AB59,0)</f>
        <v>3453.621735413908</v>
      </c>
      <c r="AF59" s="510">
        <f t="shared" si="84"/>
        <v>2510.4439473301172</v>
      </c>
      <c r="AG59" s="510">
        <f t="shared" si="84"/>
        <v>1881.6587552742567</v>
      </c>
      <c r="AH59" s="510">
        <f t="shared" si="84"/>
        <v>1252.8735632183962</v>
      </c>
      <c r="AI59" s="510">
        <f t="shared" si="84"/>
        <v>0</v>
      </c>
      <c r="AJ59" s="510">
        <f t="shared" si="84"/>
        <v>0</v>
      </c>
      <c r="AK59" s="510">
        <f t="shared" si="84"/>
        <v>0</v>
      </c>
      <c r="AL59" s="510">
        <f t="shared" si="84"/>
        <v>0</v>
      </c>
      <c r="AM59" s="510">
        <f t="shared" si="84"/>
        <v>0</v>
      </c>
      <c r="AN59" s="510">
        <f t="shared" si="84"/>
        <v>0</v>
      </c>
      <c r="AO59" s="510">
        <f t="shared" si="84"/>
        <v>0</v>
      </c>
      <c r="AP59" s="510">
        <f t="shared" si="84"/>
        <v>0</v>
      </c>
      <c r="AQ59" s="510">
        <f t="shared" si="84"/>
        <v>0</v>
      </c>
    </row>
    <row r="60" spans="2:43" ht="15.75" customHeight="1" x14ac:dyDescent="0.25">
      <c r="B60" s="12" t="s">
        <v>628</v>
      </c>
      <c r="C60" s="1" t="s">
        <v>1364</v>
      </c>
      <c r="D60" s="514">
        <v>11.27</v>
      </c>
      <c r="E60" s="518">
        <v>1.3007606922224821</v>
      </c>
      <c r="F60" s="519">
        <f t="shared" si="56"/>
        <v>9.9692393077775172</v>
      </c>
      <c r="G60" s="502">
        <f t="shared" si="57"/>
        <v>1.1304774268190845</v>
      </c>
      <c r="H60" s="502">
        <f t="shared" si="58"/>
        <v>-0.13047742681908447</v>
      </c>
      <c r="I60" s="502" t="str">
        <f t="shared" si="59"/>
        <v>Oil</v>
      </c>
      <c r="J60" s="503">
        <v>11.27</v>
      </c>
      <c r="K60" s="99">
        <v>0</v>
      </c>
      <c r="L60" s="504">
        <f t="shared" si="60"/>
        <v>-8.5287874814562752</v>
      </c>
      <c r="M60" s="505">
        <v>3450</v>
      </c>
      <c r="N60" s="511">
        <v>2515.9744408945689</v>
      </c>
      <c r="O60" s="512">
        <v>2180.5111821086266</v>
      </c>
      <c r="P60" s="512">
        <v>1744.408945686901</v>
      </c>
      <c r="Q60" s="512"/>
      <c r="R60" s="512">
        <v>1230.031948881789</v>
      </c>
      <c r="S60" s="512"/>
      <c r="T60" s="512">
        <v>861.02236421725229</v>
      </c>
      <c r="U60" s="512"/>
      <c r="V60" s="512">
        <v>615.01597444089475</v>
      </c>
      <c r="W60" s="512"/>
      <c r="X60" s="512">
        <v>447.28434504792313</v>
      </c>
      <c r="Y60" s="512"/>
      <c r="Z60" s="513">
        <v>313.09904153354637</v>
      </c>
      <c r="AA60" s="467">
        <f t="shared" si="61"/>
        <v>-73.116911247089405</v>
      </c>
      <c r="AB60" s="467">
        <f t="shared" si="62"/>
        <v>149921.65755130773</v>
      </c>
      <c r="AC60" s="466">
        <v>2067</v>
      </c>
      <c r="AD60" s="99" t="s">
        <v>1364</v>
      </c>
      <c r="AE60" s="510">
        <f t="shared" ref="AE60:AQ60" si="85">+IF(AE$38&lt;$AC60,$AA60*AE$38+$AB60,0)</f>
        <v>2225.496832187142</v>
      </c>
      <c r="AF60" s="510">
        <f t="shared" si="85"/>
        <v>2006.1460984458681</v>
      </c>
      <c r="AG60" s="510">
        <f t="shared" si="85"/>
        <v>1859.9122759516758</v>
      </c>
      <c r="AH60" s="510">
        <f t="shared" si="85"/>
        <v>1713.6784534575127</v>
      </c>
      <c r="AI60" s="510">
        <f t="shared" si="85"/>
        <v>1494.3277197162388</v>
      </c>
      <c r="AJ60" s="510">
        <f t="shared" si="85"/>
        <v>1274.9769859749649</v>
      </c>
      <c r="AK60" s="510">
        <f t="shared" si="85"/>
        <v>1128.7431634807726</v>
      </c>
      <c r="AL60" s="510">
        <f t="shared" si="85"/>
        <v>982.50934098660946</v>
      </c>
      <c r="AM60" s="510">
        <f t="shared" si="85"/>
        <v>763.15860724533559</v>
      </c>
      <c r="AN60" s="510">
        <f t="shared" si="85"/>
        <v>543.80787350406172</v>
      </c>
      <c r="AO60" s="510">
        <f t="shared" si="85"/>
        <v>397.57405100989854</v>
      </c>
      <c r="AP60" s="510">
        <f t="shared" si="85"/>
        <v>251.34022851570626</v>
      </c>
      <c r="AQ60" s="510">
        <f t="shared" si="85"/>
        <v>31.989494774432387</v>
      </c>
    </row>
    <row r="61" spans="2:43" ht="15.75" customHeight="1" x14ac:dyDescent="0.25">
      <c r="B61" s="12" t="s">
        <v>628</v>
      </c>
      <c r="C61" s="1" t="s">
        <v>1229</v>
      </c>
      <c r="D61" s="514">
        <v>3.84</v>
      </c>
      <c r="E61" s="501"/>
      <c r="F61" s="446">
        <f t="shared" si="56"/>
        <v>3.84</v>
      </c>
      <c r="G61" s="502">
        <f t="shared" si="57"/>
        <v>0</v>
      </c>
      <c r="H61" s="502">
        <f t="shared" si="58"/>
        <v>1</v>
      </c>
      <c r="I61" s="502" t="str">
        <f t="shared" si="59"/>
        <v>Gas</v>
      </c>
      <c r="J61" s="503"/>
      <c r="K61" s="99">
        <v>23.03</v>
      </c>
      <c r="L61" s="504">
        <f t="shared" si="60"/>
        <v>0</v>
      </c>
      <c r="M61" s="505">
        <v>5700</v>
      </c>
      <c r="N61" s="511">
        <v>5461.7834394904457</v>
      </c>
      <c r="O61" s="512">
        <v>1738.8535031847141</v>
      </c>
      <c r="P61" s="512">
        <v>936.30573248407654</v>
      </c>
      <c r="Q61" s="512">
        <v>468.15286624203873</v>
      </c>
      <c r="R61" s="512"/>
      <c r="S61" s="512"/>
      <c r="T61" s="512"/>
      <c r="U61" s="512"/>
      <c r="V61" s="512"/>
      <c r="W61" s="512"/>
      <c r="X61" s="512"/>
      <c r="Y61" s="512"/>
      <c r="Z61" s="513"/>
      <c r="AA61" s="467">
        <f t="shared" si="61"/>
        <v>-713.79248764807414</v>
      </c>
      <c r="AB61" s="467">
        <f t="shared" si="62"/>
        <v>1446688.8207631402</v>
      </c>
      <c r="AC61" s="466">
        <v>2028</v>
      </c>
      <c r="AD61" s="99" t="s">
        <v>1229</v>
      </c>
      <c r="AE61" s="510">
        <f t="shared" ref="AE61:AG61" si="86">+IF(AE$38&lt;$AC61,$AA61*AE$38+$AB61,0)</f>
        <v>4827.9957140304614</v>
      </c>
      <c r="AF61" s="510">
        <f t="shared" si="86"/>
        <v>2686.6182510862127</v>
      </c>
      <c r="AG61" s="510">
        <f t="shared" si="86"/>
        <v>1259.0332757900469</v>
      </c>
      <c r="AH61" s="510">
        <v>0</v>
      </c>
      <c r="AI61" s="510">
        <f t="shared" ref="AI61:AQ61" si="87">+IF(AI$38&lt;$AC61,$AA61*AI$38+$AB61,0)</f>
        <v>0</v>
      </c>
      <c r="AJ61" s="510">
        <f t="shared" si="87"/>
        <v>0</v>
      </c>
      <c r="AK61" s="510">
        <f t="shared" si="87"/>
        <v>0</v>
      </c>
      <c r="AL61" s="510">
        <f t="shared" si="87"/>
        <v>0</v>
      </c>
      <c r="AM61" s="510">
        <f t="shared" si="87"/>
        <v>0</v>
      </c>
      <c r="AN61" s="510">
        <f t="shared" si="87"/>
        <v>0</v>
      </c>
      <c r="AO61" s="510">
        <f t="shared" si="87"/>
        <v>0</v>
      </c>
      <c r="AP61" s="510">
        <f t="shared" si="87"/>
        <v>0</v>
      </c>
      <c r="AQ61" s="510">
        <f t="shared" si="87"/>
        <v>0</v>
      </c>
    </row>
    <row r="62" spans="2:43" ht="15.75" customHeight="1" x14ac:dyDescent="0.25">
      <c r="B62" s="12" t="s">
        <v>628</v>
      </c>
      <c r="C62" s="1" t="s">
        <v>1365</v>
      </c>
      <c r="D62" s="514">
        <v>14.92</v>
      </c>
      <c r="E62" s="501"/>
      <c r="F62" s="446">
        <f t="shared" si="56"/>
        <v>14.92</v>
      </c>
      <c r="G62" s="502">
        <f t="shared" si="57"/>
        <v>0.99739999999999995</v>
      </c>
      <c r="H62" s="502">
        <f t="shared" si="58"/>
        <v>2.6000000000000467E-3</v>
      </c>
      <c r="I62" s="502" t="str">
        <f t="shared" si="59"/>
        <v>Oil and Gas</v>
      </c>
      <c r="J62" s="503">
        <f>+F62*99.74%</f>
        <v>14.881207999999999</v>
      </c>
      <c r="K62" s="99">
        <v>0.24</v>
      </c>
      <c r="L62" s="504">
        <f t="shared" si="60"/>
        <v>0.22440861664000403</v>
      </c>
      <c r="M62" s="505">
        <v>12100</v>
      </c>
      <c r="N62" s="511">
        <v>10378.588980143002</v>
      </c>
      <c r="O62" s="512"/>
      <c r="P62" s="512">
        <v>4118.367166227612</v>
      </c>
      <c r="Q62" s="512"/>
      <c r="R62" s="512">
        <v>1302.5922564363664</v>
      </c>
      <c r="S62" s="512"/>
      <c r="T62" s="512">
        <v>695.4596772408313</v>
      </c>
      <c r="U62" s="512"/>
      <c r="V62" s="512">
        <v>529.80762845062418</v>
      </c>
      <c r="W62" s="512"/>
      <c r="X62" s="512"/>
      <c r="Y62" s="512"/>
      <c r="Z62" s="513"/>
      <c r="AA62" s="467">
        <f t="shared" si="61"/>
        <v>-462.40940384743078</v>
      </c>
      <c r="AB62" s="467">
        <f t="shared" si="62"/>
        <v>942096.05295198411</v>
      </c>
      <c r="AC62" s="466">
        <v>2043</v>
      </c>
      <c r="AD62" s="99" t="s">
        <v>1365</v>
      </c>
      <c r="AE62" s="510">
        <f t="shared" ref="AE62:AL62" si="88">+IF(AE$38&lt;$AC62,$AA62*AE$38+$AB62,0)</f>
        <v>8029.0571801739279</v>
      </c>
      <c r="AF62" s="510">
        <f t="shared" si="88"/>
        <v>6641.8289686316857</v>
      </c>
      <c r="AG62" s="510">
        <f t="shared" si="88"/>
        <v>5717.0101609367412</v>
      </c>
      <c r="AH62" s="510">
        <f t="shared" si="88"/>
        <v>4792.191353241913</v>
      </c>
      <c r="AI62" s="510">
        <f t="shared" si="88"/>
        <v>3404.9631416996708</v>
      </c>
      <c r="AJ62" s="510">
        <f t="shared" si="88"/>
        <v>2017.7349301573122</v>
      </c>
      <c r="AK62" s="510">
        <f t="shared" si="88"/>
        <v>1092.9161224624841</v>
      </c>
      <c r="AL62" s="510">
        <f t="shared" si="88"/>
        <v>168.09731476765592</v>
      </c>
      <c r="AM62" s="510">
        <v>0</v>
      </c>
      <c r="AN62" s="510">
        <f t="shared" ref="AN62:AQ62" si="89">+IF(AN$38&lt;$AC62,$AA62*AN$38+$AB62,0)</f>
        <v>0</v>
      </c>
      <c r="AO62" s="510">
        <f t="shared" si="89"/>
        <v>0</v>
      </c>
      <c r="AP62" s="510">
        <f t="shared" si="89"/>
        <v>0</v>
      </c>
      <c r="AQ62" s="510">
        <f t="shared" si="89"/>
        <v>0</v>
      </c>
    </row>
    <row r="63" spans="2:43" ht="15.75" customHeight="1" x14ac:dyDescent="0.25">
      <c r="B63" s="12" t="s">
        <v>628</v>
      </c>
      <c r="C63" s="1" t="s">
        <v>1256</v>
      </c>
      <c r="D63" s="514">
        <v>43.42</v>
      </c>
      <c r="E63" s="501"/>
      <c r="F63" s="446">
        <f t="shared" si="56"/>
        <v>43.42</v>
      </c>
      <c r="G63" s="502">
        <f t="shared" si="57"/>
        <v>0.93490000000000006</v>
      </c>
      <c r="H63" s="502">
        <f t="shared" si="58"/>
        <v>6.5099999999999936E-2</v>
      </c>
      <c r="I63" s="502" t="str">
        <f t="shared" si="59"/>
        <v>Oil and Gas</v>
      </c>
      <c r="J63" s="503">
        <f>+F63*93.49%</f>
        <v>40.593358000000002</v>
      </c>
      <c r="K63" s="99">
        <v>16.96</v>
      </c>
      <c r="L63" s="504">
        <f t="shared" si="60"/>
        <v>15.327240113639984</v>
      </c>
      <c r="M63" s="505">
        <v>30000</v>
      </c>
      <c r="N63" s="511">
        <v>25106.666666666664</v>
      </c>
      <c r="O63" s="512"/>
      <c r="P63" s="512">
        <v>11573.333333333336</v>
      </c>
      <c r="Q63" s="512"/>
      <c r="R63" s="512">
        <v>4200</v>
      </c>
      <c r="S63" s="512"/>
      <c r="T63" s="512">
        <v>2146.6666666666642</v>
      </c>
      <c r="U63" s="512"/>
      <c r="V63" s="512">
        <v>1213.3333333333358</v>
      </c>
      <c r="W63" s="512"/>
      <c r="X63" s="512"/>
      <c r="Y63" s="512"/>
      <c r="Z63" s="513"/>
      <c r="AA63" s="467">
        <f t="shared" si="61"/>
        <v>-1144.2666666666664</v>
      </c>
      <c r="AB63" s="467">
        <f t="shared" si="62"/>
        <v>2331709.333333333</v>
      </c>
      <c r="AC63" s="466">
        <v>2042</v>
      </c>
      <c r="AD63" s="99" t="s">
        <v>1256</v>
      </c>
      <c r="AE63" s="510">
        <f t="shared" ref="AE63:AL63" si="90">+IF(AE$38&lt;$AC63,$AA63*AE$38+$AB63,0)</f>
        <v>20290.666666666977</v>
      </c>
      <c r="AF63" s="510">
        <f t="shared" si="90"/>
        <v>16857.866666666698</v>
      </c>
      <c r="AG63" s="510">
        <f t="shared" si="90"/>
        <v>14569.333333333489</v>
      </c>
      <c r="AH63" s="510">
        <f t="shared" si="90"/>
        <v>12280.800000000279</v>
      </c>
      <c r="AI63" s="510">
        <f t="shared" si="90"/>
        <v>8848</v>
      </c>
      <c r="AJ63" s="510">
        <f t="shared" si="90"/>
        <v>5415.2000000001863</v>
      </c>
      <c r="AK63" s="510">
        <f t="shared" si="90"/>
        <v>3126.6666666669771</v>
      </c>
      <c r="AL63" s="510">
        <f t="shared" si="90"/>
        <v>838.13333333330229</v>
      </c>
      <c r="AM63" s="510">
        <v>0</v>
      </c>
      <c r="AN63" s="510">
        <f t="shared" ref="AN63:AQ63" si="91">+IF(AN$38&lt;$AC63,$AA63*AN$38+$AB63,0)</f>
        <v>0</v>
      </c>
      <c r="AO63" s="510">
        <f t="shared" si="91"/>
        <v>0</v>
      </c>
      <c r="AP63" s="510">
        <f t="shared" si="91"/>
        <v>0</v>
      </c>
      <c r="AQ63" s="510">
        <f t="shared" si="91"/>
        <v>0</v>
      </c>
    </row>
    <row r="64" spans="2:43" ht="15.75" customHeight="1" x14ac:dyDescent="0.25">
      <c r="B64" s="12" t="s">
        <v>628</v>
      </c>
      <c r="C64" s="1" t="s">
        <v>1246</v>
      </c>
      <c r="D64" s="514">
        <v>7.3</v>
      </c>
      <c r="E64" s="501"/>
      <c r="F64" s="446">
        <f t="shared" si="56"/>
        <v>7.3</v>
      </c>
      <c r="G64" s="502">
        <f t="shared" si="57"/>
        <v>0.89639999999999997</v>
      </c>
      <c r="H64" s="502">
        <f t="shared" si="58"/>
        <v>0.10360000000000003</v>
      </c>
      <c r="I64" s="502" t="str">
        <f t="shared" si="59"/>
        <v>Oil and Gas</v>
      </c>
      <c r="J64" s="503">
        <f>+F64*89.64%</f>
        <v>6.5437199999999995</v>
      </c>
      <c r="K64" s="99">
        <v>4.54</v>
      </c>
      <c r="L64" s="504">
        <f t="shared" si="60"/>
        <v>3.9319904736000009</v>
      </c>
      <c r="M64" s="505">
        <v>2100</v>
      </c>
      <c r="N64" s="511">
        <v>1984.4236760124613</v>
      </c>
      <c r="O64" s="512"/>
      <c r="P64" s="512">
        <v>1548.2866043613712</v>
      </c>
      <c r="Q64" s="512"/>
      <c r="R64" s="512">
        <v>937.6947040498444</v>
      </c>
      <c r="S64" s="512"/>
      <c r="T64" s="512">
        <v>632.39875389408189</v>
      </c>
      <c r="U64" s="512"/>
      <c r="V64" s="512">
        <v>414.33021806853685</v>
      </c>
      <c r="W64" s="512">
        <v>370.71651090342766</v>
      </c>
      <c r="X64" s="512"/>
      <c r="Y64" s="512"/>
      <c r="Z64" s="513"/>
      <c r="AA64" s="467">
        <f t="shared" si="61"/>
        <v>-72.199748918956587</v>
      </c>
      <c r="AB64" s="467">
        <f t="shared" si="62"/>
        <v>147703.23150602126</v>
      </c>
      <c r="AC64" s="466">
        <v>2044</v>
      </c>
      <c r="AD64" s="99" t="s">
        <v>1246</v>
      </c>
      <c r="AE64" s="510">
        <f t="shared" ref="AE64:AQ64" si="92">+IF(AE$38&lt;$AC64,$AA64*AE$38+$AB64,0)</f>
        <v>1859.7386897289543</v>
      </c>
      <c r="AF64" s="510">
        <f t="shared" si="92"/>
        <v>1643.1394429720822</v>
      </c>
      <c r="AG64" s="510">
        <f t="shared" si="92"/>
        <v>1498.7399451341771</v>
      </c>
      <c r="AH64" s="510">
        <f t="shared" si="92"/>
        <v>1354.3404472962429</v>
      </c>
      <c r="AI64" s="510">
        <f t="shared" si="92"/>
        <v>1137.7412005393999</v>
      </c>
      <c r="AJ64" s="510">
        <f t="shared" si="92"/>
        <v>921.14195378252771</v>
      </c>
      <c r="AK64" s="510">
        <f t="shared" si="92"/>
        <v>776.74245594459353</v>
      </c>
      <c r="AL64" s="510">
        <f t="shared" si="92"/>
        <v>632.34295810668846</v>
      </c>
      <c r="AM64" s="510">
        <f t="shared" si="92"/>
        <v>415.74371134981629</v>
      </c>
      <c r="AN64" s="510">
        <f t="shared" si="92"/>
        <v>199.14446459294413</v>
      </c>
      <c r="AO64" s="510">
        <f t="shared" si="92"/>
        <v>0</v>
      </c>
      <c r="AP64" s="510">
        <f t="shared" si="92"/>
        <v>0</v>
      </c>
      <c r="AQ64" s="510">
        <f t="shared" si="92"/>
        <v>0</v>
      </c>
    </row>
    <row r="65" spans="2:43" ht="15.75" customHeight="1" x14ac:dyDescent="0.25">
      <c r="B65" s="12" t="s">
        <v>628</v>
      </c>
      <c r="C65" s="1" t="s">
        <v>1366</v>
      </c>
      <c r="D65" s="514">
        <v>130.22</v>
      </c>
      <c r="E65" s="501"/>
      <c r="F65" s="446">
        <f t="shared" si="56"/>
        <v>130.22</v>
      </c>
      <c r="G65" s="502">
        <f t="shared" si="57"/>
        <v>0.63649999999999995</v>
      </c>
      <c r="H65" s="502">
        <f t="shared" si="58"/>
        <v>0.36350000000000005</v>
      </c>
      <c r="I65" s="502" t="str">
        <f t="shared" si="59"/>
        <v>Oil and Gas</v>
      </c>
      <c r="J65" s="503">
        <f>+F65*63.65%</f>
        <v>82.88503</v>
      </c>
      <c r="K65" s="99">
        <v>284</v>
      </c>
      <c r="L65" s="504">
        <f t="shared" si="60"/>
        <v>174.74650874900004</v>
      </c>
      <c r="M65" s="505">
        <v>59000</v>
      </c>
      <c r="N65" s="511">
        <v>56720.867208672084</v>
      </c>
      <c r="O65" s="512">
        <v>45149.051490514903</v>
      </c>
      <c r="P65" s="512">
        <v>33197.83197831978</v>
      </c>
      <c r="Q65" s="512">
        <v>20298.102981029806</v>
      </c>
      <c r="R65" s="512">
        <v>14986.449864498638</v>
      </c>
      <c r="S65" s="512">
        <v>10433.604336043354</v>
      </c>
      <c r="T65" s="512">
        <v>7777.7777777777665</v>
      </c>
      <c r="U65" s="512">
        <v>5880.7588075880631</v>
      </c>
      <c r="V65" s="512">
        <v>4363.1436314363091</v>
      </c>
      <c r="W65" s="512"/>
      <c r="X65" s="512"/>
      <c r="Y65" s="512"/>
      <c r="Z65" s="513"/>
      <c r="AA65" s="467">
        <f t="shared" si="61"/>
        <v>-2609.6968619959425</v>
      </c>
      <c r="AB65" s="467">
        <f t="shared" si="62"/>
        <v>5319774.3618601942</v>
      </c>
      <c r="AC65" s="466">
        <v>2043</v>
      </c>
      <c r="AD65" s="99" t="s">
        <v>1366</v>
      </c>
      <c r="AE65" s="510">
        <f t="shared" ref="AE65:AL65" si="93">+IF(AE$38&lt;$AC65,$AA65*AE$38+$AB65,0)</f>
        <v>48186.700628390536</v>
      </c>
      <c r="AF65" s="510">
        <f t="shared" si="93"/>
        <v>40357.610042402521</v>
      </c>
      <c r="AG65" s="510">
        <f t="shared" si="93"/>
        <v>35138.216318410821</v>
      </c>
      <c r="AH65" s="510">
        <f t="shared" si="93"/>
        <v>29918.822594419122</v>
      </c>
      <c r="AI65" s="510">
        <f t="shared" si="93"/>
        <v>22089.732008431107</v>
      </c>
      <c r="AJ65" s="510">
        <f t="shared" si="93"/>
        <v>14260.641422443092</v>
      </c>
      <c r="AK65" s="510">
        <f t="shared" si="93"/>
        <v>9041.2476984513924</v>
      </c>
      <c r="AL65" s="510">
        <f t="shared" si="93"/>
        <v>3821.8539744596928</v>
      </c>
      <c r="AM65" s="510">
        <v>0</v>
      </c>
      <c r="AN65" s="510">
        <f t="shared" ref="AN65:AQ65" si="94">+IF(AN$38&lt;$AC65,$AA65*AN$38+$AB65,0)</f>
        <v>0</v>
      </c>
      <c r="AO65" s="510">
        <f t="shared" si="94"/>
        <v>0</v>
      </c>
      <c r="AP65" s="510">
        <f t="shared" si="94"/>
        <v>0</v>
      </c>
      <c r="AQ65" s="510">
        <f t="shared" si="94"/>
        <v>0</v>
      </c>
    </row>
    <row r="66" spans="2:43" ht="15.75" customHeight="1" x14ac:dyDescent="0.25">
      <c r="B66" s="12" t="s">
        <v>628</v>
      </c>
      <c r="C66" s="1" t="s">
        <v>1367</v>
      </c>
      <c r="D66" s="514">
        <v>0.57999999999999996</v>
      </c>
      <c r="E66" s="501"/>
      <c r="F66" s="446">
        <f t="shared" si="56"/>
        <v>0.57999999999999996</v>
      </c>
      <c r="G66" s="502">
        <f t="shared" si="57"/>
        <v>1</v>
      </c>
      <c r="H66" s="502">
        <f t="shared" si="58"/>
        <v>0</v>
      </c>
      <c r="I66" s="502" t="str">
        <f t="shared" si="59"/>
        <v>Oil</v>
      </c>
      <c r="J66" s="503">
        <f>+F66</f>
        <v>0.57999999999999996</v>
      </c>
      <c r="K66" s="99">
        <v>0</v>
      </c>
      <c r="L66" s="504">
        <f t="shared" si="60"/>
        <v>0</v>
      </c>
      <c r="M66" s="505">
        <v>550</v>
      </c>
      <c r="N66" s="511">
        <v>473.60248447204958</v>
      </c>
      <c r="O66" s="512">
        <v>349.37888198757764</v>
      </c>
      <c r="P66" s="512">
        <v>163.04347826086996</v>
      </c>
      <c r="Q66" s="512">
        <v>108.695652173913</v>
      </c>
      <c r="R66" s="512">
        <v>77.639751552795133</v>
      </c>
      <c r="S66" s="512"/>
      <c r="T66" s="512"/>
      <c r="U66" s="512"/>
      <c r="V66" s="512"/>
      <c r="W66" s="512"/>
      <c r="X66" s="512"/>
      <c r="Y66" s="512"/>
      <c r="Z66" s="513"/>
      <c r="AA66" s="467">
        <f t="shared" si="61"/>
        <v>-42.434140072820718</v>
      </c>
      <c r="AB66" s="467">
        <f t="shared" si="62"/>
        <v>86163.605697151404</v>
      </c>
      <c r="AC66" s="466">
        <v>2031</v>
      </c>
      <c r="AD66" s="99" t="s">
        <v>1367</v>
      </c>
      <c r="AE66" s="510">
        <f t="shared" ref="AE66:AQ66" si="95">+IF(AE$38&lt;$AC66,$AA66*AE$38+$AB66,0)</f>
        <v>446.64275005355012</v>
      </c>
      <c r="AF66" s="510">
        <f t="shared" si="95"/>
        <v>319.34032983508951</v>
      </c>
      <c r="AG66" s="510">
        <f t="shared" si="95"/>
        <v>234.47204968944425</v>
      </c>
      <c r="AH66" s="510">
        <f t="shared" si="95"/>
        <v>149.60376954381354</v>
      </c>
      <c r="AI66" s="510">
        <f t="shared" si="95"/>
        <v>22.30134932535293</v>
      </c>
      <c r="AJ66" s="510">
        <f t="shared" si="95"/>
        <v>0</v>
      </c>
      <c r="AK66" s="510">
        <f t="shared" si="95"/>
        <v>0</v>
      </c>
      <c r="AL66" s="510">
        <f t="shared" si="95"/>
        <v>0</v>
      </c>
      <c r="AM66" s="510">
        <f t="shared" si="95"/>
        <v>0</v>
      </c>
      <c r="AN66" s="510">
        <f t="shared" si="95"/>
        <v>0</v>
      </c>
      <c r="AO66" s="510">
        <f t="shared" si="95"/>
        <v>0</v>
      </c>
      <c r="AP66" s="510">
        <f t="shared" si="95"/>
        <v>0</v>
      </c>
      <c r="AQ66" s="510">
        <f t="shared" si="95"/>
        <v>0</v>
      </c>
    </row>
    <row r="67" spans="2:43" ht="15.75" customHeight="1" x14ac:dyDescent="0.25">
      <c r="B67" s="12" t="s">
        <v>628</v>
      </c>
      <c r="C67" s="1" t="s">
        <v>1238</v>
      </c>
      <c r="D67" s="514">
        <v>272.89999999999998</v>
      </c>
      <c r="E67" s="501"/>
      <c r="F67" s="446">
        <f t="shared" si="56"/>
        <v>272.89999999999998</v>
      </c>
      <c r="G67" s="502">
        <f t="shared" si="57"/>
        <v>0.99776474899230505</v>
      </c>
      <c r="H67" s="502">
        <f t="shared" si="58"/>
        <v>2.2352510076949494E-3</v>
      </c>
      <c r="I67" s="502" t="str">
        <f t="shared" si="59"/>
        <v>Oil and Gas</v>
      </c>
      <c r="J67" s="503">
        <v>272.29000000000002</v>
      </c>
      <c r="K67" s="99">
        <v>0</v>
      </c>
      <c r="L67" s="504">
        <f t="shared" si="60"/>
        <v>3.5300916819344952</v>
      </c>
      <c r="M67" s="505">
        <v>112500</v>
      </c>
      <c r="N67" s="511">
        <v>106081.08108108109</v>
      </c>
      <c r="O67" s="512"/>
      <c r="P67" s="512">
        <v>70945.945945945947</v>
      </c>
      <c r="Q67" s="512"/>
      <c r="R67" s="512">
        <v>37162.16216216216</v>
      </c>
      <c r="S67" s="512"/>
      <c r="T67" s="512">
        <v>23648.648648648639</v>
      </c>
      <c r="U67" s="512"/>
      <c r="V67" s="512"/>
      <c r="W67" s="512"/>
      <c r="X67" s="512"/>
      <c r="Y67" s="512"/>
      <c r="Z67" s="513"/>
      <c r="AA67" s="467">
        <f t="shared" si="61"/>
        <v>-5621.6216216216235</v>
      </c>
      <c r="AB67" s="467">
        <f t="shared" si="62"/>
        <v>11457297.297297301</v>
      </c>
      <c r="AC67" s="466">
        <v>2036</v>
      </c>
      <c r="AD67" s="99" t="s">
        <v>1238</v>
      </c>
      <c r="AE67" s="510">
        <f t="shared" ref="AE67:AQ67" si="96">+IF(AE$38&lt;$AC67,$AA67*AE$38+$AB67,0)</f>
        <v>101621.62162162177</v>
      </c>
      <c r="AF67" s="510">
        <f t="shared" si="96"/>
        <v>84756.756756756455</v>
      </c>
      <c r="AG67" s="510">
        <f t="shared" si="96"/>
        <v>73513.513513512909</v>
      </c>
      <c r="AH67" s="510">
        <f t="shared" si="96"/>
        <v>62270.270270269364</v>
      </c>
      <c r="AI67" s="510">
        <f t="shared" si="96"/>
        <v>45405.405405405909</v>
      </c>
      <c r="AJ67" s="510">
        <f t="shared" si="96"/>
        <v>28540.540540540591</v>
      </c>
      <c r="AK67" s="510">
        <f t="shared" si="96"/>
        <v>17297.297297297046</v>
      </c>
      <c r="AL67" s="510">
        <f t="shared" si="96"/>
        <v>0</v>
      </c>
      <c r="AM67" s="510">
        <f t="shared" si="96"/>
        <v>0</v>
      </c>
      <c r="AN67" s="510">
        <f t="shared" si="96"/>
        <v>0</v>
      </c>
      <c r="AO67" s="510">
        <f t="shared" si="96"/>
        <v>0</v>
      </c>
      <c r="AP67" s="510">
        <f t="shared" si="96"/>
        <v>0</v>
      </c>
      <c r="AQ67" s="510">
        <f t="shared" si="96"/>
        <v>0</v>
      </c>
    </row>
    <row r="68" spans="2:43" ht="15.75" customHeight="1" x14ac:dyDescent="0.25">
      <c r="B68" s="12" t="s">
        <v>628</v>
      </c>
      <c r="C68" s="1" t="s">
        <v>1261</v>
      </c>
      <c r="D68" s="514">
        <v>24.09</v>
      </c>
      <c r="E68" s="518">
        <v>4.0367067645542747</v>
      </c>
      <c r="F68" s="519">
        <f t="shared" si="56"/>
        <v>20.053293235445725</v>
      </c>
      <c r="G68" s="502">
        <f t="shared" si="57"/>
        <v>1</v>
      </c>
      <c r="H68" s="502">
        <f t="shared" si="58"/>
        <v>0</v>
      </c>
      <c r="I68" s="502" t="str">
        <f t="shared" si="59"/>
        <v>Oil</v>
      </c>
      <c r="J68" s="503">
        <f t="shared" ref="J68:J69" si="97">+F68</f>
        <v>20.053293235445725</v>
      </c>
      <c r="K68" s="99">
        <v>0</v>
      </c>
      <c r="L68" s="504">
        <f t="shared" si="60"/>
        <v>0</v>
      </c>
      <c r="M68" s="505">
        <v>4000</v>
      </c>
      <c r="N68" s="511">
        <v>3685.1509048868647</v>
      </c>
      <c r="O68" s="512">
        <v>3841.6159807970034</v>
      </c>
      <c r="P68" s="512">
        <v>3234.0636166995537</v>
      </c>
      <c r="Q68" s="512"/>
      <c r="R68" s="512">
        <v>2400.88284952908</v>
      </c>
      <c r="S68" s="512"/>
      <c r="T68" s="512">
        <v>1796.8903625650128</v>
      </c>
      <c r="U68" s="512"/>
      <c r="V68" s="512">
        <v>1422.2556737660816</v>
      </c>
      <c r="W68" s="512"/>
      <c r="X68" s="512">
        <v>1124.0735843555267</v>
      </c>
      <c r="Y68" s="512"/>
      <c r="Z68" s="513">
        <v>978.79669372173157</v>
      </c>
      <c r="AA68" s="467">
        <f t="shared" si="61"/>
        <v>-102.85974169469129</v>
      </c>
      <c r="AB68" s="467">
        <f t="shared" si="62"/>
        <v>211475.75094444485</v>
      </c>
      <c r="AC68" s="466">
        <v>2064</v>
      </c>
      <c r="AD68" s="99" t="s">
        <v>1261</v>
      </c>
      <c r="AE68" s="510">
        <f t="shared" ref="AE68:AQ68" si="98">+IF(AE$38&lt;$AC68,$AA68*AE$38+$AB68,0)</f>
        <v>3699.072721168428</v>
      </c>
      <c r="AF68" s="510">
        <f t="shared" si="98"/>
        <v>3390.493496084353</v>
      </c>
      <c r="AG68" s="510">
        <f t="shared" si="98"/>
        <v>3184.7740126949793</v>
      </c>
      <c r="AH68" s="510">
        <f t="shared" si="98"/>
        <v>2979.0545293056057</v>
      </c>
      <c r="AI68" s="510">
        <f t="shared" si="98"/>
        <v>2670.4753042215307</v>
      </c>
      <c r="AJ68" s="510">
        <f t="shared" si="98"/>
        <v>2361.8960791374557</v>
      </c>
      <c r="AK68" s="510">
        <f t="shared" si="98"/>
        <v>2156.1765957480529</v>
      </c>
      <c r="AL68" s="510">
        <f t="shared" si="98"/>
        <v>1950.4571123586793</v>
      </c>
      <c r="AM68" s="510">
        <f t="shared" si="98"/>
        <v>1641.8778872746043</v>
      </c>
      <c r="AN68" s="510">
        <f t="shared" si="98"/>
        <v>1333.2986621905293</v>
      </c>
      <c r="AO68" s="510">
        <f t="shared" si="98"/>
        <v>1127.5791788011556</v>
      </c>
      <c r="AP68" s="510">
        <f t="shared" si="98"/>
        <v>921.85969541178201</v>
      </c>
      <c r="AQ68" s="510">
        <f t="shared" si="98"/>
        <v>613.28047032770701</v>
      </c>
    </row>
    <row r="69" spans="2:43" ht="15.75" customHeight="1" x14ac:dyDescent="0.25">
      <c r="B69" s="12" t="s">
        <v>628</v>
      </c>
      <c r="C69" s="1" t="s">
        <v>1368</v>
      </c>
      <c r="D69" s="514">
        <v>5.59</v>
      </c>
      <c r="E69" s="501"/>
      <c r="F69" s="446">
        <f t="shared" si="56"/>
        <v>5.59</v>
      </c>
      <c r="G69" s="502">
        <f t="shared" si="57"/>
        <v>1</v>
      </c>
      <c r="H69" s="502">
        <f t="shared" si="58"/>
        <v>0</v>
      </c>
      <c r="I69" s="502" t="str">
        <f t="shared" si="59"/>
        <v>Oil</v>
      </c>
      <c r="J69" s="503">
        <f t="shared" si="97"/>
        <v>5.59</v>
      </c>
      <c r="K69" s="99">
        <v>0</v>
      </c>
      <c r="L69" s="504">
        <f t="shared" si="60"/>
        <v>0</v>
      </c>
      <c r="M69" s="505">
        <v>1500</v>
      </c>
      <c r="N69" s="511">
        <v>1369.449727815309</v>
      </c>
      <c r="O69" s="512">
        <v>1555.5355151833155</v>
      </c>
      <c r="P69" s="512">
        <v>1215.2021709188698</v>
      </c>
      <c r="Q69" s="512"/>
      <c r="R69" s="512"/>
      <c r="S69" s="512">
        <v>733.31229094248101</v>
      </c>
      <c r="T69" s="512">
        <v>436.58588574801706</v>
      </c>
      <c r="U69" s="512"/>
      <c r="V69" s="512">
        <v>268.17160752935069</v>
      </c>
      <c r="W69" s="512"/>
      <c r="X69" s="512">
        <v>185.1265822784826</v>
      </c>
      <c r="Y69" s="512"/>
      <c r="Z69" s="513"/>
      <c r="AA69" s="467">
        <f t="shared" si="61"/>
        <v>-57.928435174659477</v>
      </c>
      <c r="AB69" s="467">
        <f t="shared" si="62"/>
        <v>118509.09434274976</v>
      </c>
      <c r="AC69" s="466">
        <v>2047</v>
      </c>
      <c r="AD69" s="99" t="s">
        <v>1368</v>
      </c>
      <c r="AE69" s="510">
        <f t="shared" ref="AE69:AQ69" si="99">+IF(AE$38&lt;$AC69,$AA69*AE$38+$AB69,0)</f>
        <v>1493.6552899376111</v>
      </c>
      <c r="AF69" s="510">
        <f t="shared" si="99"/>
        <v>1319.8699844136281</v>
      </c>
      <c r="AG69" s="510">
        <f t="shared" si="99"/>
        <v>1204.0131140643207</v>
      </c>
      <c r="AH69" s="510">
        <f t="shared" si="99"/>
        <v>1088.1562437149987</v>
      </c>
      <c r="AI69" s="510">
        <f t="shared" si="99"/>
        <v>914.37093819101574</v>
      </c>
      <c r="AJ69" s="510">
        <f t="shared" si="99"/>
        <v>740.58563266703277</v>
      </c>
      <c r="AK69" s="510">
        <f t="shared" si="99"/>
        <v>624.72876231772534</v>
      </c>
      <c r="AL69" s="510">
        <f t="shared" si="99"/>
        <v>508.87189196840336</v>
      </c>
      <c r="AM69" s="510">
        <f t="shared" si="99"/>
        <v>335.08658644442039</v>
      </c>
      <c r="AN69" s="510">
        <f t="shared" si="99"/>
        <v>161.30128092043742</v>
      </c>
      <c r="AO69" s="510">
        <f t="shared" si="99"/>
        <v>45.444410571129993</v>
      </c>
      <c r="AP69" s="510">
        <f t="shared" si="99"/>
        <v>0</v>
      </c>
      <c r="AQ69" s="510">
        <f t="shared" si="99"/>
        <v>0</v>
      </c>
    </row>
    <row r="70" spans="2:43" ht="15.75" customHeight="1" x14ac:dyDescent="0.25">
      <c r="B70" s="12" t="s">
        <v>628</v>
      </c>
      <c r="C70" s="1" t="s">
        <v>1263</v>
      </c>
      <c r="D70" s="514">
        <v>16.52</v>
      </c>
      <c r="E70" s="518">
        <v>1.4868992240117518</v>
      </c>
      <c r="F70" s="519">
        <f t="shared" si="56"/>
        <v>15.033100775988247</v>
      </c>
      <c r="G70" s="502">
        <f t="shared" si="57"/>
        <v>0.98069999999999991</v>
      </c>
      <c r="H70" s="502">
        <f t="shared" si="58"/>
        <v>1.9300000000000095E-2</v>
      </c>
      <c r="I70" s="502" t="str">
        <f t="shared" si="59"/>
        <v>Oil and Gas</v>
      </c>
      <c r="J70" s="520">
        <f>+F70*98.07%</f>
        <v>14.742961931011672</v>
      </c>
      <c r="K70" s="99">
        <v>1.91</v>
      </c>
      <c r="L70" s="504">
        <f t="shared" si="60"/>
        <v>1.6503271585574548</v>
      </c>
      <c r="M70" s="505">
        <v>4000</v>
      </c>
      <c r="N70" s="511">
        <v>3788.1619937694686</v>
      </c>
      <c r="O70" s="512"/>
      <c r="P70" s="512">
        <v>2847.1394346734687</v>
      </c>
      <c r="Q70" s="512"/>
      <c r="R70" s="512">
        <v>1707.0015780737667</v>
      </c>
      <c r="S70" s="512"/>
      <c r="T70" s="512">
        <v>1164.8637378271615</v>
      </c>
      <c r="U70" s="512"/>
      <c r="V70" s="512">
        <v>871.94708138118222</v>
      </c>
      <c r="W70" s="512"/>
      <c r="X70" s="512">
        <v>679.11137276064619</v>
      </c>
      <c r="Y70" s="512"/>
      <c r="Z70" s="513">
        <v>485.75236506651345</v>
      </c>
      <c r="AA70" s="467">
        <f t="shared" si="61"/>
        <v>-107.70242504733639</v>
      </c>
      <c r="AB70" s="467">
        <f t="shared" si="62"/>
        <v>220823.57462326559</v>
      </c>
      <c r="AC70" s="466">
        <v>2060</v>
      </c>
      <c r="AD70" s="99" t="s">
        <v>1263</v>
      </c>
      <c r="AE70" s="510">
        <f t="shared" ref="AE70:AQ70" si="100">+IF(AE$38&lt;$AC70,$AA70*AE$38+$AB70,0)</f>
        <v>3264.6760276460845</v>
      </c>
      <c r="AF70" s="510">
        <f t="shared" si="100"/>
        <v>2941.5687525040703</v>
      </c>
      <c r="AG70" s="510">
        <f t="shared" si="100"/>
        <v>2726.1639024094038</v>
      </c>
      <c r="AH70" s="510">
        <f t="shared" si="100"/>
        <v>2510.7590523147373</v>
      </c>
      <c r="AI70" s="510">
        <f t="shared" si="100"/>
        <v>2187.6517771727231</v>
      </c>
      <c r="AJ70" s="510">
        <f t="shared" si="100"/>
        <v>1864.5445020307088</v>
      </c>
      <c r="AK70" s="510">
        <f t="shared" si="100"/>
        <v>1649.1396519360424</v>
      </c>
      <c r="AL70" s="510">
        <f t="shared" si="100"/>
        <v>1433.7348018413759</v>
      </c>
      <c r="AM70" s="510">
        <f t="shared" si="100"/>
        <v>1110.6275266993616</v>
      </c>
      <c r="AN70" s="510">
        <f t="shared" si="100"/>
        <v>787.52025155734736</v>
      </c>
      <c r="AO70" s="510">
        <f t="shared" si="100"/>
        <v>572.11540146268089</v>
      </c>
      <c r="AP70" s="510">
        <f t="shared" si="100"/>
        <v>356.71055136801442</v>
      </c>
      <c r="AQ70" s="510">
        <f t="shared" si="100"/>
        <v>33.603276226000162</v>
      </c>
    </row>
    <row r="71" spans="2:43" ht="15.75" customHeight="1" x14ac:dyDescent="0.25">
      <c r="B71" s="12" t="s">
        <v>628</v>
      </c>
      <c r="C71" s="12" t="s">
        <v>1254</v>
      </c>
      <c r="D71" s="99">
        <v>90.73</v>
      </c>
      <c r="E71" s="518">
        <v>6.6820022437397162</v>
      </c>
      <c r="F71" s="519">
        <f t="shared" si="56"/>
        <v>84.047997756260287</v>
      </c>
      <c r="G71" s="502">
        <f t="shared" si="57"/>
        <v>0.98150000000000004</v>
      </c>
      <c r="H71" s="502">
        <f t="shared" si="58"/>
        <v>1.8499999999999961E-2</v>
      </c>
      <c r="I71" s="502" t="str">
        <f t="shared" si="59"/>
        <v>Oil and Gas</v>
      </c>
      <c r="J71" s="503">
        <f>+F71*98.15%</f>
        <v>82.493109797769478</v>
      </c>
      <c r="K71" s="99">
        <v>10.09</v>
      </c>
      <c r="L71" s="504">
        <f t="shared" si="60"/>
        <v>8.8515106813006454</v>
      </c>
      <c r="M71" s="521">
        <v>18000</v>
      </c>
      <c r="N71" s="522">
        <v>19200.000000000004</v>
      </c>
      <c r="O71" s="523"/>
      <c r="P71" s="523">
        <v>16106.66666666667</v>
      </c>
      <c r="Q71" s="523"/>
      <c r="R71" s="523">
        <v>10560.000000000004</v>
      </c>
      <c r="S71" s="523"/>
      <c r="T71" s="523">
        <v>6666.6666666666679</v>
      </c>
      <c r="U71" s="523"/>
      <c r="V71" s="523">
        <v>4640.0000000000036</v>
      </c>
      <c r="W71" s="523"/>
      <c r="X71" s="523">
        <v>3306.6666666666679</v>
      </c>
      <c r="Y71" s="523"/>
      <c r="Z71" s="524">
        <v>2293.3333333333358</v>
      </c>
      <c r="AA71" s="467">
        <f t="shared" si="61"/>
        <v>-587.42857142857144</v>
      </c>
      <c r="AB71" s="467">
        <f t="shared" si="62"/>
        <v>1204384.7619047619</v>
      </c>
      <c r="AC71" s="466">
        <v>2061</v>
      </c>
      <c r="AD71" s="99" t="s">
        <v>1369</v>
      </c>
      <c r="AE71" s="510">
        <f t="shared" ref="AE71:AQ71" si="101">+IF(AE$38&lt;$AC71,$AA71*AE$38+$AB71,0)</f>
        <v>17779.047619047575</v>
      </c>
      <c r="AF71" s="510">
        <f t="shared" si="101"/>
        <v>16016.761904761894</v>
      </c>
      <c r="AG71" s="510">
        <f t="shared" si="101"/>
        <v>14841.904761904618</v>
      </c>
      <c r="AH71" s="510">
        <f t="shared" si="101"/>
        <v>13667.047619047575</v>
      </c>
      <c r="AI71" s="510">
        <f t="shared" si="101"/>
        <v>11904.761904761894</v>
      </c>
      <c r="AJ71" s="510">
        <f t="shared" si="101"/>
        <v>10142.476190476213</v>
      </c>
      <c r="AK71" s="510">
        <f t="shared" si="101"/>
        <v>8967.6190476189367</v>
      </c>
      <c r="AL71" s="510">
        <f t="shared" si="101"/>
        <v>7792.7619047618937</v>
      </c>
      <c r="AM71" s="510">
        <f t="shared" si="101"/>
        <v>6030.4761904762127</v>
      </c>
      <c r="AN71" s="510">
        <f t="shared" si="101"/>
        <v>4268.1904761905316</v>
      </c>
      <c r="AO71" s="510">
        <f t="shared" si="101"/>
        <v>3093.3333333332557</v>
      </c>
      <c r="AP71" s="510">
        <f t="shared" si="101"/>
        <v>1918.4761904762127</v>
      </c>
      <c r="AQ71" s="510">
        <f t="shared" si="101"/>
        <v>156.19047619053163</v>
      </c>
    </row>
    <row r="72" spans="2:43" ht="15.75" customHeight="1" x14ac:dyDescent="0.25">
      <c r="C72" s="488" t="s">
        <v>1267</v>
      </c>
      <c r="D72" s="488">
        <v>3.07</v>
      </c>
      <c r="E72" s="525">
        <v>8.4440756302521125E-2</v>
      </c>
      <c r="F72" s="519">
        <f t="shared" si="56"/>
        <v>2.9855592436974785</v>
      </c>
      <c r="G72" s="502">
        <f t="shared" si="57"/>
        <v>0</v>
      </c>
      <c r="H72" s="502">
        <f t="shared" si="58"/>
        <v>1</v>
      </c>
      <c r="I72" s="502" t="str">
        <f t="shared" si="59"/>
        <v>Gas</v>
      </c>
      <c r="J72" s="488">
        <v>0</v>
      </c>
      <c r="K72" s="488">
        <v>18.440000000000001</v>
      </c>
      <c r="L72" s="504">
        <f t="shared" ref="L72:L74" si="102">+H72*(J72*1000000*$F$1)/(1000000000)</f>
        <v>0</v>
      </c>
      <c r="M72" s="492">
        <v>468</v>
      </c>
      <c r="N72" s="492">
        <v>486.27450980392155</v>
      </c>
      <c r="O72" s="492">
        <v>625.21008403361338</v>
      </c>
      <c r="P72" s="492">
        <v>528.85154061624644</v>
      </c>
      <c r="Q72" s="492"/>
      <c r="R72" s="492">
        <v>365.26610644257693</v>
      </c>
      <c r="S72" s="492"/>
      <c r="T72" s="492">
        <v>250.98039215686276</v>
      </c>
      <c r="U72" s="492"/>
      <c r="V72" s="492">
        <v>174.78991596638662</v>
      </c>
      <c r="W72" s="492"/>
      <c r="X72" s="492">
        <v>121.00840336134456</v>
      </c>
      <c r="Y72" s="492"/>
      <c r="Z72" s="492">
        <v>85.154061624649785</v>
      </c>
      <c r="AA72" s="467">
        <f t="shared" si="61"/>
        <v>-17.66808418282567</v>
      </c>
      <c r="AB72" s="467">
        <f t="shared" si="62"/>
        <v>36257.7410625267</v>
      </c>
      <c r="AC72" s="526">
        <v>2053</v>
      </c>
      <c r="AD72" s="99" t="s">
        <v>1267</v>
      </c>
      <c r="AE72" s="510">
        <f t="shared" ref="AE72:AQ72" si="103">+IF(AE$38&lt;$AC72,$AA72*AE$38+$AB72,0)</f>
        <v>568.21101321884635</v>
      </c>
      <c r="AF72" s="510">
        <f t="shared" si="103"/>
        <v>515.2067606703713</v>
      </c>
      <c r="AG72" s="510">
        <f t="shared" si="103"/>
        <v>479.87059230471641</v>
      </c>
      <c r="AH72" s="510">
        <f t="shared" si="103"/>
        <v>444.5344239390688</v>
      </c>
      <c r="AI72" s="510">
        <f t="shared" si="103"/>
        <v>391.53017139059375</v>
      </c>
      <c r="AJ72" s="510">
        <f t="shared" si="103"/>
        <v>338.52591884211142</v>
      </c>
      <c r="AK72" s="510">
        <f t="shared" si="103"/>
        <v>303.18975047646381</v>
      </c>
      <c r="AL72" s="510">
        <f t="shared" si="103"/>
        <v>267.85358211080893</v>
      </c>
      <c r="AM72" s="510">
        <f t="shared" si="103"/>
        <v>214.84932956233388</v>
      </c>
      <c r="AN72" s="510">
        <f t="shared" si="103"/>
        <v>161.84507701385883</v>
      </c>
      <c r="AO72" s="510">
        <f t="shared" si="103"/>
        <v>126.50890864820394</v>
      </c>
      <c r="AP72" s="510">
        <f t="shared" si="103"/>
        <v>91.172740282556333</v>
      </c>
      <c r="AQ72" s="510">
        <f t="shared" si="103"/>
        <v>38.168487734074006</v>
      </c>
    </row>
    <row r="73" spans="2:43" ht="15.75" customHeight="1" x14ac:dyDescent="0.25">
      <c r="C73" s="488" t="s">
        <v>1270</v>
      </c>
      <c r="D73" s="488">
        <v>3.99</v>
      </c>
      <c r="F73" s="446">
        <f t="shared" si="56"/>
        <v>3.99</v>
      </c>
      <c r="G73" s="502">
        <f t="shared" si="57"/>
        <v>7.5187969924812026E-3</v>
      </c>
      <c r="H73" s="502">
        <f t="shared" si="58"/>
        <v>0.99248120300751874</v>
      </c>
      <c r="I73" s="502" t="str">
        <f t="shared" si="59"/>
        <v>Oil and Gas</v>
      </c>
      <c r="J73" s="488">
        <v>0.03</v>
      </c>
      <c r="K73" s="488">
        <v>23.75</v>
      </c>
      <c r="L73" s="504">
        <f t="shared" si="102"/>
        <v>0</v>
      </c>
      <c r="M73" s="492">
        <v>1017</v>
      </c>
      <c r="N73" s="492">
        <v>979.88394105492398</v>
      </c>
      <c r="O73" s="492">
        <v>972.0369705893271</v>
      </c>
      <c r="P73" s="492">
        <v>804.11031786293165</v>
      </c>
      <c r="Q73" s="492">
        <v>658.51449499511261</v>
      </c>
      <c r="R73" s="492">
        <v>486.70518800806724</v>
      </c>
      <c r="S73" s="492">
        <v>363.34368542829213</v>
      </c>
      <c r="T73" s="492">
        <v>307.18253919154665</v>
      </c>
      <c r="U73" s="492">
        <v>251.05108820727287</v>
      </c>
      <c r="V73" s="492">
        <v>194.78600858687719</v>
      </c>
      <c r="W73" s="492">
        <v>149.6863438957696</v>
      </c>
      <c r="X73" s="492">
        <v>127.07340913871371</v>
      </c>
      <c r="Y73" s="492">
        <v>104.46047438165806</v>
      </c>
      <c r="Z73" s="492"/>
      <c r="AA73" s="467">
        <f t="shared" si="61"/>
        <v>-35.087542608605716</v>
      </c>
      <c r="AB73" s="467">
        <f t="shared" si="62"/>
        <v>71809.192652030251</v>
      </c>
      <c r="AC73" s="526">
        <v>2049</v>
      </c>
      <c r="AD73" s="99" t="s">
        <v>1270</v>
      </c>
      <c r="AE73" s="510">
        <f t="shared" ref="AE73:AQ73" si="104">+IF(AE$38&lt;$AC73,$AA73*AE$38+$AB73,0)</f>
        <v>932.35658264670928</v>
      </c>
      <c r="AF73" s="510">
        <f t="shared" si="104"/>
        <v>827.09395482088439</v>
      </c>
      <c r="AG73" s="510">
        <f t="shared" si="104"/>
        <v>756.91886960367265</v>
      </c>
      <c r="AH73" s="510">
        <f t="shared" si="104"/>
        <v>686.7437843864609</v>
      </c>
      <c r="AI73" s="510">
        <f t="shared" si="104"/>
        <v>581.48115656065056</v>
      </c>
      <c r="AJ73" s="510">
        <f t="shared" si="104"/>
        <v>476.21852873482567</v>
      </c>
      <c r="AK73" s="510">
        <f t="shared" si="104"/>
        <v>406.04344351761392</v>
      </c>
      <c r="AL73" s="510">
        <f t="shared" si="104"/>
        <v>335.86835830040218</v>
      </c>
      <c r="AM73" s="510">
        <f t="shared" si="104"/>
        <v>230.60573047459184</v>
      </c>
      <c r="AN73" s="510">
        <f t="shared" si="104"/>
        <v>125.34310264876694</v>
      </c>
      <c r="AO73" s="510">
        <f t="shared" si="104"/>
        <v>55.168017431555199</v>
      </c>
      <c r="AP73" s="510">
        <f t="shared" si="104"/>
        <v>-15.007067785656545</v>
      </c>
      <c r="AQ73" s="510">
        <f t="shared" si="104"/>
        <v>0</v>
      </c>
    </row>
    <row r="74" spans="2:43" ht="15.75" customHeight="1" x14ac:dyDescent="0.25">
      <c r="C74" s="488" t="s">
        <v>1271</v>
      </c>
      <c r="D74" s="488">
        <v>18.809999999999999</v>
      </c>
      <c r="F74" s="446">
        <f t="shared" si="56"/>
        <v>18.809999999999999</v>
      </c>
      <c r="G74" s="502">
        <f t="shared" si="57"/>
        <v>4.7846889952153108E-3</v>
      </c>
      <c r="H74" s="502">
        <f t="shared" si="58"/>
        <v>0.99521531100478466</v>
      </c>
      <c r="I74" s="502" t="str">
        <f t="shared" si="59"/>
        <v>Oil and Gas</v>
      </c>
      <c r="J74" s="488">
        <v>0.09</v>
      </c>
      <c r="K74" s="488">
        <v>112.29</v>
      </c>
      <c r="L74" s="504">
        <f t="shared" si="102"/>
        <v>0</v>
      </c>
      <c r="M74" s="492">
        <v>4600</v>
      </c>
      <c r="N74" s="492">
        <v>4507.6923076923076</v>
      </c>
      <c r="O74" s="492">
        <v>4384.6153846153838</v>
      </c>
      <c r="P74" s="492">
        <v>3738.4615384615381</v>
      </c>
      <c r="Q74" s="492">
        <v>3199.9999999999995</v>
      </c>
      <c r="R74" s="492">
        <v>2538.4615384615381</v>
      </c>
      <c r="S74" s="492">
        <v>2076.9230769230767</v>
      </c>
      <c r="T74" s="492">
        <v>1784.6153846153843</v>
      </c>
      <c r="U74" s="492">
        <v>1538.4615384615381</v>
      </c>
      <c r="V74" s="492">
        <v>1246.1538461538457</v>
      </c>
      <c r="W74" s="492"/>
      <c r="X74" s="492"/>
      <c r="Y74" s="492"/>
      <c r="Z74" s="492"/>
      <c r="AA74" s="467">
        <f t="shared" si="61"/>
        <v>-179.44514501891553</v>
      </c>
      <c r="AB74" s="467">
        <f t="shared" si="62"/>
        <v>367053.13156788569</v>
      </c>
      <c r="AC74" s="526">
        <v>2042</v>
      </c>
      <c r="AD74" s="99" t="s">
        <v>1271</v>
      </c>
      <c r="AE74" s="510">
        <f t="shared" ref="AE74:AQ74" si="105">+IF(AE$38&lt;$AC74,$AA74*AE$38+$AB74,0)</f>
        <v>4573.938629676355</v>
      </c>
      <c r="AF74" s="510">
        <f t="shared" si="105"/>
        <v>4035.6031946195872</v>
      </c>
      <c r="AG74" s="510">
        <f t="shared" si="105"/>
        <v>3676.7129045817419</v>
      </c>
      <c r="AH74" s="510">
        <f t="shared" si="105"/>
        <v>3317.8226145438966</v>
      </c>
      <c r="AI74" s="510">
        <f t="shared" si="105"/>
        <v>2779.4871794871869</v>
      </c>
      <c r="AJ74" s="510">
        <f t="shared" si="105"/>
        <v>2241.1517444304191</v>
      </c>
      <c r="AK74" s="510">
        <f t="shared" si="105"/>
        <v>1882.2614543925738</v>
      </c>
      <c r="AL74" s="510">
        <f t="shared" si="105"/>
        <v>1523.3711643547867</v>
      </c>
      <c r="AM74" s="510">
        <f t="shared" si="105"/>
        <v>985.03572929801885</v>
      </c>
      <c r="AN74" s="510">
        <f t="shared" si="105"/>
        <v>0</v>
      </c>
      <c r="AO74" s="510">
        <f t="shared" si="105"/>
        <v>0</v>
      </c>
      <c r="AP74" s="510">
        <f t="shared" si="105"/>
        <v>0</v>
      </c>
      <c r="AQ74" s="510">
        <f t="shared" si="105"/>
        <v>0</v>
      </c>
    </row>
    <row r="75" spans="2:43" ht="15.75" customHeight="1" x14ac:dyDescent="0.25">
      <c r="L75" s="306"/>
      <c r="M75" s="306"/>
    </row>
    <row r="76" spans="2:43" ht="15.75" customHeight="1" x14ac:dyDescent="0.25">
      <c r="L76" s="306" t="s">
        <v>1370</v>
      </c>
      <c r="M76" s="306"/>
      <c r="N76" s="293">
        <f>+SUMPRODUCT(N39:N71,$G$39:$G$71)</f>
        <v>440121.27025519015</v>
      </c>
      <c r="O76" s="293"/>
      <c r="P76" s="293">
        <f t="shared" ref="P76:Z76" si="106">+SUMPRODUCT(P39:P71,$G$39:$G$71)</f>
        <v>262547.21333157975</v>
      </c>
      <c r="Q76" s="293">
        <f t="shared" si="106"/>
        <v>13757.131173575406</v>
      </c>
      <c r="R76" s="293">
        <f t="shared" si="106"/>
        <v>177880.05854070542</v>
      </c>
      <c r="S76" s="293">
        <f t="shared" si="106"/>
        <v>23686.519694339411</v>
      </c>
      <c r="T76" s="293">
        <f t="shared" si="106"/>
        <v>91126.456586792061</v>
      </c>
      <c r="U76" s="293">
        <f t="shared" si="106"/>
        <v>12761.502748413553</v>
      </c>
      <c r="V76" s="293">
        <f t="shared" si="106"/>
        <v>51178.401255621386</v>
      </c>
      <c r="W76" s="293">
        <f t="shared" si="106"/>
        <v>4666.581672511722</v>
      </c>
      <c r="X76" s="293">
        <f t="shared" si="106"/>
        <v>10229.515710409856</v>
      </c>
      <c r="Y76" s="293">
        <f t="shared" si="106"/>
        <v>3278.1971811895355</v>
      </c>
      <c r="Z76" s="293">
        <f t="shared" si="106"/>
        <v>25483.573290888868</v>
      </c>
    </row>
    <row r="77" spans="2:43" ht="15.75" customHeight="1" x14ac:dyDescent="0.25">
      <c r="L77" s="306" t="s">
        <v>1371</v>
      </c>
      <c r="M77" s="306"/>
      <c r="N77" s="293">
        <f>+SUMPRODUCT(N39:N71,$H$39:$H$71)</f>
        <v>118260.5171295466</v>
      </c>
      <c r="O77" s="293"/>
      <c r="P77" s="293">
        <f t="shared" ref="P77:Z77" si="107">+SUMPRODUCT(P39:P71,$H$39:$H$71)</f>
        <v>74523.137282150899</v>
      </c>
      <c r="Q77" s="293">
        <f t="shared" si="107"/>
        <v>20098.230172469674</v>
      </c>
      <c r="R77" s="293">
        <f t="shared" si="107"/>
        <v>26994.729802783517</v>
      </c>
      <c r="S77" s="293">
        <f t="shared" si="107"/>
        <v>5406.6987731625695</v>
      </c>
      <c r="T77" s="293">
        <f t="shared" si="107"/>
        <v>15375.292745119212</v>
      </c>
      <c r="U77" s="293">
        <f t="shared" si="107"/>
        <v>3194.5714250822398</v>
      </c>
      <c r="V77" s="293">
        <f t="shared" si="107"/>
        <v>6379.2174358258744</v>
      </c>
      <c r="W77" s="293">
        <f t="shared" si="107"/>
        <v>38.406230529595113</v>
      </c>
      <c r="X77" s="293">
        <f t="shared" si="107"/>
        <v>3181.7700407262419</v>
      </c>
      <c r="Y77" s="293">
        <f t="shared" si="107"/>
        <v>0</v>
      </c>
      <c r="Z77" s="293">
        <f t="shared" si="107"/>
        <v>2359.6316983914926</v>
      </c>
    </row>
    <row r="78" spans="2:43" ht="15.75" customHeight="1" x14ac:dyDescent="0.25">
      <c r="L78" s="306" t="s">
        <v>1372</v>
      </c>
      <c r="M78" s="306"/>
      <c r="N78" s="205">
        <f>+N77*$I$33/1000000</f>
        <v>685.91099935137026</v>
      </c>
      <c r="O78" s="205"/>
      <c r="P78" s="205">
        <f>+P77*$I$33/1000000</f>
        <v>432.23419623647521</v>
      </c>
    </row>
    <row r="79" spans="2:43" ht="15.75" customHeight="1" x14ac:dyDescent="0.25">
      <c r="D79" s="12">
        <f t="shared" ref="D79:F79" si="108">+SUM(D39:D71)</f>
        <v>1949.56</v>
      </c>
      <c r="E79" s="12">
        <f t="shared" si="108"/>
        <v>258.84948367058087</v>
      </c>
      <c r="F79" s="12">
        <f t="shared" si="108"/>
        <v>1690.7105163294191</v>
      </c>
      <c r="L79" s="306" t="s">
        <v>1373</v>
      </c>
      <c r="M79" s="306"/>
    </row>
    <row r="80" spans="2:43" ht="15.75" customHeight="1" x14ac:dyDescent="0.25">
      <c r="F80" s="12" t="s">
        <v>1374</v>
      </c>
      <c r="G80" s="12">
        <f>+G65*N65*I33/1000000</f>
        <v>209.39642547425473</v>
      </c>
      <c r="H80" s="12" t="s">
        <v>746</v>
      </c>
      <c r="L80" s="306"/>
      <c r="M80" s="306"/>
    </row>
    <row r="81" spans="3:26" ht="15.75" customHeight="1" x14ac:dyDescent="0.25">
      <c r="F81" s="12" t="s">
        <v>1375</v>
      </c>
      <c r="G81" s="12">
        <f>+(H51*N51)*I33/1000000</f>
        <v>177.17312143246573</v>
      </c>
      <c r="H81" s="12" t="s">
        <v>746</v>
      </c>
      <c r="L81" s="306"/>
      <c r="M81" s="306"/>
    </row>
    <row r="82" spans="3:26" ht="15.75" customHeight="1" x14ac:dyDescent="0.25">
      <c r="F82" s="12" t="s">
        <v>1356</v>
      </c>
      <c r="G82" s="12">
        <f>+(H52*N52)*I33/1000000</f>
        <v>0</v>
      </c>
      <c r="H82" s="12" t="s">
        <v>746</v>
      </c>
      <c r="L82" s="306"/>
      <c r="M82" s="306"/>
    </row>
    <row r="83" spans="3:26" ht="15.75" customHeight="1" x14ac:dyDescent="0.25">
      <c r="F83" s="12" t="s">
        <v>1357</v>
      </c>
      <c r="G83" s="12">
        <f>+(H53*N53)*I33/1000000</f>
        <v>59.792875880758814</v>
      </c>
      <c r="H83" s="12" t="s">
        <v>746</v>
      </c>
      <c r="L83" s="306"/>
      <c r="M83" s="306"/>
    </row>
    <row r="84" spans="3:26" ht="15.75" customHeight="1" x14ac:dyDescent="0.25">
      <c r="L84" s="306"/>
      <c r="M84" s="306"/>
      <c r="Q84" s="231"/>
    </row>
    <row r="85" spans="3:26" ht="15.75" customHeight="1" x14ac:dyDescent="0.25">
      <c r="L85" s="306"/>
      <c r="M85" s="306"/>
    </row>
    <row r="86" spans="3:26" ht="15.75" customHeight="1" x14ac:dyDescent="0.25">
      <c r="L86" s="306"/>
      <c r="M86" s="492"/>
      <c r="N86" s="854" t="s">
        <v>1334</v>
      </c>
      <c r="O86" s="809"/>
      <c r="P86" s="809"/>
      <c r="Q86" s="809"/>
      <c r="R86" s="809"/>
      <c r="S86" s="809"/>
      <c r="T86" s="809"/>
      <c r="U86" s="809"/>
      <c r="V86" s="809"/>
      <c r="W86" s="810"/>
      <c r="X86" s="492"/>
      <c r="Y86" s="492"/>
      <c r="Z86" s="492"/>
    </row>
    <row r="87" spans="3:26" ht="15.75" customHeight="1" x14ac:dyDescent="0.25">
      <c r="H87" s="456" t="s">
        <v>1201</v>
      </c>
      <c r="I87" s="456" t="s">
        <v>1202</v>
      </c>
      <c r="J87" s="426" t="s">
        <v>1203</v>
      </c>
      <c r="K87" s="456" t="s">
        <v>1204</v>
      </c>
      <c r="L87" s="456" t="s">
        <v>1205</v>
      </c>
      <c r="M87" s="527">
        <v>2019</v>
      </c>
      <c r="N87" s="528">
        <v>2020</v>
      </c>
      <c r="O87" s="528">
        <v>2023</v>
      </c>
      <c r="P87" s="528">
        <v>2025</v>
      </c>
      <c r="Q87" s="528">
        <v>2027</v>
      </c>
      <c r="R87" s="528">
        <v>2030</v>
      </c>
      <c r="S87" s="528">
        <v>2033</v>
      </c>
      <c r="T87" s="528">
        <v>2035</v>
      </c>
      <c r="U87" s="528">
        <v>2037</v>
      </c>
      <c r="V87" s="528">
        <v>2040</v>
      </c>
      <c r="W87" s="528">
        <v>2043</v>
      </c>
      <c r="X87" s="528">
        <v>2045</v>
      </c>
      <c r="Y87" s="528">
        <v>2047</v>
      </c>
      <c r="Z87" s="528">
        <v>2050</v>
      </c>
    </row>
    <row r="88" spans="3:26" ht="15.75" customHeight="1" x14ac:dyDescent="0.25">
      <c r="H88" s="431" t="s">
        <v>1221</v>
      </c>
      <c r="I88" s="432" t="s">
        <v>1222</v>
      </c>
      <c r="J88" s="432" t="s">
        <v>1223</v>
      </c>
      <c r="K88" s="432" t="s">
        <v>1224</v>
      </c>
      <c r="L88" s="389" t="s">
        <v>1225</v>
      </c>
      <c r="M88" s="529">
        <v>26000</v>
      </c>
      <c r="N88" s="529">
        <f t="shared" ref="N88:Z88" si="109">+IF(N50="","",N50)</f>
        <v>18473.762408216862</v>
      </c>
      <c r="O88" s="529" t="str">
        <f t="shared" si="109"/>
        <v/>
      </c>
      <c r="P88" s="529">
        <f t="shared" si="109"/>
        <v>12112.142288064424</v>
      </c>
      <c r="Q88" s="529">
        <f t="shared" si="109"/>
        <v>9490.7517064662534</v>
      </c>
      <c r="R88" s="529" t="str">
        <f t="shared" si="109"/>
        <v/>
      </c>
      <c r="S88" s="529" t="str">
        <f t="shared" si="109"/>
        <v/>
      </c>
      <c r="T88" s="529" t="str">
        <f t="shared" si="109"/>
        <v/>
      </c>
      <c r="U88" s="529" t="str">
        <f t="shared" si="109"/>
        <v/>
      </c>
      <c r="V88" s="529" t="str">
        <f t="shared" si="109"/>
        <v/>
      </c>
      <c r="W88" s="529" t="str">
        <f t="shared" si="109"/>
        <v/>
      </c>
      <c r="X88" s="529" t="str">
        <f t="shared" si="109"/>
        <v/>
      </c>
      <c r="Y88" s="529" t="str">
        <f t="shared" si="109"/>
        <v/>
      </c>
      <c r="Z88" s="529" t="str">
        <f t="shared" si="109"/>
        <v/>
      </c>
    </row>
    <row r="89" spans="3:26" ht="15.75" customHeight="1" x14ac:dyDescent="0.25">
      <c r="H89" s="431" t="s">
        <v>1221</v>
      </c>
      <c r="I89" s="432" t="s">
        <v>1222</v>
      </c>
      <c r="J89" s="432" t="s">
        <v>1223</v>
      </c>
      <c r="K89" s="432" t="s">
        <v>1224</v>
      </c>
      <c r="L89" s="389" t="s">
        <v>1226</v>
      </c>
      <c r="M89" s="529">
        <f t="shared" ref="M89:Z89" si="110">+IF(M42="","",M42)</f>
        <v>3750</v>
      </c>
      <c r="N89" s="529">
        <f t="shared" si="110"/>
        <v>2688.1998197310859</v>
      </c>
      <c r="O89" s="529">
        <f t="shared" si="110"/>
        <v>4033.9723277920784</v>
      </c>
      <c r="P89" s="529">
        <f t="shared" si="110"/>
        <v>2897.3861007089963</v>
      </c>
      <c r="Q89" s="529">
        <f t="shared" si="110"/>
        <v>2545.9174665712671</v>
      </c>
      <c r="R89" s="529">
        <f t="shared" si="110"/>
        <v>2313.091797764293</v>
      </c>
      <c r="S89" s="529">
        <f t="shared" si="110"/>
        <v>1610.2660360352002</v>
      </c>
      <c r="T89" s="529">
        <f t="shared" si="110"/>
        <v>1259.1319215365602</v>
      </c>
      <c r="U89" s="529">
        <f t="shared" si="110"/>
        <v>1026.306252729586</v>
      </c>
      <c r="V89" s="529" t="str">
        <f t="shared" si="110"/>
        <v/>
      </c>
      <c r="W89" s="529" t="str">
        <f t="shared" si="110"/>
        <v/>
      </c>
      <c r="X89" s="529" t="str">
        <f t="shared" si="110"/>
        <v/>
      </c>
      <c r="Y89" s="529" t="str">
        <f t="shared" si="110"/>
        <v/>
      </c>
      <c r="Z89" s="529" t="str">
        <f t="shared" si="110"/>
        <v/>
      </c>
    </row>
    <row r="90" spans="3:26" ht="15.75" customHeight="1" x14ac:dyDescent="0.25">
      <c r="H90" s="431" t="s">
        <v>1221</v>
      </c>
      <c r="I90" s="432" t="s">
        <v>1222</v>
      </c>
      <c r="J90" s="432" t="s">
        <v>1227</v>
      </c>
      <c r="K90" s="432" t="s">
        <v>1228</v>
      </c>
      <c r="L90" s="389" t="s">
        <v>1229</v>
      </c>
      <c r="M90" s="529">
        <f t="shared" ref="M90:Z90" si="111">+IF(M61="","",M61)</f>
        <v>5700</v>
      </c>
      <c r="N90" s="529">
        <f t="shared" si="111"/>
        <v>5461.7834394904457</v>
      </c>
      <c r="O90" s="529">
        <f t="shared" si="111"/>
        <v>1738.8535031847141</v>
      </c>
      <c r="P90" s="529">
        <f t="shared" si="111"/>
        <v>936.30573248407654</v>
      </c>
      <c r="Q90" s="529">
        <f t="shared" si="111"/>
        <v>468.15286624203873</v>
      </c>
      <c r="R90" s="529" t="str">
        <f t="shared" si="111"/>
        <v/>
      </c>
      <c r="S90" s="529" t="str">
        <f t="shared" si="111"/>
        <v/>
      </c>
      <c r="T90" s="529" t="str">
        <f t="shared" si="111"/>
        <v/>
      </c>
      <c r="U90" s="529" t="str">
        <f t="shared" si="111"/>
        <v/>
      </c>
      <c r="V90" s="529" t="str">
        <f t="shared" si="111"/>
        <v/>
      </c>
      <c r="W90" s="529" t="str">
        <f t="shared" si="111"/>
        <v/>
      </c>
      <c r="X90" s="529" t="str">
        <f t="shared" si="111"/>
        <v/>
      </c>
      <c r="Y90" s="529" t="str">
        <f t="shared" si="111"/>
        <v/>
      </c>
      <c r="Z90" s="529" t="str">
        <f t="shared" si="111"/>
        <v/>
      </c>
    </row>
    <row r="91" spans="3:26" ht="15.75" customHeight="1" x14ac:dyDescent="0.25">
      <c r="H91" s="431" t="s">
        <v>1221</v>
      </c>
      <c r="I91" s="432" t="s">
        <v>1222</v>
      </c>
      <c r="J91" s="432" t="s">
        <v>1230</v>
      </c>
      <c r="K91" s="432" t="s">
        <v>1228</v>
      </c>
      <c r="L91" s="389" t="s">
        <v>1231</v>
      </c>
      <c r="M91" s="529">
        <f t="shared" ref="M91:Z91" si="112">+IF((M51+M52+M53)&gt;0,M51+M52+M53,"")</f>
        <v>50400</v>
      </c>
      <c r="N91" s="529">
        <f t="shared" si="112"/>
        <v>57761.339525052943</v>
      </c>
      <c r="O91" s="529">
        <f t="shared" si="112"/>
        <v>51749.53655347741</v>
      </c>
      <c r="P91" s="529">
        <f t="shared" si="112"/>
        <v>40137.176145263293</v>
      </c>
      <c r="Q91" s="529" t="str">
        <f t="shared" si="112"/>
        <v/>
      </c>
      <c r="R91" s="529">
        <f t="shared" si="112"/>
        <v>23861.379832516486</v>
      </c>
      <c r="S91" s="529" t="str">
        <f t="shared" si="112"/>
        <v/>
      </c>
      <c r="T91" s="529">
        <f t="shared" si="112"/>
        <v>13767.727412816675</v>
      </c>
      <c r="U91" s="529" t="str">
        <f t="shared" si="112"/>
        <v/>
      </c>
      <c r="V91" s="529">
        <f t="shared" si="112"/>
        <v>5171.3118224932259</v>
      </c>
      <c r="W91" s="529" t="str">
        <f t="shared" si="112"/>
        <v/>
      </c>
      <c r="X91" s="529">
        <f t="shared" si="112"/>
        <v>3501.0586043360454</v>
      </c>
      <c r="Y91" s="529" t="str">
        <f t="shared" si="112"/>
        <v/>
      </c>
      <c r="Z91" s="529">
        <f t="shared" si="112"/>
        <v>2591.6624322493226</v>
      </c>
    </row>
    <row r="92" spans="3:26" ht="15.75" customHeight="1" x14ac:dyDescent="0.25">
      <c r="H92" s="431" t="s">
        <v>1221</v>
      </c>
      <c r="I92" s="432" t="s">
        <v>1222</v>
      </c>
      <c r="J92" s="432" t="s">
        <v>1232</v>
      </c>
      <c r="K92" s="432" t="s">
        <v>1228</v>
      </c>
      <c r="L92" s="389" t="s">
        <v>1233</v>
      </c>
      <c r="M92" s="529">
        <f t="shared" ref="M92:Z92" si="113">+IF((M54+M55)&gt;0,M54+M55,"")</f>
        <v>33000</v>
      </c>
      <c r="N92" s="529">
        <f t="shared" si="113"/>
        <v>28513.982927143661</v>
      </c>
      <c r="O92" s="529" t="str">
        <f t="shared" si="113"/>
        <v/>
      </c>
      <c r="P92" s="529">
        <f t="shared" si="113"/>
        <v>15034.158403203066</v>
      </c>
      <c r="Q92" s="529" t="str">
        <f t="shared" si="113"/>
        <v/>
      </c>
      <c r="R92" s="529" t="str">
        <f t="shared" si="113"/>
        <v/>
      </c>
      <c r="S92" s="529" t="str">
        <f t="shared" si="113"/>
        <v/>
      </c>
      <c r="T92" s="529" t="str">
        <f t="shared" si="113"/>
        <v/>
      </c>
      <c r="U92" s="529" t="str">
        <f t="shared" si="113"/>
        <v/>
      </c>
      <c r="V92" s="529" t="str">
        <f t="shared" si="113"/>
        <v/>
      </c>
      <c r="W92" s="529" t="str">
        <f t="shared" si="113"/>
        <v/>
      </c>
      <c r="X92" s="529" t="str">
        <f t="shared" si="113"/>
        <v/>
      </c>
      <c r="Y92" s="529" t="str">
        <f t="shared" si="113"/>
        <v/>
      </c>
      <c r="Z92" s="529" t="str">
        <f t="shared" si="113"/>
        <v/>
      </c>
    </row>
    <row r="93" spans="3:26" ht="15.75" customHeight="1" x14ac:dyDescent="0.25">
      <c r="C93" s="12">
        <f>+M65+M66</f>
        <v>59550</v>
      </c>
      <c r="H93" s="431" t="s">
        <v>1221</v>
      </c>
      <c r="I93" s="432" t="s">
        <v>1222</v>
      </c>
      <c r="J93" s="432" t="s">
        <v>1234</v>
      </c>
      <c r="K93" s="432" t="s">
        <v>1228</v>
      </c>
      <c r="L93" s="389" t="s">
        <v>1235</v>
      </c>
      <c r="M93" s="529">
        <f t="shared" ref="M93:Z93" si="114">+IF((M65+M66)&gt;0,M65+M66,"")</f>
        <v>59550</v>
      </c>
      <c r="N93" s="529">
        <f t="shared" si="114"/>
        <v>57194.469693144136</v>
      </c>
      <c r="O93" s="529">
        <f t="shared" si="114"/>
        <v>45498.43037250248</v>
      </c>
      <c r="P93" s="529">
        <f t="shared" si="114"/>
        <v>33360.875456580652</v>
      </c>
      <c r="Q93" s="529">
        <f t="shared" si="114"/>
        <v>20406.798633203718</v>
      </c>
      <c r="R93" s="529">
        <f t="shared" si="114"/>
        <v>15064.089616051433</v>
      </c>
      <c r="S93" s="529">
        <f t="shared" si="114"/>
        <v>10433.604336043354</v>
      </c>
      <c r="T93" s="529">
        <f t="shared" si="114"/>
        <v>7777.7777777777665</v>
      </c>
      <c r="U93" s="529">
        <f t="shared" si="114"/>
        <v>5880.7588075880631</v>
      </c>
      <c r="V93" s="529">
        <f t="shared" si="114"/>
        <v>4363.1436314363091</v>
      </c>
      <c r="W93" s="529" t="str">
        <f t="shared" si="114"/>
        <v/>
      </c>
      <c r="X93" s="529" t="str">
        <f t="shared" si="114"/>
        <v/>
      </c>
      <c r="Y93" s="529" t="str">
        <f t="shared" si="114"/>
        <v/>
      </c>
      <c r="Z93" s="529" t="str">
        <f t="shared" si="114"/>
        <v/>
      </c>
    </row>
    <row r="94" spans="3:26" ht="15.75" customHeight="1" x14ac:dyDescent="0.25">
      <c r="C94" s="12">
        <v>8450</v>
      </c>
      <c r="H94" s="431" t="s">
        <v>1221</v>
      </c>
      <c r="I94" s="432" t="s">
        <v>1222</v>
      </c>
      <c r="J94" s="432" t="s">
        <v>1234</v>
      </c>
      <c r="K94" s="432" t="s">
        <v>1228</v>
      </c>
      <c r="L94" s="389" t="s">
        <v>1236</v>
      </c>
      <c r="M94" s="529">
        <f t="shared" ref="M94:Z94" si="115">+IF((M59+M60)&gt;0,M59+M60,"")</f>
        <v>8450</v>
      </c>
      <c r="N94" s="529">
        <f t="shared" si="115"/>
        <v>5934.0256012321215</v>
      </c>
      <c r="O94" s="529">
        <f t="shared" si="115"/>
        <v>4953.1245787331009</v>
      </c>
      <c r="P94" s="529">
        <f t="shared" si="115"/>
        <v>3618.0903802860598</v>
      </c>
      <c r="Q94" s="529">
        <f t="shared" si="115"/>
        <v>773.00896624472807</v>
      </c>
      <c r="R94" s="529">
        <f t="shared" si="115"/>
        <v>1800.9707674471915</v>
      </c>
      <c r="S94" s="529" t="str">
        <f t="shared" si="115"/>
        <v/>
      </c>
      <c r="T94" s="529">
        <f t="shared" si="115"/>
        <v>861.02236421725229</v>
      </c>
      <c r="U94" s="529" t="str">
        <f t="shared" si="115"/>
        <v/>
      </c>
      <c r="V94" s="529">
        <f t="shared" si="115"/>
        <v>615.01597444089475</v>
      </c>
      <c r="W94" s="529" t="str">
        <f t="shared" si="115"/>
        <v/>
      </c>
      <c r="X94" s="529">
        <f t="shared" si="115"/>
        <v>447.28434504792313</v>
      </c>
      <c r="Y94" s="529" t="str">
        <f t="shared" si="115"/>
        <v/>
      </c>
      <c r="Z94" s="529">
        <f t="shared" si="115"/>
        <v>313.09904153354637</v>
      </c>
    </row>
    <row r="95" spans="3:26" ht="15.75" customHeight="1" x14ac:dyDescent="0.25">
      <c r="C95" s="12">
        <v>112500</v>
      </c>
      <c r="H95" s="431" t="s">
        <v>1221</v>
      </c>
      <c r="I95" s="432" t="s">
        <v>1222</v>
      </c>
      <c r="J95" s="432" t="s">
        <v>1237</v>
      </c>
      <c r="K95" s="432" t="s">
        <v>1228</v>
      </c>
      <c r="L95" s="389" t="s">
        <v>1238</v>
      </c>
      <c r="M95" s="529">
        <f t="shared" ref="M95:Z95" si="116">+IF(M67="","",M67)</f>
        <v>112500</v>
      </c>
      <c r="N95" s="529">
        <f t="shared" si="116"/>
        <v>106081.08108108109</v>
      </c>
      <c r="O95" s="529" t="str">
        <f t="shared" si="116"/>
        <v/>
      </c>
      <c r="P95" s="529">
        <f t="shared" si="116"/>
        <v>70945.945945945947</v>
      </c>
      <c r="Q95" s="529" t="str">
        <f t="shared" si="116"/>
        <v/>
      </c>
      <c r="R95" s="529">
        <f t="shared" si="116"/>
        <v>37162.16216216216</v>
      </c>
      <c r="S95" s="529" t="str">
        <f t="shared" si="116"/>
        <v/>
      </c>
      <c r="T95" s="529">
        <f t="shared" si="116"/>
        <v>23648.648648648639</v>
      </c>
      <c r="U95" s="529" t="str">
        <f t="shared" si="116"/>
        <v/>
      </c>
      <c r="V95" s="529" t="str">
        <f t="shared" si="116"/>
        <v/>
      </c>
      <c r="W95" s="529" t="str">
        <f t="shared" si="116"/>
        <v/>
      </c>
      <c r="X95" s="529" t="str">
        <f t="shared" si="116"/>
        <v/>
      </c>
      <c r="Y95" s="529" t="str">
        <f t="shared" si="116"/>
        <v/>
      </c>
      <c r="Z95" s="529" t="str">
        <f t="shared" si="116"/>
        <v/>
      </c>
    </row>
    <row r="96" spans="3:26" ht="15.75" customHeight="1" x14ac:dyDescent="0.25">
      <c r="C96" s="12">
        <v>112200</v>
      </c>
      <c r="H96" s="431" t="s">
        <v>1221</v>
      </c>
      <c r="I96" s="432" t="s">
        <v>1222</v>
      </c>
      <c r="J96" s="432" t="s">
        <v>1239</v>
      </c>
      <c r="K96" s="432" t="s">
        <v>1228</v>
      </c>
      <c r="L96" s="389" t="s">
        <v>1240</v>
      </c>
      <c r="M96" s="529">
        <f t="shared" ref="M96:Z96" si="117">+IF((M45+M46+M47)&gt;0,M45+M46+M47,"")</f>
        <v>112200</v>
      </c>
      <c r="N96" s="529">
        <f t="shared" si="117"/>
        <v>112344.67308587313</v>
      </c>
      <c r="O96" s="529">
        <f t="shared" si="117"/>
        <v>39952.031986549417</v>
      </c>
      <c r="P96" s="529">
        <f t="shared" si="117"/>
        <v>37882.518739950639</v>
      </c>
      <c r="Q96" s="529" t="str">
        <f t="shared" si="117"/>
        <v/>
      </c>
      <c r="R96" s="529">
        <f t="shared" si="117"/>
        <v>55832.727823562367</v>
      </c>
      <c r="S96" s="529" t="str">
        <f t="shared" si="117"/>
        <v/>
      </c>
      <c r="T96" s="529">
        <f t="shared" si="117"/>
        <v>14170.274626144603</v>
      </c>
      <c r="U96" s="529">
        <f t="shared" si="117"/>
        <v>68.920612813370553</v>
      </c>
      <c r="V96" s="529">
        <f t="shared" si="117"/>
        <v>26375.42485353001</v>
      </c>
      <c r="W96" s="529" t="str">
        <f t="shared" si="117"/>
        <v/>
      </c>
      <c r="X96" s="529" t="str">
        <f t="shared" si="117"/>
        <v/>
      </c>
      <c r="Y96" s="529" t="str">
        <f t="shared" si="117"/>
        <v/>
      </c>
      <c r="Z96" s="529">
        <f t="shared" si="117"/>
        <v>21157.776313249327</v>
      </c>
    </row>
    <row r="97" spans="1:61" ht="15.75" customHeight="1" x14ac:dyDescent="0.25">
      <c r="C97" s="12">
        <v>69000</v>
      </c>
      <c r="H97" s="431" t="s">
        <v>1221</v>
      </c>
      <c r="I97" s="432" t="s">
        <v>1222</v>
      </c>
      <c r="J97" s="432" t="s">
        <v>1241</v>
      </c>
      <c r="K97" s="432" t="s">
        <v>1228</v>
      </c>
      <c r="L97" s="389" t="s">
        <v>1242</v>
      </c>
      <c r="M97" s="529">
        <f t="shared" ref="M97:Z97" si="118">+IF((M49+M48)&gt;0,M48+M49,"")</f>
        <v>69000</v>
      </c>
      <c r="N97" s="529">
        <f t="shared" si="118"/>
        <v>68919.494431482133</v>
      </c>
      <c r="O97" s="529">
        <f t="shared" si="118"/>
        <v>21393.017324773544</v>
      </c>
      <c r="P97" s="529">
        <f t="shared" si="118"/>
        <v>52136.392178971968</v>
      </c>
      <c r="Q97" s="529" t="str">
        <f t="shared" si="118"/>
        <v/>
      </c>
      <c r="R97" s="529">
        <f t="shared" si="118"/>
        <v>30942.417489779538</v>
      </c>
      <c r="S97" s="529">
        <f t="shared" si="118"/>
        <v>16260.547999602895</v>
      </c>
      <c r="T97" s="529">
        <f t="shared" si="118"/>
        <v>20337.971708122466</v>
      </c>
      <c r="U97" s="529">
        <f t="shared" si="118"/>
        <v>8406.8797776233405</v>
      </c>
      <c r="V97" s="529">
        <f t="shared" si="118"/>
        <v>5706.1823938088055</v>
      </c>
      <c r="W97" s="529">
        <f t="shared" si="118"/>
        <v>4334.2713921378891</v>
      </c>
      <c r="X97" s="529" t="str">
        <f t="shared" si="118"/>
        <v/>
      </c>
      <c r="Y97" s="529" t="str">
        <f t="shared" si="118"/>
        <v/>
      </c>
      <c r="Z97" s="529" t="str">
        <f t="shared" si="118"/>
        <v/>
      </c>
    </row>
    <row r="98" spans="1:61" ht="15.75" customHeight="1" x14ac:dyDescent="0.25">
      <c r="C98" s="12">
        <v>19000</v>
      </c>
      <c r="H98" s="431" t="s">
        <v>1221</v>
      </c>
      <c r="I98" s="432" t="s">
        <v>1222</v>
      </c>
      <c r="J98" s="432" t="s">
        <v>1241</v>
      </c>
      <c r="K98" s="432" t="s">
        <v>1228</v>
      </c>
      <c r="L98" s="389" t="s">
        <v>1243</v>
      </c>
      <c r="M98" s="529">
        <f t="shared" ref="M98:Z98" si="119">+IF(M39="","",M39)</f>
        <v>19000</v>
      </c>
      <c r="N98" s="529">
        <f t="shared" si="119"/>
        <v>9590.1639344262294</v>
      </c>
      <c r="O98" s="529">
        <f t="shared" si="119"/>
        <v>19016.393442622953</v>
      </c>
      <c r="P98" s="529">
        <f t="shared" si="119"/>
        <v>16065.573770491805</v>
      </c>
      <c r="Q98" s="529" t="str">
        <f t="shared" si="119"/>
        <v/>
      </c>
      <c r="R98" s="529">
        <f t="shared" si="119"/>
        <v>11065.573770491806</v>
      </c>
      <c r="S98" s="529" t="str">
        <f t="shared" si="119"/>
        <v/>
      </c>
      <c r="T98" s="529">
        <f t="shared" si="119"/>
        <v>7786.8852459016416</v>
      </c>
      <c r="U98" s="529" t="str">
        <f t="shared" si="119"/>
        <v/>
      </c>
      <c r="V98" s="529">
        <f t="shared" si="119"/>
        <v>5409.8360655737706</v>
      </c>
      <c r="W98" s="529" t="str">
        <f t="shared" si="119"/>
        <v/>
      </c>
      <c r="X98" s="529">
        <f t="shared" si="119"/>
        <v>3852.4590163934445</v>
      </c>
      <c r="Y98" s="529">
        <f t="shared" si="119"/>
        <v>3114.7540983606559</v>
      </c>
      <c r="Z98" s="529" t="str">
        <f t="shared" si="119"/>
        <v/>
      </c>
    </row>
    <row r="99" spans="1:61" ht="15.75" customHeight="1" x14ac:dyDescent="0.25">
      <c r="C99" s="12">
        <v>4210</v>
      </c>
      <c r="H99" s="431" t="s">
        <v>1221</v>
      </c>
      <c r="I99" s="432" t="s">
        <v>1222</v>
      </c>
      <c r="J99" s="432" t="s">
        <v>1244</v>
      </c>
      <c r="K99" s="432" t="s">
        <v>1228</v>
      </c>
      <c r="L99" s="389" t="s">
        <v>1245</v>
      </c>
      <c r="M99" s="529">
        <f t="shared" ref="M99:Z99" si="120">+IF((M40+M41)&gt;0,M40+M41,"")</f>
        <v>4210</v>
      </c>
      <c r="N99" s="529">
        <f t="shared" si="120"/>
        <v>3286.1805491052246</v>
      </c>
      <c r="O99" s="529">
        <f t="shared" si="120"/>
        <v>1448.760843589429</v>
      </c>
      <c r="P99" s="529">
        <f t="shared" si="120"/>
        <v>913.75911914942287</v>
      </c>
      <c r="Q99" s="529" t="str">
        <f t="shared" si="120"/>
        <v/>
      </c>
      <c r="R99" s="529">
        <f t="shared" si="120"/>
        <v>443.49917657398453</v>
      </c>
      <c r="S99" s="529" t="str">
        <f t="shared" si="120"/>
        <v/>
      </c>
      <c r="T99" s="529">
        <f t="shared" si="120"/>
        <v>123.34138755365916</v>
      </c>
      <c r="U99" s="529" t="str">
        <f t="shared" si="120"/>
        <v/>
      </c>
      <c r="V99" s="529">
        <f t="shared" si="120"/>
        <v>59.918258232013045</v>
      </c>
      <c r="W99" s="529" t="str">
        <f t="shared" si="120"/>
        <v/>
      </c>
      <c r="X99" s="529" t="str">
        <f t="shared" si="120"/>
        <v/>
      </c>
      <c r="Y99" s="529" t="str">
        <f t="shared" si="120"/>
        <v/>
      </c>
      <c r="Z99" s="529" t="str">
        <f t="shared" si="120"/>
        <v/>
      </c>
    </row>
    <row r="100" spans="1:61" ht="15.75" customHeight="1" x14ac:dyDescent="0.25">
      <c r="C100" s="12">
        <v>1900</v>
      </c>
      <c r="H100" s="431" t="s">
        <v>1221</v>
      </c>
      <c r="I100" s="432" t="s">
        <v>1222</v>
      </c>
      <c r="J100" s="432" t="s">
        <v>1246</v>
      </c>
      <c r="K100" s="432" t="s">
        <v>1247</v>
      </c>
      <c r="L100" s="389" t="s">
        <v>1246</v>
      </c>
      <c r="M100" s="529">
        <v>2100</v>
      </c>
      <c r="N100" s="529">
        <f t="shared" ref="N100:Z100" si="121">+IF(N64="","",N64)</f>
        <v>1984.4236760124613</v>
      </c>
      <c r="O100" s="529" t="str">
        <f t="shared" si="121"/>
        <v/>
      </c>
      <c r="P100" s="529">
        <f t="shared" si="121"/>
        <v>1548.2866043613712</v>
      </c>
      <c r="Q100" s="529" t="str">
        <f t="shared" si="121"/>
        <v/>
      </c>
      <c r="R100" s="529">
        <f t="shared" si="121"/>
        <v>937.6947040498444</v>
      </c>
      <c r="S100" s="529" t="str">
        <f t="shared" si="121"/>
        <v/>
      </c>
      <c r="T100" s="529">
        <f t="shared" si="121"/>
        <v>632.39875389408189</v>
      </c>
      <c r="U100" s="529" t="str">
        <f t="shared" si="121"/>
        <v/>
      </c>
      <c r="V100" s="529">
        <f t="shared" si="121"/>
        <v>414.33021806853685</v>
      </c>
      <c r="W100" s="529">
        <f t="shared" si="121"/>
        <v>370.71651090342766</v>
      </c>
      <c r="X100" s="529" t="str">
        <f t="shared" si="121"/>
        <v/>
      </c>
      <c r="Y100" s="529" t="str">
        <f t="shared" si="121"/>
        <v/>
      </c>
      <c r="Z100" s="529" t="str">
        <f t="shared" si="121"/>
        <v/>
      </c>
    </row>
    <row r="101" spans="1:61" ht="15.75" customHeight="1" x14ac:dyDescent="0.25">
      <c r="C101" s="12">
        <v>11750</v>
      </c>
      <c r="H101" s="431" t="s">
        <v>1221</v>
      </c>
      <c r="I101" s="432" t="s">
        <v>1222</v>
      </c>
      <c r="J101" s="432" t="s">
        <v>1248</v>
      </c>
      <c r="K101" s="432" t="s">
        <v>1249</v>
      </c>
      <c r="L101" s="389" t="s">
        <v>1250</v>
      </c>
      <c r="M101" s="529">
        <f t="shared" ref="M101:Z101" si="122">+IF((M43+M44)&gt;0,M43+M44,"")</f>
        <v>11750</v>
      </c>
      <c r="N101" s="529">
        <f t="shared" si="122"/>
        <v>12114.550176247034</v>
      </c>
      <c r="O101" s="529">
        <f t="shared" si="122"/>
        <v>2065.3937346384009</v>
      </c>
      <c r="P101" s="529">
        <f t="shared" si="122"/>
        <v>7765.8356751267929</v>
      </c>
      <c r="Q101" s="529" t="str">
        <f t="shared" si="122"/>
        <v/>
      </c>
      <c r="R101" s="529">
        <f t="shared" si="122"/>
        <v>3932.0151469712755</v>
      </c>
      <c r="S101" s="529" t="str">
        <f t="shared" si="122"/>
        <v/>
      </c>
      <c r="T101" s="529">
        <f t="shared" si="122"/>
        <v>2393.4857372237175</v>
      </c>
      <c r="U101" s="529" t="str">
        <f t="shared" si="122"/>
        <v/>
      </c>
      <c r="V101" s="529">
        <f t="shared" si="122"/>
        <v>440.61628785575977</v>
      </c>
      <c r="W101" s="529" t="str">
        <f t="shared" si="122"/>
        <v/>
      </c>
      <c r="X101" s="529">
        <f t="shared" si="122"/>
        <v>279.75265109735119</v>
      </c>
      <c r="Y101" s="529">
        <f t="shared" si="122"/>
        <v>163.4430828288796</v>
      </c>
      <c r="Z101" s="529" t="str">
        <f t="shared" si="122"/>
        <v/>
      </c>
    </row>
    <row r="102" spans="1:61" ht="15.75" customHeight="1" x14ac:dyDescent="0.25">
      <c r="C102" s="12">
        <v>1500</v>
      </c>
      <c r="H102" s="431" t="s">
        <v>1221</v>
      </c>
      <c r="I102" s="432" t="s">
        <v>1222</v>
      </c>
      <c r="J102" s="432" t="s">
        <v>1251</v>
      </c>
      <c r="K102" s="432" t="s">
        <v>1249</v>
      </c>
      <c r="L102" s="389" t="s">
        <v>1252</v>
      </c>
      <c r="M102" s="529">
        <f t="shared" ref="M102:Z102" si="123">+IF(M69="","",M69)</f>
        <v>1500</v>
      </c>
      <c r="N102" s="529">
        <f t="shared" si="123"/>
        <v>1369.449727815309</v>
      </c>
      <c r="O102" s="529">
        <f t="shared" si="123"/>
        <v>1555.5355151833155</v>
      </c>
      <c r="P102" s="529">
        <f t="shared" si="123"/>
        <v>1215.2021709188698</v>
      </c>
      <c r="Q102" s="529" t="str">
        <f t="shared" si="123"/>
        <v/>
      </c>
      <c r="R102" s="529" t="str">
        <f t="shared" si="123"/>
        <v/>
      </c>
      <c r="S102" s="529">
        <f t="shared" si="123"/>
        <v>733.31229094248101</v>
      </c>
      <c r="T102" s="529">
        <f t="shared" si="123"/>
        <v>436.58588574801706</v>
      </c>
      <c r="U102" s="529" t="str">
        <f t="shared" si="123"/>
        <v/>
      </c>
      <c r="V102" s="529">
        <f t="shared" si="123"/>
        <v>268.17160752935069</v>
      </c>
      <c r="W102" s="529" t="str">
        <f t="shared" si="123"/>
        <v/>
      </c>
      <c r="X102" s="529">
        <f t="shared" si="123"/>
        <v>185.1265822784826</v>
      </c>
      <c r="Y102" s="529" t="str">
        <f t="shared" si="123"/>
        <v/>
      </c>
      <c r="Z102" s="529" t="str">
        <f t="shared" si="123"/>
        <v/>
      </c>
    </row>
    <row r="103" spans="1:61" ht="15.75" customHeight="1" x14ac:dyDescent="0.25">
      <c r="C103" s="12">
        <v>18000</v>
      </c>
      <c r="H103" s="431" t="s">
        <v>1221</v>
      </c>
      <c r="I103" s="432" t="s">
        <v>1222</v>
      </c>
      <c r="J103" s="432" t="s">
        <v>1253</v>
      </c>
      <c r="K103" s="432" t="s">
        <v>1249</v>
      </c>
      <c r="L103" s="389" t="s">
        <v>1254</v>
      </c>
      <c r="M103" s="529">
        <f t="shared" ref="M103:Z103" si="124">+IF(M71="","",M71)</f>
        <v>18000</v>
      </c>
      <c r="N103" s="529">
        <f t="shared" si="124"/>
        <v>19200.000000000004</v>
      </c>
      <c r="O103" s="529" t="str">
        <f t="shared" si="124"/>
        <v/>
      </c>
      <c r="P103" s="529">
        <f t="shared" si="124"/>
        <v>16106.66666666667</v>
      </c>
      <c r="Q103" s="529" t="str">
        <f t="shared" si="124"/>
        <v/>
      </c>
      <c r="R103" s="529">
        <f t="shared" si="124"/>
        <v>10560.000000000004</v>
      </c>
      <c r="S103" s="529" t="str">
        <f t="shared" si="124"/>
        <v/>
      </c>
      <c r="T103" s="529">
        <f t="shared" si="124"/>
        <v>6666.6666666666679</v>
      </c>
      <c r="U103" s="529" t="str">
        <f t="shared" si="124"/>
        <v/>
      </c>
      <c r="V103" s="529">
        <f t="shared" si="124"/>
        <v>4640.0000000000036</v>
      </c>
      <c r="W103" s="529" t="str">
        <f t="shared" si="124"/>
        <v/>
      </c>
      <c r="X103" s="529">
        <f t="shared" si="124"/>
        <v>3306.6666666666679</v>
      </c>
      <c r="Y103" s="529" t="str">
        <f t="shared" si="124"/>
        <v/>
      </c>
      <c r="Z103" s="529">
        <f t="shared" si="124"/>
        <v>2293.3333333333358</v>
      </c>
    </row>
    <row r="104" spans="1:61" ht="15.75" customHeight="1" x14ac:dyDescent="0.25">
      <c r="C104" s="12">
        <v>42100</v>
      </c>
      <c r="H104" s="431" t="s">
        <v>1221</v>
      </c>
      <c r="I104" s="432" t="s">
        <v>1222</v>
      </c>
      <c r="J104" s="432" t="s">
        <v>1255</v>
      </c>
      <c r="K104" s="432" t="s">
        <v>1249</v>
      </c>
      <c r="L104" s="389" t="s">
        <v>1256</v>
      </c>
      <c r="M104" s="529">
        <f t="shared" ref="M104:Z104" si="125">+IF((M62+M63)&gt;0,M62+M63,"")</f>
        <v>42100</v>
      </c>
      <c r="N104" s="529">
        <f t="shared" si="125"/>
        <v>35485.255646809666</v>
      </c>
      <c r="O104" s="529" t="str">
        <f t="shared" si="125"/>
        <v/>
      </c>
      <c r="P104" s="529">
        <f t="shared" si="125"/>
        <v>15691.700499560948</v>
      </c>
      <c r="Q104" s="529" t="str">
        <f t="shared" si="125"/>
        <v/>
      </c>
      <c r="R104" s="529">
        <f t="shared" si="125"/>
        <v>5502.5922564363664</v>
      </c>
      <c r="S104" s="529" t="str">
        <f t="shared" si="125"/>
        <v/>
      </c>
      <c r="T104" s="529">
        <f t="shared" si="125"/>
        <v>2842.1263439074955</v>
      </c>
      <c r="U104" s="529" t="str">
        <f t="shared" si="125"/>
        <v/>
      </c>
      <c r="V104" s="529">
        <f t="shared" si="125"/>
        <v>1743.1409617839599</v>
      </c>
      <c r="W104" s="529" t="str">
        <f t="shared" si="125"/>
        <v/>
      </c>
      <c r="X104" s="529" t="str">
        <f t="shared" si="125"/>
        <v/>
      </c>
      <c r="Y104" s="529" t="str">
        <f t="shared" si="125"/>
        <v/>
      </c>
      <c r="Z104" s="529" t="str">
        <f t="shared" si="125"/>
        <v/>
      </c>
    </row>
    <row r="105" spans="1:61" ht="15.75" customHeight="1" x14ac:dyDescent="0.25">
      <c r="C105" s="12">
        <v>4850</v>
      </c>
      <c r="H105" s="431" t="s">
        <v>1221</v>
      </c>
      <c r="I105" s="432" t="s">
        <v>1222</v>
      </c>
      <c r="J105" s="432" t="s">
        <v>1257</v>
      </c>
      <c r="K105" s="432" t="s">
        <v>1258</v>
      </c>
      <c r="L105" s="389" t="s">
        <v>1259</v>
      </c>
      <c r="M105" s="529">
        <f t="shared" ref="M105:Z105" si="126">+IF((M56+M57+M58)&gt;0,M56+M57+M58,"")</f>
        <v>4850</v>
      </c>
      <c r="N105" s="529">
        <f t="shared" si="126"/>
        <v>4505.638763216899</v>
      </c>
      <c r="O105" s="529">
        <f t="shared" si="126"/>
        <v>426.82926829268285</v>
      </c>
      <c r="P105" s="529">
        <f t="shared" si="126"/>
        <v>2621.1316846226227</v>
      </c>
      <c r="Q105" s="529">
        <f t="shared" si="126"/>
        <v>170.73170731707319</v>
      </c>
      <c r="R105" s="529">
        <f t="shared" si="126"/>
        <v>1348.6893720793425</v>
      </c>
      <c r="S105" s="529">
        <f t="shared" si="126"/>
        <v>55.487804878048792</v>
      </c>
      <c r="T105" s="529">
        <f t="shared" si="126"/>
        <v>835.95075135984905</v>
      </c>
      <c r="U105" s="529">
        <f t="shared" si="126"/>
        <v>573.20872274143221</v>
      </c>
      <c r="V105" s="529">
        <f t="shared" si="126"/>
        <v>56.323861547350248</v>
      </c>
      <c r="W105" s="529" t="str">
        <f t="shared" si="126"/>
        <v/>
      </c>
      <c r="X105" s="529">
        <f t="shared" si="126"/>
        <v>35.752928200010388</v>
      </c>
      <c r="Y105" s="529" t="str">
        <f t="shared" si="126"/>
        <v/>
      </c>
      <c r="Z105" s="529">
        <f t="shared" si="126"/>
        <v>22.784810126582215</v>
      </c>
    </row>
    <row r="106" spans="1:61" ht="15.75" customHeight="1" x14ac:dyDescent="0.25">
      <c r="C106" s="12">
        <v>4000</v>
      </c>
      <c r="H106" s="431" t="s">
        <v>1221</v>
      </c>
      <c r="I106" s="432" t="s">
        <v>1222</v>
      </c>
      <c r="J106" s="432" t="s">
        <v>1260</v>
      </c>
      <c r="K106" s="432" t="s">
        <v>1258</v>
      </c>
      <c r="L106" s="389" t="s">
        <v>1261</v>
      </c>
      <c r="M106" s="529">
        <f t="shared" ref="M106:Z106" si="127">+IF(M68="","",M68)</f>
        <v>4000</v>
      </c>
      <c r="N106" s="529">
        <f t="shared" si="127"/>
        <v>3685.1509048868647</v>
      </c>
      <c r="O106" s="529">
        <f t="shared" si="127"/>
        <v>3841.6159807970034</v>
      </c>
      <c r="P106" s="529">
        <f t="shared" si="127"/>
        <v>3234.0636166995537</v>
      </c>
      <c r="Q106" s="529" t="str">
        <f t="shared" si="127"/>
        <v/>
      </c>
      <c r="R106" s="529">
        <f t="shared" si="127"/>
        <v>2400.88284952908</v>
      </c>
      <c r="S106" s="529" t="str">
        <f t="shared" si="127"/>
        <v/>
      </c>
      <c r="T106" s="529">
        <f t="shared" si="127"/>
        <v>1796.8903625650128</v>
      </c>
      <c r="U106" s="529" t="str">
        <f t="shared" si="127"/>
        <v/>
      </c>
      <c r="V106" s="529">
        <f t="shared" si="127"/>
        <v>1422.2556737660816</v>
      </c>
      <c r="W106" s="529" t="str">
        <f t="shared" si="127"/>
        <v/>
      </c>
      <c r="X106" s="529">
        <f t="shared" si="127"/>
        <v>1124.0735843555267</v>
      </c>
      <c r="Y106" s="529" t="str">
        <f t="shared" si="127"/>
        <v/>
      </c>
      <c r="Z106" s="529">
        <f t="shared" si="127"/>
        <v>978.79669372173157</v>
      </c>
    </row>
    <row r="107" spans="1:61" ht="15.75" customHeight="1" x14ac:dyDescent="0.25">
      <c r="A107" s="1"/>
      <c r="B107" s="1"/>
      <c r="C107" s="1">
        <v>4000</v>
      </c>
      <c r="D107" s="1"/>
      <c r="E107" s="1"/>
      <c r="F107" s="1"/>
      <c r="G107" s="1"/>
      <c r="H107" s="431" t="s">
        <v>1221</v>
      </c>
      <c r="I107" s="432" t="s">
        <v>1222</v>
      </c>
      <c r="J107" s="432" t="s">
        <v>1262</v>
      </c>
      <c r="K107" s="432" t="s">
        <v>1258</v>
      </c>
      <c r="L107" s="389" t="s">
        <v>1263</v>
      </c>
      <c r="M107" s="529">
        <f t="shared" ref="M107:Z107" si="128">+IF(M70="","",M70)</f>
        <v>4000</v>
      </c>
      <c r="N107" s="529">
        <f t="shared" si="128"/>
        <v>3788.1619937694686</v>
      </c>
      <c r="O107" s="529" t="str">
        <f t="shared" si="128"/>
        <v/>
      </c>
      <c r="P107" s="529">
        <f t="shared" si="128"/>
        <v>2847.1394346734687</v>
      </c>
      <c r="Q107" s="529" t="str">
        <f t="shared" si="128"/>
        <v/>
      </c>
      <c r="R107" s="529">
        <f t="shared" si="128"/>
        <v>1707.0015780737667</v>
      </c>
      <c r="S107" s="529" t="str">
        <f t="shared" si="128"/>
        <v/>
      </c>
      <c r="T107" s="529">
        <f t="shared" si="128"/>
        <v>1164.8637378271615</v>
      </c>
      <c r="U107" s="529" t="str">
        <f t="shared" si="128"/>
        <v/>
      </c>
      <c r="V107" s="529">
        <f t="shared" si="128"/>
        <v>871.94708138118222</v>
      </c>
      <c r="W107" s="529" t="str">
        <f t="shared" si="128"/>
        <v/>
      </c>
      <c r="X107" s="529">
        <f t="shared" si="128"/>
        <v>679.11137276064619</v>
      </c>
      <c r="Y107" s="529" t="str">
        <f t="shared" si="128"/>
        <v/>
      </c>
      <c r="Z107" s="529">
        <f t="shared" si="128"/>
        <v>485.75236506651345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spans="1:61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488" t="s">
        <v>1267</v>
      </c>
      <c r="M108" s="529">
        <f t="shared" ref="M108:Z108" si="129">+IF(M72="","",M72)</f>
        <v>468</v>
      </c>
      <c r="N108" s="529">
        <f t="shared" si="129"/>
        <v>486.27450980392155</v>
      </c>
      <c r="O108" s="529">
        <f t="shared" si="129"/>
        <v>625.21008403361338</v>
      </c>
      <c r="P108" s="529">
        <f t="shared" si="129"/>
        <v>528.85154061624644</v>
      </c>
      <c r="Q108" s="529" t="str">
        <f t="shared" si="129"/>
        <v/>
      </c>
      <c r="R108" s="529">
        <f t="shared" si="129"/>
        <v>365.26610644257693</v>
      </c>
      <c r="S108" s="529" t="str">
        <f t="shared" si="129"/>
        <v/>
      </c>
      <c r="T108" s="529">
        <f t="shared" si="129"/>
        <v>250.98039215686276</v>
      </c>
      <c r="U108" s="529" t="str">
        <f t="shared" si="129"/>
        <v/>
      </c>
      <c r="V108" s="529">
        <f t="shared" si="129"/>
        <v>174.78991596638662</v>
      </c>
      <c r="W108" s="529" t="str">
        <f t="shared" si="129"/>
        <v/>
      </c>
      <c r="X108" s="529">
        <f t="shared" si="129"/>
        <v>121.00840336134456</v>
      </c>
      <c r="Y108" s="529" t="str">
        <f t="shared" si="129"/>
        <v/>
      </c>
      <c r="Z108" s="529">
        <f t="shared" si="129"/>
        <v>85.154061624649785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spans="1:61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488" t="s">
        <v>1270</v>
      </c>
      <c r="M109" s="529">
        <f t="shared" ref="M109:Z109" si="130">+IF(M73="","",M73)</f>
        <v>1017</v>
      </c>
      <c r="N109" s="529">
        <f t="shared" si="130"/>
        <v>979.88394105492398</v>
      </c>
      <c r="O109" s="529">
        <f t="shared" si="130"/>
        <v>972.0369705893271</v>
      </c>
      <c r="P109" s="529">
        <f t="shared" si="130"/>
        <v>804.11031786293165</v>
      </c>
      <c r="Q109" s="529">
        <f t="shared" si="130"/>
        <v>658.51449499511261</v>
      </c>
      <c r="R109" s="529">
        <f t="shared" si="130"/>
        <v>486.70518800806724</v>
      </c>
      <c r="S109" s="529">
        <f t="shared" si="130"/>
        <v>363.34368542829213</v>
      </c>
      <c r="T109" s="529">
        <f t="shared" si="130"/>
        <v>307.18253919154665</v>
      </c>
      <c r="U109" s="529">
        <f t="shared" si="130"/>
        <v>251.05108820727287</v>
      </c>
      <c r="V109" s="529">
        <f t="shared" si="130"/>
        <v>194.78600858687719</v>
      </c>
      <c r="W109" s="529">
        <f t="shared" si="130"/>
        <v>149.6863438957696</v>
      </c>
      <c r="X109" s="529">
        <f t="shared" si="130"/>
        <v>127.07340913871371</v>
      </c>
      <c r="Y109" s="529">
        <f t="shared" si="130"/>
        <v>104.46047438165806</v>
      </c>
      <c r="Z109" s="529" t="str">
        <f t="shared" si="130"/>
        <v/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spans="1:61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488" t="s">
        <v>1271</v>
      </c>
      <c r="M110" s="529">
        <f t="shared" ref="M110:Z110" si="131">+IF(M74="","",M74)</f>
        <v>4600</v>
      </c>
      <c r="N110" s="529">
        <f t="shared" si="131"/>
        <v>4507.6923076923076</v>
      </c>
      <c r="O110" s="529">
        <f t="shared" si="131"/>
        <v>4384.6153846153838</v>
      </c>
      <c r="P110" s="529">
        <f t="shared" si="131"/>
        <v>3738.4615384615381</v>
      </c>
      <c r="Q110" s="529">
        <f t="shared" si="131"/>
        <v>3199.9999999999995</v>
      </c>
      <c r="R110" s="529">
        <f t="shared" si="131"/>
        <v>2538.4615384615381</v>
      </c>
      <c r="S110" s="529">
        <f t="shared" si="131"/>
        <v>2076.9230769230767</v>
      </c>
      <c r="T110" s="529">
        <f t="shared" si="131"/>
        <v>1784.6153846153843</v>
      </c>
      <c r="U110" s="529">
        <f t="shared" si="131"/>
        <v>1538.4615384615381</v>
      </c>
      <c r="V110" s="529">
        <f t="shared" si="131"/>
        <v>1246.1538461538457</v>
      </c>
      <c r="W110" s="529" t="str">
        <f t="shared" si="131"/>
        <v/>
      </c>
      <c r="X110" s="529" t="str">
        <f t="shared" si="131"/>
        <v/>
      </c>
      <c r="Y110" s="529" t="str">
        <f t="shared" si="131"/>
        <v/>
      </c>
      <c r="Z110" s="529" t="str">
        <f t="shared" si="131"/>
        <v/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spans="1:61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514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  <c r="X111" s="530"/>
      <c r="Y111" s="530"/>
      <c r="Z111" s="530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spans="1:61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531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  <c r="X112" s="530"/>
      <c r="Y112" s="530"/>
      <c r="Z112" s="530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spans="1:61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514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  <c r="X113" s="530"/>
      <c r="Y113" s="530"/>
      <c r="Z113" s="530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spans="1:61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514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  <c r="X114" s="530"/>
      <c r="Y114" s="530"/>
      <c r="Z114" s="530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spans="1:61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306"/>
      <c r="M115" s="492"/>
      <c r="N115" s="854" t="s">
        <v>1334</v>
      </c>
      <c r="O115" s="809"/>
      <c r="P115" s="809"/>
      <c r="Q115" s="809"/>
      <c r="R115" s="809"/>
      <c r="S115" s="809"/>
      <c r="T115" s="809"/>
      <c r="U115" s="809"/>
      <c r="V115" s="809"/>
      <c r="W115" s="810"/>
      <c r="X115" s="492"/>
      <c r="Y115" s="492"/>
      <c r="Z115" s="492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spans="1:61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456" t="s">
        <v>1205</v>
      </c>
      <c r="M116" s="527">
        <v>2019</v>
      </c>
      <c r="N116" s="528">
        <v>2020</v>
      </c>
      <c r="O116" s="528">
        <v>2023</v>
      </c>
      <c r="P116" s="528">
        <v>2025</v>
      </c>
      <c r="Q116" s="528">
        <v>2027</v>
      </c>
      <c r="R116" s="528">
        <v>2030</v>
      </c>
      <c r="S116" s="528">
        <v>2033</v>
      </c>
      <c r="T116" s="528">
        <v>2035</v>
      </c>
      <c r="U116" s="528">
        <v>2037</v>
      </c>
      <c r="V116" s="528">
        <v>2040</v>
      </c>
      <c r="W116" s="528">
        <v>2043</v>
      </c>
      <c r="X116" s="528">
        <v>2045</v>
      </c>
      <c r="Y116" s="528">
        <v>2047</v>
      </c>
      <c r="Z116" s="528">
        <v>2050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spans="1:61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389" t="s">
        <v>1225</v>
      </c>
      <c r="M117" s="532">
        <f t="shared" ref="M117:Z117" si="132">IF(M88="","",M88/$M88)</f>
        <v>1</v>
      </c>
      <c r="N117" s="532">
        <f t="shared" si="132"/>
        <v>0.71052932339295627</v>
      </c>
      <c r="O117" s="532" t="str">
        <f t="shared" si="132"/>
        <v/>
      </c>
      <c r="P117" s="532">
        <f t="shared" si="132"/>
        <v>0.46585162646401629</v>
      </c>
      <c r="Q117" s="532">
        <f t="shared" si="132"/>
        <v>0.36502891178716357</v>
      </c>
      <c r="R117" s="532" t="str">
        <f t="shared" si="132"/>
        <v/>
      </c>
      <c r="S117" s="532" t="str">
        <f t="shared" si="132"/>
        <v/>
      </c>
      <c r="T117" s="532" t="str">
        <f t="shared" si="132"/>
        <v/>
      </c>
      <c r="U117" s="532" t="str">
        <f t="shared" si="132"/>
        <v/>
      </c>
      <c r="V117" s="532" t="str">
        <f t="shared" si="132"/>
        <v/>
      </c>
      <c r="W117" s="532" t="str">
        <f t="shared" si="132"/>
        <v/>
      </c>
      <c r="X117" s="532" t="str">
        <f t="shared" si="132"/>
        <v/>
      </c>
      <c r="Y117" s="532" t="str">
        <f t="shared" si="132"/>
        <v/>
      </c>
      <c r="Z117" s="532" t="str">
        <f t="shared" si="132"/>
        <v/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spans="1:61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389" t="s">
        <v>1226</v>
      </c>
      <c r="M118" s="532">
        <f t="shared" ref="M118:Z118" si="133">IF(M89="","",M89/$M89)</f>
        <v>1</v>
      </c>
      <c r="N118" s="532">
        <f t="shared" si="133"/>
        <v>0.71685328526162295</v>
      </c>
      <c r="O118" s="532">
        <f t="shared" si="133"/>
        <v>1.0757259540778876</v>
      </c>
      <c r="P118" s="532">
        <f t="shared" si="133"/>
        <v>0.77263629352239904</v>
      </c>
      <c r="Q118" s="532">
        <f t="shared" si="133"/>
        <v>0.67891132441900459</v>
      </c>
      <c r="R118" s="532">
        <f t="shared" si="133"/>
        <v>0.61682447940381147</v>
      </c>
      <c r="S118" s="532">
        <f t="shared" si="133"/>
        <v>0.42940427627605338</v>
      </c>
      <c r="T118" s="532">
        <f t="shared" si="133"/>
        <v>0.33576851240974936</v>
      </c>
      <c r="U118" s="532">
        <f t="shared" si="133"/>
        <v>0.27368166739455629</v>
      </c>
      <c r="V118" s="532" t="str">
        <f t="shared" si="133"/>
        <v/>
      </c>
      <c r="W118" s="532" t="str">
        <f t="shared" si="133"/>
        <v/>
      </c>
      <c r="X118" s="532" t="str">
        <f t="shared" si="133"/>
        <v/>
      </c>
      <c r="Y118" s="532" t="str">
        <f t="shared" si="133"/>
        <v/>
      </c>
      <c r="Z118" s="532" t="str">
        <f t="shared" si="133"/>
        <v/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spans="1:61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389" t="s">
        <v>1229</v>
      </c>
      <c r="M119" s="532">
        <f t="shared" ref="M119:Z119" si="134">IF(M90="","",M90/$M90)</f>
        <v>1</v>
      </c>
      <c r="N119" s="532">
        <f t="shared" si="134"/>
        <v>0.95820762096323608</v>
      </c>
      <c r="O119" s="532">
        <f t="shared" si="134"/>
        <v>0.30506201810258143</v>
      </c>
      <c r="P119" s="532">
        <f t="shared" si="134"/>
        <v>0.16426416359369764</v>
      </c>
      <c r="Q119" s="532">
        <f t="shared" si="134"/>
        <v>8.2132081796848902E-2</v>
      </c>
      <c r="R119" s="532" t="str">
        <f t="shared" si="134"/>
        <v/>
      </c>
      <c r="S119" s="532" t="str">
        <f t="shared" si="134"/>
        <v/>
      </c>
      <c r="T119" s="532" t="str">
        <f t="shared" si="134"/>
        <v/>
      </c>
      <c r="U119" s="532" t="str">
        <f t="shared" si="134"/>
        <v/>
      </c>
      <c r="V119" s="532" t="str">
        <f t="shared" si="134"/>
        <v/>
      </c>
      <c r="W119" s="532" t="str">
        <f t="shared" si="134"/>
        <v/>
      </c>
      <c r="X119" s="532" t="str">
        <f t="shared" si="134"/>
        <v/>
      </c>
      <c r="Y119" s="532" t="str">
        <f t="shared" si="134"/>
        <v/>
      </c>
      <c r="Z119" s="532" t="str">
        <f t="shared" si="134"/>
        <v/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spans="1:61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389" t="s">
        <v>1231</v>
      </c>
      <c r="M120" s="532">
        <f t="shared" ref="M120:Z120" si="135">IF(M91="","",M91/$M91)</f>
        <v>1</v>
      </c>
      <c r="N120" s="532">
        <f t="shared" si="135"/>
        <v>1.1460583239097806</v>
      </c>
      <c r="O120" s="532">
        <f t="shared" si="135"/>
        <v>1.0267765189182025</v>
      </c>
      <c r="P120" s="532">
        <f t="shared" si="135"/>
        <v>0.79637254256474788</v>
      </c>
      <c r="Q120" s="532" t="str">
        <f t="shared" si="135"/>
        <v/>
      </c>
      <c r="R120" s="532">
        <f t="shared" si="135"/>
        <v>0.47344007604199378</v>
      </c>
      <c r="S120" s="532" t="str">
        <f t="shared" si="135"/>
        <v/>
      </c>
      <c r="T120" s="532">
        <f t="shared" si="135"/>
        <v>0.27316919469874357</v>
      </c>
      <c r="U120" s="532" t="str">
        <f t="shared" si="135"/>
        <v/>
      </c>
      <c r="V120" s="532">
        <f t="shared" si="135"/>
        <v>0.10260539330343703</v>
      </c>
      <c r="W120" s="532" t="str">
        <f t="shared" si="135"/>
        <v/>
      </c>
      <c r="X120" s="532">
        <f t="shared" si="135"/>
        <v>6.9465448498731056E-2</v>
      </c>
      <c r="Y120" s="532" t="str">
        <f t="shared" si="135"/>
        <v/>
      </c>
      <c r="Z120" s="532">
        <f t="shared" si="135"/>
        <v>5.1421873655740524E-2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spans="1:61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389" t="s">
        <v>1233</v>
      </c>
      <c r="M121" s="532">
        <f t="shared" ref="M121:Z121" si="136">IF(M92="","",M92/$M92)</f>
        <v>1</v>
      </c>
      <c r="N121" s="532">
        <f t="shared" si="136"/>
        <v>0.86406008870132311</v>
      </c>
      <c r="O121" s="532" t="str">
        <f t="shared" si="136"/>
        <v/>
      </c>
      <c r="P121" s="532">
        <f t="shared" si="136"/>
        <v>0.45558055767282019</v>
      </c>
      <c r="Q121" s="532" t="str">
        <f t="shared" si="136"/>
        <v/>
      </c>
      <c r="R121" s="532" t="str">
        <f t="shared" si="136"/>
        <v/>
      </c>
      <c r="S121" s="532" t="str">
        <f t="shared" si="136"/>
        <v/>
      </c>
      <c r="T121" s="532" t="str">
        <f t="shared" si="136"/>
        <v/>
      </c>
      <c r="U121" s="532" t="str">
        <f t="shared" si="136"/>
        <v/>
      </c>
      <c r="V121" s="532" t="str">
        <f t="shared" si="136"/>
        <v/>
      </c>
      <c r="W121" s="532" t="str">
        <f t="shared" si="136"/>
        <v/>
      </c>
      <c r="X121" s="532" t="str">
        <f t="shared" si="136"/>
        <v/>
      </c>
      <c r="Y121" s="532" t="str">
        <f t="shared" si="136"/>
        <v/>
      </c>
      <c r="Z121" s="532" t="str">
        <f t="shared" si="136"/>
        <v/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spans="1:61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389" t="s">
        <v>1235</v>
      </c>
      <c r="M122" s="532">
        <f t="shared" ref="M122:Z122" si="137">IF(M93="","",M93/$M93)</f>
        <v>1</v>
      </c>
      <c r="N122" s="532">
        <f t="shared" si="137"/>
        <v>0.96044449526690401</v>
      </c>
      <c r="O122" s="532">
        <f t="shared" si="137"/>
        <v>0.76403745377837917</v>
      </c>
      <c r="P122" s="532">
        <f t="shared" si="137"/>
        <v>0.56021621253703868</v>
      </c>
      <c r="Q122" s="532">
        <f t="shared" si="137"/>
        <v>0.34268343632583909</v>
      </c>
      <c r="R122" s="532">
        <f t="shared" si="137"/>
        <v>0.2529654007733238</v>
      </c>
      <c r="S122" s="532">
        <f t="shared" si="137"/>
        <v>0.17520746156244088</v>
      </c>
      <c r="T122" s="532">
        <f t="shared" si="137"/>
        <v>0.130609198619274</v>
      </c>
      <c r="U122" s="532">
        <f t="shared" si="137"/>
        <v>9.8753296517011979E-2</v>
      </c>
      <c r="V122" s="532">
        <f t="shared" si="137"/>
        <v>7.3268574835202507E-2</v>
      </c>
      <c r="W122" s="532" t="str">
        <f t="shared" si="137"/>
        <v/>
      </c>
      <c r="X122" s="532" t="str">
        <f t="shared" si="137"/>
        <v/>
      </c>
      <c r="Y122" s="532" t="str">
        <f t="shared" si="137"/>
        <v/>
      </c>
      <c r="Z122" s="532" t="str">
        <f t="shared" si="137"/>
        <v/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spans="1:61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389" t="s">
        <v>1236</v>
      </c>
      <c r="M123" s="532">
        <f t="shared" ref="M123:Z123" si="138">IF(M94="","",M94/$M94)</f>
        <v>1</v>
      </c>
      <c r="N123" s="532">
        <f t="shared" si="138"/>
        <v>0.7022515504416712</v>
      </c>
      <c r="O123" s="532">
        <f t="shared" si="138"/>
        <v>0.58616858919918358</v>
      </c>
      <c r="P123" s="532">
        <f t="shared" si="138"/>
        <v>0.42817637636521416</v>
      </c>
      <c r="Q123" s="532">
        <f t="shared" si="138"/>
        <v>9.1480351034879059E-2</v>
      </c>
      <c r="R123" s="532">
        <f t="shared" si="138"/>
        <v>0.21313263520085107</v>
      </c>
      <c r="S123" s="532" t="str">
        <f t="shared" si="138"/>
        <v/>
      </c>
      <c r="T123" s="532">
        <f t="shared" si="138"/>
        <v>0.10189613777718962</v>
      </c>
      <c r="U123" s="532" t="str">
        <f t="shared" si="138"/>
        <v/>
      </c>
      <c r="V123" s="532">
        <f t="shared" si="138"/>
        <v>7.2782955555135476E-2</v>
      </c>
      <c r="W123" s="532" t="str">
        <f t="shared" si="138"/>
        <v/>
      </c>
      <c r="X123" s="532">
        <f t="shared" si="138"/>
        <v>5.2933058585553035E-2</v>
      </c>
      <c r="Y123" s="532" t="str">
        <f t="shared" si="138"/>
        <v/>
      </c>
      <c r="Z123" s="532">
        <f t="shared" si="138"/>
        <v>3.7053141009887144E-2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spans="1:61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389" t="s">
        <v>1238</v>
      </c>
      <c r="M124" s="532">
        <f t="shared" ref="M124:Z124" si="139">IF(M95="","",M95/$M95)</f>
        <v>1</v>
      </c>
      <c r="N124" s="532">
        <f t="shared" si="139"/>
        <v>0.94294294294294301</v>
      </c>
      <c r="O124" s="532" t="str">
        <f t="shared" si="139"/>
        <v/>
      </c>
      <c r="P124" s="532">
        <f t="shared" si="139"/>
        <v>0.63063063063063063</v>
      </c>
      <c r="Q124" s="532" t="str">
        <f t="shared" si="139"/>
        <v/>
      </c>
      <c r="R124" s="532">
        <f t="shared" si="139"/>
        <v>0.33033033033033032</v>
      </c>
      <c r="S124" s="532" t="str">
        <f t="shared" si="139"/>
        <v/>
      </c>
      <c r="T124" s="532">
        <f t="shared" si="139"/>
        <v>0.21021021021021014</v>
      </c>
      <c r="U124" s="532" t="str">
        <f t="shared" si="139"/>
        <v/>
      </c>
      <c r="V124" s="532" t="str">
        <f t="shared" si="139"/>
        <v/>
      </c>
      <c r="W124" s="532" t="str">
        <f t="shared" si="139"/>
        <v/>
      </c>
      <c r="X124" s="532" t="str">
        <f t="shared" si="139"/>
        <v/>
      </c>
      <c r="Y124" s="532" t="str">
        <f t="shared" si="139"/>
        <v/>
      </c>
      <c r="Z124" s="532" t="str">
        <f t="shared" si="139"/>
        <v/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spans="1:61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389" t="s">
        <v>1240</v>
      </c>
      <c r="M125" s="532">
        <f t="shared" ref="M125:Z125" si="140">IF(M96="","",M96/$M96)</f>
        <v>1</v>
      </c>
      <c r="N125" s="532">
        <f t="shared" si="140"/>
        <v>1.0012894214427195</v>
      </c>
      <c r="O125" s="532">
        <f t="shared" si="140"/>
        <v>0.35607871645765971</v>
      </c>
      <c r="P125" s="532">
        <f t="shared" si="140"/>
        <v>0.33763385686230518</v>
      </c>
      <c r="Q125" s="532" t="str">
        <f t="shared" si="140"/>
        <v/>
      </c>
      <c r="R125" s="532">
        <f t="shared" si="140"/>
        <v>0.49761789504066278</v>
      </c>
      <c r="S125" s="532" t="str">
        <f t="shared" si="140"/>
        <v/>
      </c>
      <c r="T125" s="532">
        <f t="shared" si="140"/>
        <v>0.12629478276421213</v>
      </c>
      <c r="U125" s="532">
        <f t="shared" si="140"/>
        <v>6.1426571134911363E-4</v>
      </c>
      <c r="V125" s="532">
        <f t="shared" si="140"/>
        <v>0.23507508782112307</v>
      </c>
      <c r="W125" s="532" t="str">
        <f t="shared" si="140"/>
        <v/>
      </c>
      <c r="X125" s="532" t="str">
        <f t="shared" si="140"/>
        <v/>
      </c>
      <c r="Y125" s="532" t="str">
        <f t="shared" si="140"/>
        <v/>
      </c>
      <c r="Z125" s="532">
        <f t="shared" si="140"/>
        <v>0.18857198140150916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spans="1:61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389" t="s">
        <v>1242</v>
      </c>
      <c r="M126" s="532">
        <f t="shared" ref="M126:Z126" si="141">IF(M97="","",M97/$M97)</f>
        <v>1</v>
      </c>
      <c r="N126" s="532">
        <f t="shared" si="141"/>
        <v>0.99883325263017586</v>
      </c>
      <c r="O126" s="532">
        <f t="shared" si="141"/>
        <v>0.31004372934454411</v>
      </c>
      <c r="P126" s="532">
        <f t="shared" si="141"/>
        <v>0.75559988665176769</v>
      </c>
      <c r="Q126" s="532" t="str">
        <f t="shared" si="141"/>
        <v/>
      </c>
      <c r="R126" s="532">
        <f t="shared" si="141"/>
        <v>0.44844083318521072</v>
      </c>
      <c r="S126" s="532">
        <f t="shared" si="141"/>
        <v>0.23566011593627384</v>
      </c>
      <c r="T126" s="532">
        <f t="shared" si="141"/>
        <v>0.29475321316119518</v>
      </c>
      <c r="U126" s="532">
        <f t="shared" si="141"/>
        <v>0.12183883735686001</v>
      </c>
      <c r="V126" s="532">
        <f t="shared" si="141"/>
        <v>8.2698295562446456E-2</v>
      </c>
      <c r="W126" s="532">
        <f t="shared" si="141"/>
        <v>6.2815527422288242E-2</v>
      </c>
      <c r="X126" s="532" t="str">
        <f t="shared" si="141"/>
        <v/>
      </c>
      <c r="Y126" s="532" t="str">
        <f t="shared" si="141"/>
        <v/>
      </c>
      <c r="Z126" s="532" t="str">
        <f t="shared" si="141"/>
        <v/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spans="1:61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389" t="s">
        <v>1243</v>
      </c>
      <c r="M127" s="532">
        <f t="shared" ref="M127:Z127" si="142">IF(M98="","",M98/$M98)</f>
        <v>1</v>
      </c>
      <c r="N127" s="532">
        <f t="shared" si="142"/>
        <v>0.50474547023295946</v>
      </c>
      <c r="O127" s="532">
        <f t="shared" si="142"/>
        <v>1.0008628127696291</v>
      </c>
      <c r="P127" s="532">
        <f t="shared" si="142"/>
        <v>0.84555651423641076</v>
      </c>
      <c r="Q127" s="532" t="str">
        <f t="shared" si="142"/>
        <v/>
      </c>
      <c r="R127" s="532">
        <f t="shared" si="142"/>
        <v>0.58239861949956873</v>
      </c>
      <c r="S127" s="532" t="str">
        <f t="shared" si="142"/>
        <v/>
      </c>
      <c r="T127" s="532">
        <f t="shared" si="142"/>
        <v>0.40983606557377061</v>
      </c>
      <c r="U127" s="532" t="str">
        <f t="shared" si="142"/>
        <v/>
      </c>
      <c r="V127" s="532">
        <f t="shared" si="142"/>
        <v>0.28472821397756687</v>
      </c>
      <c r="W127" s="532" t="str">
        <f t="shared" si="142"/>
        <v/>
      </c>
      <c r="X127" s="532">
        <f t="shared" si="142"/>
        <v>0.20276100086281287</v>
      </c>
      <c r="Y127" s="532">
        <f t="shared" si="142"/>
        <v>0.16393442622950821</v>
      </c>
      <c r="Z127" s="532" t="str">
        <f t="shared" si="142"/>
        <v/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spans="1:61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389" t="s">
        <v>1245</v>
      </c>
      <c r="M128" s="532">
        <f t="shared" ref="M128:Z128" si="143">IF(M99="","",M99/$M99)</f>
        <v>1</v>
      </c>
      <c r="N128" s="532">
        <f t="shared" si="143"/>
        <v>0.78056545109387754</v>
      </c>
      <c r="O128" s="532">
        <f t="shared" si="143"/>
        <v>0.34412371581696649</v>
      </c>
      <c r="P128" s="532">
        <f t="shared" si="143"/>
        <v>0.21704492141316459</v>
      </c>
      <c r="Q128" s="532" t="str">
        <f t="shared" si="143"/>
        <v/>
      </c>
      <c r="R128" s="532">
        <f t="shared" si="143"/>
        <v>0.10534422246412935</v>
      </c>
      <c r="S128" s="532" t="str">
        <f t="shared" si="143"/>
        <v/>
      </c>
      <c r="T128" s="532">
        <f t="shared" si="143"/>
        <v>2.9297241699206451E-2</v>
      </c>
      <c r="U128" s="532" t="str">
        <f t="shared" si="143"/>
        <v/>
      </c>
      <c r="V128" s="532">
        <f t="shared" si="143"/>
        <v>1.4232365375775069E-2</v>
      </c>
      <c r="W128" s="532" t="str">
        <f t="shared" si="143"/>
        <v/>
      </c>
      <c r="X128" s="532" t="str">
        <f t="shared" si="143"/>
        <v/>
      </c>
      <c r="Y128" s="532" t="str">
        <f t="shared" si="143"/>
        <v/>
      </c>
      <c r="Z128" s="532" t="str">
        <f t="shared" si="143"/>
        <v/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spans="1:61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389" t="s">
        <v>1246</v>
      </c>
      <c r="M129" s="532">
        <f t="shared" ref="M129:Z129" si="144">IF(M100="","",M100/$M100)</f>
        <v>1</v>
      </c>
      <c r="N129" s="532">
        <f t="shared" si="144"/>
        <v>0.94496365524402925</v>
      </c>
      <c r="O129" s="532" t="str">
        <f t="shared" si="144"/>
        <v/>
      </c>
      <c r="P129" s="532">
        <f t="shared" si="144"/>
        <v>0.73727933541017676</v>
      </c>
      <c r="Q129" s="532" t="str">
        <f t="shared" si="144"/>
        <v/>
      </c>
      <c r="R129" s="532">
        <f t="shared" si="144"/>
        <v>0.44652128764278304</v>
      </c>
      <c r="S129" s="532" t="str">
        <f t="shared" si="144"/>
        <v/>
      </c>
      <c r="T129" s="532">
        <f t="shared" si="144"/>
        <v>0.30114226375908659</v>
      </c>
      <c r="U129" s="532" t="str">
        <f t="shared" si="144"/>
        <v/>
      </c>
      <c r="V129" s="532">
        <f t="shared" si="144"/>
        <v>0.1973001038421604</v>
      </c>
      <c r="W129" s="532">
        <f t="shared" si="144"/>
        <v>0.17653167185877508</v>
      </c>
      <c r="X129" s="532" t="str">
        <f t="shared" si="144"/>
        <v/>
      </c>
      <c r="Y129" s="532" t="str">
        <f t="shared" si="144"/>
        <v/>
      </c>
      <c r="Z129" s="532" t="str">
        <f t="shared" si="144"/>
        <v/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spans="1:61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389" t="s">
        <v>1250</v>
      </c>
      <c r="M130" s="532">
        <f t="shared" ref="M130:Z130" si="145">IF(M101="","",M101/$M101)</f>
        <v>1</v>
      </c>
      <c r="N130" s="532">
        <f t="shared" si="145"/>
        <v>1.0310255469146412</v>
      </c>
      <c r="O130" s="532">
        <f t="shared" si="145"/>
        <v>0.17577819018199156</v>
      </c>
      <c r="P130" s="532">
        <f t="shared" si="145"/>
        <v>0.66092218511717382</v>
      </c>
      <c r="Q130" s="532" t="str">
        <f t="shared" si="145"/>
        <v/>
      </c>
      <c r="R130" s="532">
        <f t="shared" si="145"/>
        <v>0.33463958697627877</v>
      </c>
      <c r="S130" s="532" t="str">
        <f t="shared" si="145"/>
        <v/>
      </c>
      <c r="T130" s="532">
        <f t="shared" si="145"/>
        <v>0.20370091380627384</v>
      </c>
      <c r="U130" s="532" t="str">
        <f t="shared" si="145"/>
        <v/>
      </c>
      <c r="V130" s="532">
        <f t="shared" si="145"/>
        <v>3.7499258540915723E-2</v>
      </c>
      <c r="W130" s="532" t="str">
        <f t="shared" si="145"/>
        <v/>
      </c>
      <c r="X130" s="532">
        <f t="shared" si="145"/>
        <v>2.3808736263604358E-2</v>
      </c>
      <c r="Y130" s="532">
        <f t="shared" si="145"/>
        <v>1.3910049602457838E-2</v>
      </c>
      <c r="Z130" s="532" t="str">
        <f t="shared" si="145"/>
        <v/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spans="1:61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389" t="s">
        <v>1252</v>
      </c>
      <c r="M131" s="532">
        <f t="shared" ref="M131:Z131" si="146">IF(M102="","",M102/$M102)</f>
        <v>1</v>
      </c>
      <c r="N131" s="532">
        <f t="shared" si="146"/>
        <v>0.91296648521020596</v>
      </c>
      <c r="O131" s="532">
        <f t="shared" si="146"/>
        <v>1.037023676788877</v>
      </c>
      <c r="P131" s="532">
        <f t="shared" si="146"/>
        <v>0.81013478061257982</v>
      </c>
      <c r="Q131" s="532" t="str">
        <f t="shared" si="146"/>
        <v/>
      </c>
      <c r="R131" s="532" t="str">
        <f t="shared" si="146"/>
        <v/>
      </c>
      <c r="S131" s="532">
        <f t="shared" si="146"/>
        <v>0.4888748606283207</v>
      </c>
      <c r="T131" s="532">
        <f t="shared" si="146"/>
        <v>0.2910572571653447</v>
      </c>
      <c r="U131" s="532" t="str">
        <f t="shared" si="146"/>
        <v/>
      </c>
      <c r="V131" s="532">
        <f t="shared" si="146"/>
        <v>0.17878107168623381</v>
      </c>
      <c r="W131" s="532" t="str">
        <f t="shared" si="146"/>
        <v/>
      </c>
      <c r="X131" s="532">
        <f t="shared" si="146"/>
        <v>0.1234177215189884</v>
      </c>
      <c r="Y131" s="532" t="str">
        <f t="shared" si="146"/>
        <v/>
      </c>
      <c r="Z131" s="532" t="str">
        <f t="shared" si="146"/>
        <v/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spans="1:61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389" t="s">
        <v>1254</v>
      </c>
      <c r="M132" s="532">
        <f t="shared" ref="M132:Z132" si="147">IF(M103="","",M103/$M103)</f>
        <v>1</v>
      </c>
      <c r="N132" s="532">
        <f t="shared" si="147"/>
        <v>1.0666666666666669</v>
      </c>
      <c r="O132" s="532" t="str">
        <f t="shared" si="147"/>
        <v/>
      </c>
      <c r="P132" s="532">
        <f t="shared" si="147"/>
        <v>0.89481481481481495</v>
      </c>
      <c r="Q132" s="532" t="str">
        <f t="shared" si="147"/>
        <v/>
      </c>
      <c r="R132" s="532">
        <f t="shared" si="147"/>
        <v>0.58666666666666689</v>
      </c>
      <c r="S132" s="532" t="str">
        <f t="shared" si="147"/>
        <v/>
      </c>
      <c r="T132" s="532">
        <f t="shared" si="147"/>
        <v>0.37037037037037046</v>
      </c>
      <c r="U132" s="532" t="str">
        <f t="shared" si="147"/>
        <v/>
      </c>
      <c r="V132" s="532">
        <f t="shared" si="147"/>
        <v>0.25777777777777799</v>
      </c>
      <c r="W132" s="532" t="str">
        <f t="shared" si="147"/>
        <v/>
      </c>
      <c r="X132" s="532">
        <f t="shared" si="147"/>
        <v>0.18370370370370376</v>
      </c>
      <c r="Y132" s="532" t="str">
        <f t="shared" si="147"/>
        <v/>
      </c>
      <c r="Z132" s="532">
        <f t="shared" si="147"/>
        <v>0.12740740740740755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spans="1:61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389" t="s">
        <v>1256</v>
      </c>
      <c r="M133" s="532">
        <f t="shared" ref="M133:Z133" si="148">IF(M104="","",M104/$M104)</f>
        <v>1</v>
      </c>
      <c r="N133" s="532">
        <f t="shared" si="148"/>
        <v>0.8428801816344339</v>
      </c>
      <c r="O133" s="532" t="str">
        <f t="shared" si="148"/>
        <v/>
      </c>
      <c r="P133" s="532">
        <f t="shared" si="148"/>
        <v>0.37272447742425052</v>
      </c>
      <c r="Q133" s="532" t="str">
        <f t="shared" si="148"/>
        <v/>
      </c>
      <c r="R133" s="532">
        <f t="shared" si="148"/>
        <v>0.13070290395335787</v>
      </c>
      <c r="S133" s="532" t="str">
        <f t="shared" si="148"/>
        <v/>
      </c>
      <c r="T133" s="532">
        <f t="shared" si="148"/>
        <v>6.7508939285213676E-2</v>
      </c>
      <c r="U133" s="532" t="str">
        <f t="shared" si="148"/>
        <v/>
      </c>
      <c r="V133" s="532">
        <f t="shared" si="148"/>
        <v>4.1404773439048928E-2</v>
      </c>
      <c r="W133" s="532" t="str">
        <f t="shared" si="148"/>
        <v/>
      </c>
      <c r="X133" s="532" t="str">
        <f t="shared" si="148"/>
        <v/>
      </c>
      <c r="Y133" s="532" t="str">
        <f t="shared" si="148"/>
        <v/>
      </c>
      <c r="Z133" s="532" t="str">
        <f t="shared" si="148"/>
        <v/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spans="1:61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389" t="s">
        <v>1259</v>
      </c>
      <c r="M134" s="532">
        <f t="shared" ref="M134:Z134" si="149">IF(M105="","",M105/$M105)</f>
        <v>1</v>
      </c>
      <c r="N134" s="532">
        <f t="shared" si="149"/>
        <v>0.92899768313750497</v>
      </c>
      <c r="O134" s="532">
        <f t="shared" si="149"/>
        <v>8.8006034699522243E-2</v>
      </c>
      <c r="P134" s="532">
        <f t="shared" si="149"/>
        <v>0.54043952260260264</v>
      </c>
      <c r="Q134" s="532">
        <f t="shared" si="149"/>
        <v>3.5202413879808901E-2</v>
      </c>
      <c r="R134" s="532">
        <f t="shared" si="149"/>
        <v>0.27808028290295722</v>
      </c>
      <c r="S134" s="532">
        <f t="shared" si="149"/>
        <v>1.1440784510937895E-2</v>
      </c>
      <c r="T134" s="532">
        <f t="shared" si="149"/>
        <v>0.17236097966182454</v>
      </c>
      <c r="U134" s="532">
        <f t="shared" si="149"/>
        <v>0.11818736551369736</v>
      </c>
      <c r="V134" s="532">
        <f t="shared" si="149"/>
        <v>1.1613167329350567E-2</v>
      </c>
      <c r="W134" s="532" t="str">
        <f t="shared" si="149"/>
        <v/>
      </c>
      <c r="X134" s="532">
        <f t="shared" si="149"/>
        <v>7.3717377731980184E-3</v>
      </c>
      <c r="Y134" s="532" t="str">
        <f t="shared" si="149"/>
        <v/>
      </c>
      <c r="Z134" s="532">
        <f t="shared" si="149"/>
        <v>4.6978989951715908E-3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spans="1:6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389" t="s">
        <v>1261</v>
      </c>
      <c r="M135" s="532">
        <f t="shared" ref="M135:Z135" si="150">IF(M106="","",M106/$M106)</f>
        <v>1</v>
      </c>
      <c r="N135" s="532">
        <f t="shared" si="150"/>
        <v>0.92128772622171617</v>
      </c>
      <c r="O135" s="532">
        <f t="shared" si="150"/>
        <v>0.9604039951992509</v>
      </c>
      <c r="P135" s="532">
        <f t="shared" si="150"/>
        <v>0.80851590417488839</v>
      </c>
      <c r="Q135" s="532" t="str">
        <f t="shared" si="150"/>
        <v/>
      </c>
      <c r="R135" s="532">
        <f t="shared" si="150"/>
        <v>0.60022071238227004</v>
      </c>
      <c r="S135" s="532" t="str">
        <f t="shared" si="150"/>
        <v/>
      </c>
      <c r="T135" s="532">
        <f t="shared" si="150"/>
        <v>0.44922259064125319</v>
      </c>
      <c r="U135" s="532" t="str">
        <f t="shared" si="150"/>
        <v/>
      </c>
      <c r="V135" s="532">
        <f t="shared" si="150"/>
        <v>0.35556391844152041</v>
      </c>
      <c r="W135" s="532" t="str">
        <f t="shared" si="150"/>
        <v/>
      </c>
      <c r="X135" s="532">
        <f t="shared" si="150"/>
        <v>0.28101839608888168</v>
      </c>
      <c r="Y135" s="532" t="str">
        <f t="shared" si="150"/>
        <v/>
      </c>
      <c r="Z135" s="532">
        <f t="shared" si="150"/>
        <v>0.2446991734304329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spans="1:6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389" t="s">
        <v>1263</v>
      </c>
      <c r="M136" s="532">
        <f t="shared" ref="M136:Z136" si="151">IF(M107="","",M107/$M107)</f>
        <v>1</v>
      </c>
      <c r="N136" s="532">
        <f t="shared" si="151"/>
        <v>0.94704049844236715</v>
      </c>
      <c r="O136" s="532" t="str">
        <f t="shared" si="151"/>
        <v/>
      </c>
      <c r="P136" s="532">
        <f t="shared" si="151"/>
        <v>0.71178485866836716</v>
      </c>
      <c r="Q136" s="532" t="str">
        <f t="shared" si="151"/>
        <v/>
      </c>
      <c r="R136" s="532">
        <f t="shared" si="151"/>
        <v>0.42675039451844166</v>
      </c>
      <c r="S136" s="532" t="str">
        <f t="shared" si="151"/>
        <v/>
      </c>
      <c r="T136" s="532">
        <f t="shared" si="151"/>
        <v>0.29121593445679034</v>
      </c>
      <c r="U136" s="532" t="str">
        <f t="shared" si="151"/>
        <v/>
      </c>
      <c r="V136" s="532">
        <f t="shared" si="151"/>
        <v>0.21798677034529557</v>
      </c>
      <c r="W136" s="532" t="str">
        <f t="shared" si="151"/>
        <v/>
      </c>
      <c r="X136" s="532">
        <f t="shared" si="151"/>
        <v>0.16977784319016154</v>
      </c>
      <c r="Y136" s="532" t="str">
        <f t="shared" si="151"/>
        <v/>
      </c>
      <c r="Z136" s="532">
        <f t="shared" si="151"/>
        <v>0.12143809126662836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spans="1:6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488" t="s">
        <v>1267</v>
      </c>
      <c r="M137" s="532">
        <f t="shared" ref="M137:Z137" si="152">IF(M108="","",M108/$M108)</f>
        <v>1</v>
      </c>
      <c r="N137" s="532">
        <f t="shared" si="152"/>
        <v>1.0390480978716272</v>
      </c>
      <c r="O137" s="532">
        <f t="shared" si="152"/>
        <v>1.3359189829778064</v>
      </c>
      <c r="P137" s="532">
        <f t="shared" si="152"/>
        <v>1.1300246594364241</v>
      </c>
      <c r="Q137" s="532" t="str">
        <f t="shared" si="152"/>
        <v/>
      </c>
      <c r="R137" s="532">
        <f t="shared" si="152"/>
        <v>0.78048313342430964</v>
      </c>
      <c r="S137" s="532" t="str">
        <f t="shared" si="152"/>
        <v/>
      </c>
      <c r="T137" s="532">
        <f t="shared" si="152"/>
        <v>0.53628288922406575</v>
      </c>
      <c r="U137" s="532" t="str">
        <f t="shared" si="152"/>
        <v/>
      </c>
      <c r="V137" s="532">
        <f t="shared" si="152"/>
        <v>0.37348272642390301</v>
      </c>
      <c r="W137" s="532" t="str">
        <f t="shared" si="152"/>
        <v/>
      </c>
      <c r="X137" s="532">
        <f t="shared" si="152"/>
        <v>0.25856496444731747</v>
      </c>
      <c r="Y137" s="532" t="str">
        <f t="shared" si="152"/>
        <v/>
      </c>
      <c r="Z137" s="532">
        <f t="shared" si="152"/>
        <v>0.18195312312959355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spans="1:61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488" t="s">
        <v>1270</v>
      </c>
      <c r="M138" s="532">
        <f t="shared" ref="M138:Z138" si="153">IF(M109="","",M109/$M109)</f>
        <v>1</v>
      </c>
      <c r="N138" s="532">
        <f t="shared" si="153"/>
        <v>0.96350436681900098</v>
      </c>
      <c r="O138" s="532">
        <f t="shared" si="153"/>
        <v>0.95578856498458908</v>
      </c>
      <c r="P138" s="532">
        <f t="shared" si="153"/>
        <v>0.79066894578459357</v>
      </c>
      <c r="Q138" s="532">
        <f t="shared" si="153"/>
        <v>0.64750687806795737</v>
      </c>
      <c r="R138" s="532">
        <f t="shared" si="153"/>
        <v>0.47856950639927948</v>
      </c>
      <c r="S138" s="532">
        <f t="shared" si="153"/>
        <v>0.35727009383312897</v>
      </c>
      <c r="T138" s="532">
        <f t="shared" si="153"/>
        <v>0.30204772781862993</v>
      </c>
      <c r="U138" s="532">
        <f t="shared" si="153"/>
        <v>0.24685456067578454</v>
      </c>
      <c r="V138" s="532">
        <f t="shared" si="153"/>
        <v>0.19152999861049871</v>
      </c>
      <c r="W138" s="532">
        <f t="shared" si="153"/>
        <v>0.14718421228689244</v>
      </c>
      <c r="X138" s="532">
        <f t="shared" si="153"/>
        <v>0.12494927152282567</v>
      </c>
      <c r="Y138" s="532">
        <f t="shared" si="153"/>
        <v>0.10271433075875916</v>
      </c>
      <c r="Z138" s="532" t="str">
        <f t="shared" si="153"/>
        <v/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spans="1:6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488" t="s">
        <v>1271</v>
      </c>
      <c r="M139" s="532">
        <f t="shared" ref="M139:Z139" si="154">IF(M110="","",M110/$M110)</f>
        <v>1</v>
      </c>
      <c r="N139" s="532">
        <f t="shared" si="154"/>
        <v>0.97993311036789299</v>
      </c>
      <c r="O139" s="532">
        <f t="shared" si="154"/>
        <v>0.95317725752508342</v>
      </c>
      <c r="P139" s="532">
        <f t="shared" si="154"/>
        <v>0.81270903010033435</v>
      </c>
      <c r="Q139" s="532">
        <f t="shared" si="154"/>
        <v>0.69565217391304335</v>
      </c>
      <c r="R139" s="532">
        <f t="shared" si="154"/>
        <v>0.55183946488294311</v>
      </c>
      <c r="S139" s="532">
        <f t="shared" si="154"/>
        <v>0.45150501672240795</v>
      </c>
      <c r="T139" s="532">
        <f t="shared" si="154"/>
        <v>0.38795986622073569</v>
      </c>
      <c r="U139" s="532">
        <f t="shared" si="154"/>
        <v>0.334448160535117</v>
      </c>
      <c r="V139" s="532">
        <f t="shared" si="154"/>
        <v>0.27090301003344475</v>
      </c>
      <c r="W139" s="532" t="str">
        <f t="shared" si="154"/>
        <v/>
      </c>
      <c r="X139" s="532" t="str">
        <f t="shared" si="154"/>
        <v/>
      </c>
      <c r="Y139" s="532" t="str">
        <f t="shared" si="154"/>
        <v/>
      </c>
      <c r="Z139" s="532" t="str">
        <f t="shared" si="154"/>
        <v/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spans="1:6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spans="1:6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spans="1:6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spans="1:6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528">
        <v>2020</v>
      </c>
      <c r="O143" s="528">
        <v>2023</v>
      </c>
      <c r="P143" s="528">
        <v>2025</v>
      </c>
      <c r="Q143" s="528">
        <v>2027</v>
      </c>
      <c r="R143" s="528">
        <v>2030</v>
      </c>
      <c r="S143" s="528">
        <v>2033</v>
      </c>
      <c r="T143" s="528">
        <v>2035</v>
      </c>
      <c r="U143" s="528">
        <v>2037</v>
      </c>
      <c r="V143" s="528">
        <v>2040</v>
      </c>
      <c r="W143" s="528">
        <v>2043</v>
      </c>
      <c r="X143" s="528">
        <v>2045</v>
      </c>
      <c r="Y143" s="528">
        <v>2047</v>
      </c>
      <c r="Z143" s="528">
        <v>2050</v>
      </c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spans="1:6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>
        <v>22500</v>
      </c>
      <c r="N144" s="1">
        <f t="shared" ref="N144:Z144" si="155">+IF(N117="","",$M144*N117)</f>
        <v>15986.909776341516</v>
      </c>
      <c r="O144" s="1" t="str">
        <f t="shared" si="155"/>
        <v/>
      </c>
      <c r="P144" s="1">
        <f t="shared" si="155"/>
        <v>10481.661595440366</v>
      </c>
      <c r="Q144" s="1">
        <f t="shared" si="155"/>
        <v>8213.1505152111804</v>
      </c>
      <c r="R144" s="1" t="str">
        <f t="shared" si="155"/>
        <v/>
      </c>
      <c r="S144" s="1" t="str">
        <f t="shared" si="155"/>
        <v/>
      </c>
      <c r="T144" s="1" t="str">
        <f t="shared" si="155"/>
        <v/>
      </c>
      <c r="U144" s="1" t="str">
        <f t="shared" si="155"/>
        <v/>
      </c>
      <c r="V144" s="1" t="str">
        <f t="shared" si="155"/>
        <v/>
      </c>
      <c r="W144" s="1" t="str">
        <f t="shared" si="155"/>
        <v/>
      </c>
      <c r="X144" s="1" t="str">
        <f t="shared" si="155"/>
        <v/>
      </c>
      <c r="Y144" s="1" t="str">
        <f t="shared" si="155"/>
        <v/>
      </c>
      <c r="Z144" s="1" t="str">
        <f t="shared" si="155"/>
        <v/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spans="1:6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>
        <v>3750</v>
      </c>
      <c r="N145" s="1">
        <f t="shared" ref="N145:Z145" si="156">+IF(N118="","",$M145*N118)</f>
        <v>2688.1998197310859</v>
      </c>
      <c r="O145" s="1">
        <f t="shared" si="156"/>
        <v>4033.9723277920784</v>
      </c>
      <c r="P145" s="1">
        <f t="shared" si="156"/>
        <v>2897.3861007089963</v>
      </c>
      <c r="Q145" s="1">
        <f t="shared" si="156"/>
        <v>2545.9174665712671</v>
      </c>
      <c r="R145" s="1">
        <f t="shared" si="156"/>
        <v>2313.091797764293</v>
      </c>
      <c r="S145" s="1">
        <f t="shared" si="156"/>
        <v>1610.2660360352002</v>
      </c>
      <c r="T145" s="1">
        <f t="shared" si="156"/>
        <v>1259.1319215365602</v>
      </c>
      <c r="U145" s="1">
        <f t="shared" si="156"/>
        <v>1026.306252729586</v>
      </c>
      <c r="V145" s="1" t="str">
        <f t="shared" si="156"/>
        <v/>
      </c>
      <c r="W145" s="1" t="str">
        <f t="shared" si="156"/>
        <v/>
      </c>
      <c r="X145" s="1" t="str">
        <f t="shared" si="156"/>
        <v/>
      </c>
      <c r="Y145" s="1" t="str">
        <f t="shared" si="156"/>
        <v/>
      </c>
      <c r="Z145" s="1" t="str">
        <f t="shared" si="156"/>
        <v/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spans="1:6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>
        <v>5700</v>
      </c>
      <c r="N146" s="1">
        <f t="shared" ref="N146:Z146" si="157">+IF(N119="","",$M146*N119)</f>
        <v>5461.7834394904457</v>
      </c>
      <c r="O146" s="1">
        <f t="shared" si="157"/>
        <v>1738.8535031847141</v>
      </c>
      <c r="P146" s="1">
        <f t="shared" si="157"/>
        <v>936.30573248407654</v>
      </c>
      <c r="Q146" s="1">
        <f t="shared" si="157"/>
        <v>468.15286624203873</v>
      </c>
      <c r="R146" s="1" t="str">
        <f t="shared" si="157"/>
        <v/>
      </c>
      <c r="S146" s="1" t="str">
        <f t="shared" si="157"/>
        <v/>
      </c>
      <c r="T146" s="1" t="str">
        <f t="shared" si="157"/>
        <v/>
      </c>
      <c r="U146" s="1" t="str">
        <f t="shared" si="157"/>
        <v/>
      </c>
      <c r="V146" s="1" t="str">
        <f t="shared" si="157"/>
        <v/>
      </c>
      <c r="W146" s="1" t="str">
        <f t="shared" si="157"/>
        <v/>
      </c>
      <c r="X146" s="1" t="str">
        <f t="shared" si="157"/>
        <v/>
      </c>
      <c r="Y146" s="1" t="str">
        <f t="shared" si="157"/>
        <v/>
      </c>
      <c r="Z146" s="1" t="str">
        <f t="shared" si="157"/>
        <v/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spans="1:6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>
        <v>50400</v>
      </c>
      <c r="N147" s="1">
        <f t="shared" ref="N147:Z147" si="158">+IF(N120="","",$M147*N120)</f>
        <v>57761.339525052943</v>
      </c>
      <c r="O147" s="1">
        <f t="shared" si="158"/>
        <v>51749.53655347741</v>
      </c>
      <c r="P147" s="1">
        <f t="shared" si="158"/>
        <v>40137.176145263293</v>
      </c>
      <c r="Q147" s="1" t="str">
        <f t="shared" si="158"/>
        <v/>
      </c>
      <c r="R147" s="1">
        <f t="shared" si="158"/>
        <v>23861.379832516486</v>
      </c>
      <c r="S147" s="1" t="str">
        <f t="shared" si="158"/>
        <v/>
      </c>
      <c r="T147" s="1">
        <f t="shared" si="158"/>
        <v>13767.727412816675</v>
      </c>
      <c r="U147" s="1" t="str">
        <f t="shared" si="158"/>
        <v/>
      </c>
      <c r="V147" s="1">
        <f t="shared" si="158"/>
        <v>5171.3118224932259</v>
      </c>
      <c r="W147" s="1" t="str">
        <f t="shared" si="158"/>
        <v/>
      </c>
      <c r="X147" s="1">
        <f t="shared" si="158"/>
        <v>3501.0586043360454</v>
      </c>
      <c r="Y147" s="1" t="str">
        <f t="shared" si="158"/>
        <v/>
      </c>
      <c r="Z147" s="1">
        <f t="shared" si="158"/>
        <v>2591.6624322493226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spans="1:6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>
        <v>33000</v>
      </c>
      <c r="N148" s="1">
        <f t="shared" ref="N148:Z148" si="159">+IF(N121="","",$M148*N121)</f>
        <v>28513.982927143661</v>
      </c>
      <c r="O148" s="1" t="str">
        <f t="shared" si="159"/>
        <v/>
      </c>
      <c r="P148" s="1">
        <f t="shared" si="159"/>
        <v>15034.158403203066</v>
      </c>
      <c r="Q148" s="1" t="str">
        <f t="shared" si="159"/>
        <v/>
      </c>
      <c r="R148" s="1" t="str">
        <f t="shared" si="159"/>
        <v/>
      </c>
      <c r="S148" s="1" t="str">
        <f t="shared" si="159"/>
        <v/>
      </c>
      <c r="T148" s="1" t="str">
        <f t="shared" si="159"/>
        <v/>
      </c>
      <c r="U148" s="1" t="str">
        <f t="shared" si="159"/>
        <v/>
      </c>
      <c r="V148" s="1" t="str">
        <f t="shared" si="159"/>
        <v/>
      </c>
      <c r="W148" s="1" t="str">
        <f t="shared" si="159"/>
        <v/>
      </c>
      <c r="X148" s="1" t="str">
        <f t="shared" si="159"/>
        <v/>
      </c>
      <c r="Y148" s="1" t="str">
        <f t="shared" si="159"/>
        <v/>
      </c>
      <c r="Z148" s="1" t="str">
        <f t="shared" si="159"/>
        <v/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spans="1:6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>
        <v>59550</v>
      </c>
      <c r="N149" s="1">
        <f t="shared" ref="N149:Z149" si="160">+IF(N122="","",$M149*N122)</f>
        <v>57194.469693144136</v>
      </c>
      <c r="O149" s="1">
        <f t="shared" si="160"/>
        <v>45498.43037250248</v>
      </c>
      <c r="P149" s="1">
        <f t="shared" si="160"/>
        <v>33360.875456580652</v>
      </c>
      <c r="Q149" s="1">
        <f t="shared" si="160"/>
        <v>20406.798633203718</v>
      </c>
      <c r="R149" s="1">
        <f t="shared" si="160"/>
        <v>15064.089616051433</v>
      </c>
      <c r="S149" s="1">
        <f t="shared" si="160"/>
        <v>10433.604336043354</v>
      </c>
      <c r="T149" s="1">
        <f t="shared" si="160"/>
        <v>7777.7777777777665</v>
      </c>
      <c r="U149" s="1">
        <f t="shared" si="160"/>
        <v>5880.7588075880631</v>
      </c>
      <c r="V149" s="1">
        <f t="shared" si="160"/>
        <v>4363.1436314363091</v>
      </c>
      <c r="W149" s="1" t="str">
        <f t="shared" si="160"/>
        <v/>
      </c>
      <c r="X149" s="1" t="str">
        <f t="shared" si="160"/>
        <v/>
      </c>
      <c r="Y149" s="1" t="str">
        <f t="shared" si="160"/>
        <v/>
      </c>
      <c r="Z149" s="1" t="str">
        <f t="shared" si="160"/>
        <v/>
      </c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spans="1:6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>
        <v>8450</v>
      </c>
      <c r="N150" s="1">
        <f t="shared" ref="N150:Z150" si="161">+IF(N123="","",$M150*N123)</f>
        <v>5934.0256012321215</v>
      </c>
      <c r="O150" s="1">
        <f t="shared" si="161"/>
        <v>4953.1245787331009</v>
      </c>
      <c r="P150" s="1">
        <f t="shared" si="161"/>
        <v>3618.0903802860598</v>
      </c>
      <c r="Q150" s="1">
        <f t="shared" si="161"/>
        <v>773.00896624472807</v>
      </c>
      <c r="R150" s="1">
        <f t="shared" si="161"/>
        <v>1800.9707674471915</v>
      </c>
      <c r="S150" s="1" t="str">
        <f t="shared" si="161"/>
        <v/>
      </c>
      <c r="T150" s="1">
        <f t="shared" si="161"/>
        <v>861.02236421725229</v>
      </c>
      <c r="U150" s="1" t="str">
        <f t="shared" si="161"/>
        <v/>
      </c>
      <c r="V150" s="1">
        <f t="shared" si="161"/>
        <v>615.01597444089475</v>
      </c>
      <c r="W150" s="1" t="str">
        <f t="shared" si="161"/>
        <v/>
      </c>
      <c r="X150" s="1">
        <f t="shared" si="161"/>
        <v>447.28434504792313</v>
      </c>
      <c r="Y150" s="1" t="str">
        <f t="shared" si="161"/>
        <v/>
      </c>
      <c r="Z150" s="1">
        <f t="shared" si="161"/>
        <v>313.09904153354637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spans="1:6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>
        <v>112500</v>
      </c>
      <c r="N151" s="1">
        <f t="shared" ref="N151:Z151" si="162">+IF(N124="","",$M151*N124)</f>
        <v>106081.08108108109</v>
      </c>
      <c r="O151" s="1" t="str">
        <f t="shared" si="162"/>
        <v/>
      </c>
      <c r="P151" s="1">
        <f t="shared" si="162"/>
        <v>70945.945945945947</v>
      </c>
      <c r="Q151" s="1" t="str">
        <f t="shared" si="162"/>
        <v/>
      </c>
      <c r="R151" s="1">
        <f t="shared" si="162"/>
        <v>37162.16216216216</v>
      </c>
      <c r="S151" s="1" t="str">
        <f t="shared" si="162"/>
        <v/>
      </c>
      <c r="T151" s="1">
        <f t="shared" si="162"/>
        <v>23648.648648648639</v>
      </c>
      <c r="U151" s="1" t="str">
        <f t="shared" si="162"/>
        <v/>
      </c>
      <c r="V151" s="1" t="str">
        <f t="shared" si="162"/>
        <v/>
      </c>
      <c r="W151" s="1" t="str">
        <f t="shared" si="162"/>
        <v/>
      </c>
      <c r="X151" s="1" t="str">
        <f t="shared" si="162"/>
        <v/>
      </c>
      <c r="Y151" s="1" t="str">
        <f t="shared" si="162"/>
        <v/>
      </c>
      <c r="Z151" s="1" t="str">
        <f t="shared" si="162"/>
        <v/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spans="1:61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>
        <v>112200</v>
      </c>
      <c r="N152" s="1">
        <f t="shared" ref="N152:Z152" si="163">+IF(N125="","",$M152*N125)</f>
        <v>112344.67308587313</v>
      </c>
      <c r="O152" s="1">
        <f t="shared" si="163"/>
        <v>39952.031986549417</v>
      </c>
      <c r="P152" s="1">
        <f t="shared" si="163"/>
        <v>37882.518739950639</v>
      </c>
      <c r="Q152" s="1" t="str">
        <f t="shared" si="163"/>
        <v/>
      </c>
      <c r="R152" s="1">
        <f t="shared" si="163"/>
        <v>55832.727823562367</v>
      </c>
      <c r="S152" s="1" t="str">
        <f t="shared" si="163"/>
        <v/>
      </c>
      <c r="T152" s="1">
        <f t="shared" si="163"/>
        <v>14170.274626144601</v>
      </c>
      <c r="U152" s="1">
        <f t="shared" si="163"/>
        <v>68.920612813370553</v>
      </c>
      <c r="V152" s="1">
        <f t="shared" si="163"/>
        <v>26375.42485353001</v>
      </c>
      <c r="W152" s="1" t="str">
        <f t="shared" si="163"/>
        <v/>
      </c>
      <c r="X152" s="1" t="str">
        <f t="shared" si="163"/>
        <v/>
      </c>
      <c r="Y152" s="1" t="str">
        <f t="shared" si="163"/>
        <v/>
      </c>
      <c r="Z152" s="1">
        <f t="shared" si="163"/>
        <v>21157.776313249327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spans="1:61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>
        <v>69000</v>
      </c>
      <c r="N153" s="1">
        <f t="shared" ref="N153:Z153" si="164">+IF(N126="","",$M153*N126)</f>
        <v>68919.494431482133</v>
      </c>
      <c r="O153" s="1">
        <f t="shared" si="164"/>
        <v>21393.017324773544</v>
      </c>
      <c r="P153" s="1">
        <f t="shared" si="164"/>
        <v>52136.392178971968</v>
      </c>
      <c r="Q153" s="1" t="str">
        <f t="shared" si="164"/>
        <v/>
      </c>
      <c r="R153" s="1">
        <f t="shared" si="164"/>
        <v>30942.417489779538</v>
      </c>
      <c r="S153" s="1">
        <f t="shared" si="164"/>
        <v>16260.547999602895</v>
      </c>
      <c r="T153" s="1">
        <f t="shared" si="164"/>
        <v>20337.971708122466</v>
      </c>
      <c r="U153" s="1">
        <f t="shared" si="164"/>
        <v>8406.8797776233405</v>
      </c>
      <c r="V153" s="1">
        <f t="shared" si="164"/>
        <v>5706.1823938088055</v>
      </c>
      <c r="W153" s="1">
        <f t="shared" si="164"/>
        <v>4334.2713921378891</v>
      </c>
      <c r="X153" s="1" t="str">
        <f t="shared" si="164"/>
        <v/>
      </c>
      <c r="Y153" s="1" t="str">
        <f t="shared" si="164"/>
        <v/>
      </c>
      <c r="Z153" s="1" t="str">
        <f t="shared" si="164"/>
        <v/>
      </c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spans="1:61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>
        <v>19000</v>
      </c>
      <c r="N154" s="1">
        <f t="shared" ref="N154:Z154" si="165">+IF(N127="","",$M154*N127)</f>
        <v>9590.1639344262294</v>
      </c>
      <c r="O154" s="1">
        <f t="shared" si="165"/>
        <v>19016.393442622953</v>
      </c>
      <c r="P154" s="1">
        <f t="shared" si="165"/>
        <v>16065.573770491805</v>
      </c>
      <c r="Q154" s="1" t="str">
        <f t="shared" si="165"/>
        <v/>
      </c>
      <c r="R154" s="1">
        <f t="shared" si="165"/>
        <v>11065.573770491806</v>
      </c>
      <c r="S154" s="1" t="str">
        <f t="shared" si="165"/>
        <v/>
      </c>
      <c r="T154" s="1">
        <f t="shared" si="165"/>
        <v>7786.8852459016416</v>
      </c>
      <c r="U154" s="1" t="str">
        <f t="shared" si="165"/>
        <v/>
      </c>
      <c r="V154" s="1">
        <f t="shared" si="165"/>
        <v>5409.8360655737706</v>
      </c>
      <c r="W154" s="1" t="str">
        <f t="shared" si="165"/>
        <v/>
      </c>
      <c r="X154" s="1">
        <f t="shared" si="165"/>
        <v>3852.4590163934445</v>
      </c>
      <c r="Y154" s="1">
        <f t="shared" si="165"/>
        <v>3114.7540983606559</v>
      </c>
      <c r="Z154" s="1" t="str">
        <f t="shared" si="165"/>
        <v/>
      </c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spans="1:61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>
        <v>4210</v>
      </c>
      <c r="N155" s="1">
        <f t="shared" ref="N155:Z155" si="166">+IF(N128="","",$M155*N128)</f>
        <v>3286.1805491052246</v>
      </c>
      <c r="O155" s="1">
        <f t="shared" si="166"/>
        <v>1448.760843589429</v>
      </c>
      <c r="P155" s="1">
        <f t="shared" si="166"/>
        <v>913.75911914942287</v>
      </c>
      <c r="Q155" s="1" t="str">
        <f t="shared" si="166"/>
        <v/>
      </c>
      <c r="R155" s="1">
        <f t="shared" si="166"/>
        <v>443.49917657398453</v>
      </c>
      <c r="S155" s="1" t="str">
        <f t="shared" si="166"/>
        <v/>
      </c>
      <c r="T155" s="1">
        <f t="shared" si="166"/>
        <v>123.34138755365916</v>
      </c>
      <c r="U155" s="1" t="str">
        <f t="shared" si="166"/>
        <v/>
      </c>
      <c r="V155" s="1">
        <f t="shared" si="166"/>
        <v>59.918258232013045</v>
      </c>
      <c r="W155" s="1" t="str">
        <f t="shared" si="166"/>
        <v/>
      </c>
      <c r="X155" s="1" t="str">
        <f t="shared" si="166"/>
        <v/>
      </c>
      <c r="Y155" s="1" t="str">
        <f t="shared" si="166"/>
        <v/>
      </c>
      <c r="Z155" s="1" t="str">
        <f t="shared" si="166"/>
        <v/>
      </c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spans="1:61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>
        <v>1900</v>
      </c>
      <c r="N156" s="1">
        <f t="shared" ref="N156:Z156" si="167">+IF(N129="","",$M156*N129)</f>
        <v>1795.4309449636555</v>
      </c>
      <c r="O156" s="1" t="str">
        <f t="shared" si="167"/>
        <v/>
      </c>
      <c r="P156" s="1">
        <f t="shared" si="167"/>
        <v>1400.8307372793358</v>
      </c>
      <c r="Q156" s="1" t="str">
        <f t="shared" si="167"/>
        <v/>
      </c>
      <c r="R156" s="1">
        <f t="shared" si="167"/>
        <v>848.3904465212878</v>
      </c>
      <c r="S156" s="1" t="str">
        <f t="shared" si="167"/>
        <v/>
      </c>
      <c r="T156" s="1">
        <f t="shared" si="167"/>
        <v>572.17030114226452</v>
      </c>
      <c r="U156" s="1" t="str">
        <f t="shared" si="167"/>
        <v/>
      </c>
      <c r="V156" s="1">
        <f t="shared" si="167"/>
        <v>374.87019730010473</v>
      </c>
      <c r="W156" s="1">
        <f t="shared" si="167"/>
        <v>335.41017653167268</v>
      </c>
      <c r="X156" s="1" t="str">
        <f t="shared" si="167"/>
        <v/>
      </c>
      <c r="Y156" s="1" t="str">
        <f t="shared" si="167"/>
        <v/>
      </c>
      <c r="Z156" s="1" t="str">
        <f t="shared" si="167"/>
        <v/>
      </c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spans="1:61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>
        <v>11750</v>
      </c>
      <c r="N157" s="1">
        <f t="shared" ref="N157:Z157" si="168">+IF(N130="","",$M157*N130)</f>
        <v>12114.550176247034</v>
      </c>
      <c r="O157" s="1">
        <f t="shared" si="168"/>
        <v>2065.3937346384009</v>
      </c>
      <c r="P157" s="1">
        <f t="shared" si="168"/>
        <v>7765.835675126792</v>
      </c>
      <c r="Q157" s="1" t="str">
        <f t="shared" si="168"/>
        <v/>
      </c>
      <c r="R157" s="1">
        <f t="shared" si="168"/>
        <v>3932.0151469712755</v>
      </c>
      <c r="S157" s="1" t="str">
        <f t="shared" si="168"/>
        <v/>
      </c>
      <c r="T157" s="1">
        <f t="shared" si="168"/>
        <v>2393.4857372237175</v>
      </c>
      <c r="U157" s="1" t="str">
        <f t="shared" si="168"/>
        <v/>
      </c>
      <c r="V157" s="1">
        <f t="shared" si="168"/>
        <v>440.61628785575977</v>
      </c>
      <c r="W157" s="1" t="str">
        <f t="shared" si="168"/>
        <v/>
      </c>
      <c r="X157" s="1">
        <f t="shared" si="168"/>
        <v>279.75265109735119</v>
      </c>
      <c r="Y157" s="1">
        <f t="shared" si="168"/>
        <v>163.4430828288796</v>
      </c>
      <c r="Z157" s="1" t="str">
        <f t="shared" si="168"/>
        <v/>
      </c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spans="1:61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>
        <v>1500</v>
      </c>
      <c r="N158" s="1">
        <f t="shared" ref="N158:Z158" si="169">+IF(N131="","",$M158*N131)</f>
        <v>1369.449727815309</v>
      </c>
      <c r="O158" s="1">
        <f t="shared" si="169"/>
        <v>1555.5355151833155</v>
      </c>
      <c r="P158" s="1">
        <f t="shared" si="169"/>
        <v>1215.2021709188698</v>
      </c>
      <c r="Q158" s="1" t="str">
        <f t="shared" si="169"/>
        <v/>
      </c>
      <c r="R158" s="1" t="str">
        <f t="shared" si="169"/>
        <v/>
      </c>
      <c r="S158" s="1">
        <f t="shared" si="169"/>
        <v>733.31229094248101</v>
      </c>
      <c r="T158" s="1">
        <f t="shared" si="169"/>
        <v>436.58588574801706</v>
      </c>
      <c r="U158" s="1" t="str">
        <f t="shared" si="169"/>
        <v/>
      </c>
      <c r="V158" s="1">
        <f t="shared" si="169"/>
        <v>268.17160752935069</v>
      </c>
      <c r="W158" s="1" t="str">
        <f t="shared" si="169"/>
        <v/>
      </c>
      <c r="X158" s="1">
        <f t="shared" si="169"/>
        <v>185.1265822784826</v>
      </c>
      <c r="Y158" s="1" t="str">
        <f t="shared" si="169"/>
        <v/>
      </c>
      <c r="Z158" s="1" t="str">
        <f t="shared" si="169"/>
        <v/>
      </c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spans="1:61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>
        <v>18000</v>
      </c>
      <c r="N159" s="1">
        <f t="shared" ref="N159:Z159" si="170">+IF(N132="","",$M159*N132)</f>
        <v>19200.000000000004</v>
      </c>
      <c r="O159" s="1" t="str">
        <f t="shared" si="170"/>
        <v/>
      </c>
      <c r="P159" s="1">
        <f t="shared" si="170"/>
        <v>16106.66666666667</v>
      </c>
      <c r="Q159" s="1" t="str">
        <f t="shared" si="170"/>
        <v/>
      </c>
      <c r="R159" s="1">
        <f t="shared" si="170"/>
        <v>10560.000000000004</v>
      </c>
      <c r="S159" s="1" t="str">
        <f t="shared" si="170"/>
        <v/>
      </c>
      <c r="T159" s="1">
        <f t="shared" si="170"/>
        <v>6666.6666666666679</v>
      </c>
      <c r="U159" s="1" t="str">
        <f t="shared" si="170"/>
        <v/>
      </c>
      <c r="V159" s="1">
        <f t="shared" si="170"/>
        <v>4640.0000000000036</v>
      </c>
      <c r="W159" s="1" t="str">
        <f t="shared" si="170"/>
        <v/>
      </c>
      <c r="X159" s="1">
        <f t="shared" si="170"/>
        <v>3306.6666666666674</v>
      </c>
      <c r="Y159" s="1" t="str">
        <f t="shared" si="170"/>
        <v/>
      </c>
      <c r="Z159" s="1">
        <f t="shared" si="170"/>
        <v>2293.3333333333358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spans="1:6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>
        <v>42100</v>
      </c>
      <c r="N160" s="1">
        <f t="shared" ref="N160:Z160" si="171">+IF(N133="","",$M160*N133)</f>
        <v>35485.255646809666</v>
      </c>
      <c r="O160" s="1" t="str">
        <f t="shared" si="171"/>
        <v/>
      </c>
      <c r="P160" s="1">
        <f t="shared" si="171"/>
        <v>15691.700499560948</v>
      </c>
      <c r="Q160" s="1" t="str">
        <f t="shared" si="171"/>
        <v/>
      </c>
      <c r="R160" s="1">
        <f t="shared" si="171"/>
        <v>5502.5922564363664</v>
      </c>
      <c r="S160" s="1" t="str">
        <f t="shared" si="171"/>
        <v/>
      </c>
      <c r="T160" s="1">
        <f t="shared" si="171"/>
        <v>2842.1263439074955</v>
      </c>
      <c r="U160" s="1" t="str">
        <f t="shared" si="171"/>
        <v/>
      </c>
      <c r="V160" s="1">
        <f t="shared" si="171"/>
        <v>1743.1409617839599</v>
      </c>
      <c r="W160" s="1" t="str">
        <f t="shared" si="171"/>
        <v/>
      </c>
      <c r="X160" s="1" t="str">
        <f t="shared" si="171"/>
        <v/>
      </c>
      <c r="Y160" s="1" t="str">
        <f t="shared" si="171"/>
        <v/>
      </c>
      <c r="Z160" s="1" t="str">
        <f t="shared" si="171"/>
        <v/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spans="1:6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>
        <v>4850</v>
      </c>
      <c r="N161" s="1">
        <f t="shared" ref="N161:Z161" si="172">+IF(N134="","",$M161*N134)</f>
        <v>4505.638763216899</v>
      </c>
      <c r="O161" s="1">
        <f t="shared" si="172"/>
        <v>426.82926829268285</v>
      </c>
      <c r="P161" s="1">
        <f t="shared" si="172"/>
        <v>2621.1316846226227</v>
      </c>
      <c r="Q161" s="1">
        <f t="shared" si="172"/>
        <v>170.73170731707316</v>
      </c>
      <c r="R161" s="1">
        <f t="shared" si="172"/>
        <v>1348.6893720793425</v>
      </c>
      <c r="S161" s="1">
        <f t="shared" si="172"/>
        <v>55.487804878048792</v>
      </c>
      <c r="T161" s="1">
        <f t="shared" si="172"/>
        <v>835.95075135984905</v>
      </c>
      <c r="U161" s="1">
        <f t="shared" si="172"/>
        <v>573.20872274143221</v>
      </c>
      <c r="V161" s="1">
        <f t="shared" si="172"/>
        <v>56.323861547350248</v>
      </c>
      <c r="W161" s="1" t="str">
        <f t="shared" si="172"/>
        <v/>
      </c>
      <c r="X161" s="1">
        <f t="shared" si="172"/>
        <v>35.752928200010388</v>
      </c>
      <c r="Y161" s="1" t="str">
        <f t="shared" si="172"/>
        <v/>
      </c>
      <c r="Z161" s="1">
        <f t="shared" si="172"/>
        <v>22.784810126582215</v>
      </c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spans="1:6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>
        <v>4000</v>
      </c>
      <c r="N162" s="1">
        <f t="shared" ref="N162:Z162" si="173">+IF(N135="","",$M162*N135)</f>
        <v>3685.1509048868647</v>
      </c>
      <c r="O162" s="1">
        <f t="shared" si="173"/>
        <v>3841.6159807970034</v>
      </c>
      <c r="P162" s="1">
        <f t="shared" si="173"/>
        <v>3234.0636166995537</v>
      </c>
      <c r="Q162" s="1" t="str">
        <f t="shared" si="173"/>
        <v/>
      </c>
      <c r="R162" s="1">
        <f t="shared" si="173"/>
        <v>2400.88284952908</v>
      </c>
      <c r="S162" s="1" t="str">
        <f t="shared" si="173"/>
        <v/>
      </c>
      <c r="T162" s="1">
        <f t="shared" si="173"/>
        <v>1796.8903625650128</v>
      </c>
      <c r="U162" s="1" t="str">
        <f t="shared" si="173"/>
        <v/>
      </c>
      <c r="V162" s="1">
        <f t="shared" si="173"/>
        <v>1422.2556737660816</v>
      </c>
      <c r="W162" s="1" t="str">
        <f t="shared" si="173"/>
        <v/>
      </c>
      <c r="X162" s="1">
        <f t="shared" si="173"/>
        <v>1124.0735843555267</v>
      </c>
      <c r="Y162" s="1" t="str">
        <f t="shared" si="173"/>
        <v/>
      </c>
      <c r="Z162" s="1">
        <f t="shared" si="173"/>
        <v>978.79669372173157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spans="1:6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>
        <v>4000</v>
      </c>
      <c r="N163" s="1">
        <f t="shared" ref="N163:Z163" si="174">+IF(N136="","",$M163*N136)</f>
        <v>3788.1619937694686</v>
      </c>
      <c r="O163" s="1" t="str">
        <f t="shared" si="174"/>
        <v/>
      </c>
      <c r="P163" s="1">
        <f t="shared" si="174"/>
        <v>2847.1394346734687</v>
      </c>
      <c r="Q163" s="1" t="str">
        <f t="shared" si="174"/>
        <v/>
      </c>
      <c r="R163" s="1">
        <f t="shared" si="174"/>
        <v>1707.0015780737667</v>
      </c>
      <c r="S163" s="1" t="str">
        <f t="shared" si="174"/>
        <v/>
      </c>
      <c r="T163" s="1">
        <f t="shared" si="174"/>
        <v>1164.8637378271615</v>
      </c>
      <c r="U163" s="1" t="str">
        <f t="shared" si="174"/>
        <v/>
      </c>
      <c r="V163" s="1">
        <f t="shared" si="174"/>
        <v>871.94708138118222</v>
      </c>
      <c r="W163" s="1" t="str">
        <f t="shared" si="174"/>
        <v/>
      </c>
      <c r="X163" s="1">
        <f t="shared" si="174"/>
        <v>679.11137276064619</v>
      </c>
      <c r="Y163" s="1" t="str">
        <f t="shared" si="174"/>
        <v/>
      </c>
      <c r="Z163" s="1">
        <f t="shared" si="174"/>
        <v>485.75236506651345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spans="1:6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>
        <f t="shared" ref="M164:M166" si="175">+M108*M137</f>
        <v>468</v>
      </c>
      <c r="N164" s="1">
        <f t="shared" ref="N164:Z164" si="176">+IF(N137="","",$M164*N137)</f>
        <v>486.27450980392155</v>
      </c>
      <c r="O164" s="1">
        <f t="shared" si="176"/>
        <v>625.21008403361338</v>
      </c>
      <c r="P164" s="1">
        <f t="shared" si="176"/>
        <v>528.85154061624644</v>
      </c>
      <c r="Q164" s="1" t="str">
        <f t="shared" si="176"/>
        <v/>
      </c>
      <c r="R164" s="1">
        <f t="shared" si="176"/>
        <v>365.26610644257693</v>
      </c>
      <c r="S164" s="1" t="str">
        <f t="shared" si="176"/>
        <v/>
      </c>
      <c r="T164" s="1">
        <f t="shared" si="176"/>
        <v>250.98039215686276</v>
      </c>
      <c r="U164" s="1" t="str">
        <f t="shared" si="176"/>
        <v/>
      </c>
      <c r="V164" s="1">
        <f t="shared" si="176"/>
        <v>174.78991596638662</v>
      </c>
      <c r="W164" s="1" t="str">
        <f t="shared" si="176"/>
        <v/>
      </c>
      <c r="X164" s="1">
        <f t="shared" si="176"/>
        <v>121.00840336134458</v>
      </c>
      <c r="Y164" s="1" t="str">
        <f t="shared" si="176"/>
        <v/>
      </c>
      <c r="Z164" s="1">
        <f t="shared" si="176"/>
        <v>85.154061624649785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spans="1:6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>
        <f t="shared" si="175"/>
        <v>1017</v>
      </c>
      <c r="N165" s="1">
        <f t="shared" ref="N165:Z165" si="177">+IF(N138="","",$M165*N138)</f>
        <v>979.88394105492398</v>
      </c>
      <c r="O165" s="1">
        <f t="shared" si="177"/>
        <v>972.0369705893271</v>
      </c>
      <c r="P165" s="1">
        <f t="shared" si="177"/>
        <v>804.11031786293165</v>
      </c>
      <c r="Q165" s="1">
        <f t="shared" si="177"/>
        <v>658.51449499511261</v>
      </c>
      <c r="R165" s="1">
        <f t="shared" si="177"/>
        <v>486.70518800806724</v>
      </c>
      <c r="S165" s="1">
        <f t="shared" si="177"/>
        <v>363.34368542829213</v>
      </c>
      <c r="T165" s="1">
        <f t="shared" si="177"/>
        <v>307.18253919154665</v>
      </c>
      <c r="U165" s="1">
        <f t="shared" si="177"/>
        <v>251.05108820727287</v>
      </c>
      <c r="V165" s="1">
        <f t="shared" si="177"/>
        <v>194.78600858687719</v>
      </c>
      <c r="W165" s="1">
        <f t="shared" si="177"/>
        <v>149.6863438957696</v>
      </c>
      <c r="X165" s="1">
        <f t="shared" si="177"/>
        <v>127.07340913871371</v>
      </c>
      <c r="Y165" s="1">
        <f t="shared" si="177"/>
        <v>104.46047438165806</v>
      </c>
      <c r="Z165" s="1" t="str">
        <f t="shared" si="177"/>
        <v/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spans="1:6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>
        <f t="shared" si="175"/>
        <v>4600</v>
      </c>
      <c r="N166" s="1">
        <f t="shared" ref="N166:Z166" si="178">+IF(N139="","",$M166*N139)</f>
        <v>4507.6923076923076</v>
      </c>
      <c r="O166" s="1">
        <f t="shared" si="178"/>
        <v>4384.6153846153838</v>
      </c>
      <c r="P166" s="1">
        <f t="shared" si="178"/>
        <v>3738.4615384615381</v>
      </c>
      <c r="Q166" s="1">
        <f t="shared" si="178"/>
        <v>3199.9999999999995</v>
      </c>
      <c r="R166" s="1">
        <f t="shared" si="178"/>
        <v>2538.4615384615381</v>
      </c>
      <c r="S166" s="1">
        <f t="shared" si="178"/>
        <v>2076.9230769230767</v>
      </c>
      <c r="T166" s="1">
        <f t="shared" si="178"/>
        <v>1784.6153846153843</v>
      </c>
      <c r="U166" s="1">
        <f t="shared" si="178"/>
        <v>1538.4615384615381</v>
      </c>
      <c r="V166" s="1">
        <f t="shared" si="178"/>
        <v>1246.1538461538457</v>
      </c>
      <c r="W166" s="1" t="str">
        <f t="shared" si="178"/>
        <v/>
      </c>
      <c r="X166" s="1" t="str">
        <f t="shared" si="178"/>
        <v/>
      </c>
      <c r="Y166" s="1" t="str">
        <f t="shared" si="178"/>
        <v/>
      </c>
      <c r="Z166" s="1" t="str">
        <f t="shared" si="178"/>
        <v/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spans="1:6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419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spans="1:6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spans="1:6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spans="1:6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spans="1:6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spans="1:6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spans="1:6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spans="1:6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spans="1:6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spans="1:6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spans="1:6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spans="1:6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spans="1:61" ht="15.75" customHeight="1" x14ac:dyDescent="0.25">
      <c r="L179" s="306"/>
      <c r="M179" s="306"/>
    </row>
    <row r="180" spans="1:61" ht="15.75" customHeight="1" x14ac:dyDescent="0.25">
      <c r="L180" s="306"/>
      <c r="M180" s="306"/>
    </row>
    <row r="181" spans="1:61" ht="15.75" customHeight="1" x14ac:dyDescent="0.25">
      <c r="L181" s="306"/>
      <c r="M181" s="306"/>
    </row>
    <row r="182" spans="1:61" ht="15.75" customHeight="1" x14ac:dyDescent="0.25">
      <c r="L182" s="306"/>
      <c r="M182" s="306"/>
    </row>
    <row r="183" spans="1:61" ht="15.75" customHeight="1" x14ac:dyDescent="0.25">
      <c r="L183" s="306"/>
      <c r="M183" s="306"/>
    </row>
    <row r="184" spans="1:61" ht="15.75" customHeight="1" x14ac:dyDescent="0.25">
      <c r="L184" s="306"/>
      <c r="M184" s="306"/>
    </row>
    <row r="185" spans="1:61" ht="15.75" customHeight="1" x14ac:dyDescent="0.25">
      <c r="L185" s="306"/>
      <c r="M185" s="306"/>
    </row>
    <row r="186" spans="1:61" ht="15.75" customHeight="1" x14ac:dyDescent="0.25">
      <c r="L186" s="306"/>
      <c r="M186" s="306"/>
    </row>
    <row r="187" spans="1:61" ht="15.75" customHeight="1" x14ac:dyDescent="0.25">
      <c r="L187" s="306"/>
      <c r="M187" s="306"/>
    </row>
    <row r="188" spans="1:61" ht="15.75" customHeight="1" x14ac:dyDescent="0.25">
      <c r="L188" s="306"/>
      <c r="M188" s="306"/>
    </row>
    <row r="189" spans="1:61" ht="15.75" customHeight="1" x14ac:dyDescent="0.25">
      <c r="L189" s="306"/>
      <c r="M189" s="306"/>
    </row>
    <row r="190" spans="1:61" ht="15.75" customHeight="1" x14ac:dyDescent="0.25">
      <c r="L190" s="306"/>
      <c r="M190" s="306"/>
    </row>
    <row r="191" spans="1:61" ht="15.75" customHeight="1" x14ac:dyDescent="0.25">
      <c r="L191" s="306"/>
      <c r="M191" s="306"/>
    </row>
    <row r="192" spans="1:61" ht="15.75" customHeight="1" x14ac:dyDescent="0.25">
      <c r="L192" s="306"/>
      <c r="M192" s="306"/>
    </row>
    <row r="193" spans="12:13" ht="15.75" customHeight="1" x14ac:dyDescent="0.25">
      <c r="L193" s="306"/>
      <c r="M193" s="306"/>
    </row>
    <row r="194" spans="12:13" ht="15.75" customHeight="1" x14ac:dyDescent="0.25">
      <c r="L194" s="306"/>
      <c r="M194" s="306"/>
    </row>
    <row r="195" spans="12:13" ht="15.75" customHeight="1" x14ac:dyDescent="0.25">
      <c r="L195" s="306"/>
      <c r="M195" s="306"/>
    </row>
    <row r="196" spans="12:13" ht="15.75" customHeight="1" x14ac:dyDescent="0.25">
      <c r="L196" s="306"/>
      <c r="M196" s="306"/>
    </row>
    <row r="197" spans="12:13" ht="15.75" customHeight="1" x14ac:dyDescent="0.25">
      <c r="L197" s="306"/>
      <c r="M197" s="306"/>
    </row>
    <row r="198" spans="12:13" ht="15.75" customHeight="1" x14ac:dyDescent="0.25">
      <c r="L198" s="306"/>
      <c r="M198" s="306"/>
    </row>
    <row r="199" spans="12:13" ht="15.75" customHeight="1" x14ac:dyDescent="0.25">
      <c r="L199" s="306"/>
      <c r="M199" s="306"/>
    </row>
    <row r="200" spans="12:13" ht="15.75" customHeight="1" x14ac:dyDescent="0.25">
      <c r="L200" s="306"/>
      <c r="M200" s="306"/>
    </row>
    <row r="201" spans="12:13" ht="15.75" customHeight="1" x14ac:dyDescent="0.25">
      <c r="L201" s="306"/>
      <c r="M201" s="306"/>
    </row>
    <row r="202" spans="12:13" ht="15.75" customHeight="1" x14ac:dyDescent="0.25">
      <c r="L202" s="306"/>
      <c r="M202" s="306"/>
    </row>
    <row r="203" spans="12:13" ht="15.75" customHeight="1" x14ac:dyDescent="0.25">
      <c r="L203" s="306"/>
      <c r="M203" s="306"/>
    </row>
    <row r="204" spans="12:13" ht="15.75" customHeight="1" x14ac:dyDescent="0.25">
      <c r="L204" s="306"/>
      <c r="M204" s="306"/>
    </row>
    <row r="205" spans="12:13" ht="15.75" customHeight="1" x14ac:dyDescent="0.25">
      <c r="L205" s="306"/>
      <c r="M205" s="306"/>
    </row>
    <row r="206" spans="12:13" ht="15.75" customHeight="1" x14ac:dyDescent="0.25">
      <c r="L206" s="306"/>
      <c r="M206" s="306"/>
    </row>
    <row r="207" spans="12:13" ht="15.75" customHeight="1" x14ac:dyDescent="0.25">
      <c r="L207" s="306"/>
      <c r="M207" s="306"/>
    </row>
    <row r="208" spans="12:13" ht="15.75" customHeight="1" x14ac:dyDescent="0.25">
      <c r="L208" s="306"/>
      <c r="M208" s="306"/>
    </row>
    <row r="209" spans="12:13" ht="15.75" customHeight="1" x14ac:dyDescent="0.25">
      <c r="L209" s="306"/>
      <c r="M209" s="306"/>
    </row>
    <row r="210" spans="12:13" ht="15.75" customHeight="1" x14ac:dyDescent="0.25">
      <c r="L210" s="306"/>
      <c r="M210" s="306"/>
    </row>
    <row r="211" spans="12:13" ht="15.75" customHeight="1" x14ac:dyDescent="0.25">
      <c r="L211" s="306"/>
      <c r="M211" s="306"/>
    </row>
    <row r="212" spans="12:13" ht="15.75" customHeight="1" x14ac:dyDescent="0.25">
      <c r="L212" s="306"/>
      <c r="M212" s="306"/>
    </row>
    <row r="213" spans="12:13" ht="15.75" customHeight="1" x14ac:dyDescent="0.25">
      <c r="L213" s="306"/>
      <c r="M213" s="306"/>
    </row>
    <row r="214" spans="12:13" ht="15.75" customHeight="1" x14ac:dyDescent="0.25">
      <c r="L214" s="306"/>
      <c r="M214" s="306"/>
    </row>
    <row r="215" spans="12:13" ht="15.75" customHeight="1" x14ac:dyDescent="0.25">
      <c r="L215" s="306"/>
      <c r="M215" s="306"/>
    </row>
    <row r="216" spans="12:13" ht="15.75" customHeight="1" x14ac:dyDescent="0.25">
      <c r="L216" s="306"/>
      <c r="M216" s="306"/>
    </row>
    <row r="217" spans="12:13" ht="15.75" customHeight="1" x14ac:dyDescent="0.25">
      <c r="L217" s="306"/>
      <c r="M217" s="306"/>
    </row>
    <row r="218" spans="12:13" ht="15.75" customHeight="1" x14ac:dyDescent="0.25">
      <c r="L218" s="306"/>
      <c r="M218" s="306"/>
    </row>
    <row r="219" spans="12:13" ht="15.75" customHeight="1" x14ac:dyDescent="0.25">
      <c r="L219" s="306"/>
      <c r="M219" s="306"/>
    </row>
    <row r="220" spans="12:13" ht="15.75" customHeight="1" x14ac:dyDescent="0.25">
      <c r="L220" s="306"/>
      <c r="M220" s="306"/>
    </row>
    <row r="221" spans="12:13" ht="15.75" customHeight="1" x14ac:dyDescent="0.25">
      <c r="L221" s="306"/>
      <c r="M221" s="306"/>
    </row>
    <row r="222" spans="12:13" ht="15.75" customHeight="1" x14ac:dyDescent="0.25">
      <c r="L222" s="306"/>
      <c r="M222" s="306"/>
    </row>
    <row r="223" spans="12:13" ht="15.75" customHeight="1" x14ac:dyDescent="0.25">
      <c r="L223" s="306"/>
      <c r="M223" s="306"/>
    </row>
    <row r="224" spans="12:13" ht="15.75" customHeight="1" x14ac:dyDescent="0.25">
      <c r="L224" s="306"/>
      <c r="M224" s="306"/>
    </row>
    <row r="225" spans="12:13" ht="15.75" customHeight="1" x14ac:dyDescent="0.25">
      <c r="L225" s="306"/>
      <c r="M225" s="306"/>
    </row>
    <row r="226" spans="12:13" ht="15.75" customHeight="1" x14ac:dyDescent="0.25">
      <c r="L226" s="306"/>
      <c r="M226" s="306"/>
    </row>
    <row r="227" spans="12:13" ht="15.75" customHeight="1" x14ac:dyDescent="0.25">
      <c r="L227" s="306"/>
      <c r="M227" s="306"/>
    </row>
    <row r="228" spans="12:13" ht="15.75" customHeight="1" x14ac:dyDescent="0.25">
      <c r="L228" s="306"/>
      <c r="M228" s="306"/>
    </row>
    <row r="229" spans="12:13" ht="15.75" customHeight="1" x14ac:dyDescent="0.25">
      <c r="L229" s="306"/>
      <c r="M229" s="306"/>
    </row>
    <row r="230" spans="12:13" ht="15.75" customHeight="1" x14ac:dyDescent="0.25">
      <c r="L230" s="306"/>
      <c r="M230" s="306"/>
    </row>
    <row r="231" spans="12:13" ht="15.75" customHeight="1" x14ac:dyDescent="0.25">
      <c r="L231" s="306"/>
      <c r="M231" s="306"/>
    </row>
    <row r="232" spans="12:13" ht="15.75" customHeight="1" x14ac:dyDescent="0.25">
      <c r="L232" s="306"/>
      <c r="M232" s="306"/>
    </row>
    <row r="233" spans="12:13" ht="15.75" customHeight="1" x14ac:dyDescent="0.25">
      <c r="L233" s="306"/>
      <c r="M233" s="306"/>
    </row>
    <row r="234" spans="12:13" ht="15.75" customHeight="1" x14ac:dyDescent="0.25">
      <c r="L234" s="306"/>
      <c r="M234" s="306"/>
    </row>
    <row r="235" spans="12:13" ht="15.75" customHeight="1" x14ac:dyDescent="0.25">
      <c r="L235" s="306"/>
      <c r="M235" s="306"/>
    </row>
    <row r="236" spans="12:13" ht="15.75" customHeight="1" x14ac:dyDescent="0.25">
      <c r="L236" s="306"/>
      <c r="M236" s="306"/>
    </row>
    <row r="237" spans="12:13" ht="15.75" customHeight="1" x14ac:dyDescent="0.25">
      <c r="L237" s="306"/>
      <c r="M237" s="306"/>
    </row>
    <row r="238" spans="12:13" ht="15.75" customHeight="1" x14ac:dyDescent="0.25">
      <c r="L238" s="306"/>
      <c r="M238" s="306"/>
    </row>
    <row r="239" spans="12:13" ht="15.75" customHeight="1" x14ac:dyDescent="0.25">
      <c r="L239" s="306"/>
      <c r="M239" s="306"/>
    </row>
    <row r="240" spans="12:13" ht="15.75" customHeight="1" x14ac:dyDescent="0.25">
      <c r="L240" s="306"/>
      <c r="M240" s="306"/>
    </row>
    <row r="241" spans="12:13" ht="15.75" customHeight="1" x14ac:dyDescent="0.25">
      <c r="L241" s="306"/>
      <c r="M241" s="306"/>
    </row>
    <row r="242" spans="12:13" ht="15.75" customHeight="1" x14ac:dyDescent="0.25">
      <c r="L242" s="306"/>
      <c r="M242" s="306"/>
    </row>
    <row r="243" spans="12:13" ht="15.75" customHeight="1" x14ac:dyDescent="0.25">
      <c r="L243" s="306"/>
      <c r="M243" s="306"/>
    </row>
    <row r="244" spans="12:13" ht="15.75" customHeight="1" x14ac:dyDescent="0.25">
      <c r="L244" s="306"/>
      <c r="M244" s="306"/>
    </row>
    <row r="245" spans="12:13" ht="15.75" customHeight="1" x14ac:dyDescent="0.25">
      <c r="L245" s="306"/>
      <c r="M245" s="306"/>
    </row>
    <row r="246" spans="12:13" ht="15.75" customHeight="1" x14ac:dyDescent="0.25">
      <c r="L246" s="306"/>
      <c r="M246" s="306"/>
    </row>
    <row r="247" spans="12:13" ht="15.75" customHeight="1" x14ac:dyDescent="0.25">
      <c r="L247" s="306"/>
      <c r="M247" s="306"/>
    </row>
    <row r="248" spans="12:13" ht="15.75" customHeight="1" x14ac:dyDescent="0.25">
      <c r="L248" s="306"/>
      <c r="M248" s="306"/>
    </row>
    <row r="249" spans="12:13" ht="15.75" customHeight="1" x14ac:dyDescent="0.25">
      <c r="L249" s="306"/>
      <c r="M249" s="306"/>
    </row>
    <row r="250" spans="12:13" ht="15.75" customHeight="1" x14ac:dyDescent="0.25">
      <c r="L250" s="306"/>
      <c r="M250" s="306"/>
    </row>
    <row r="251" spans="12:13" ht="15.75" customHeight="1" x14ac:dyDescent="0.25">
      <c r="L251" s="306"/>
      <c r="M251" s="306"/>
    </row>
    <row r="252" spans="12:13" ht="15.75" customHeight="1" x14ac:dyDescent="0.25">
      <c r="L252" s="306"/>
      <c r="M252" s="306"/>
    </row>
    <row r="253" spans="12:13" ht="15.75" customHeight="1" x14ac:dyDescent="0.25">
      <c r="L253" s="306"/>
      <c r="M253" s="306"/>
    </row>
    <row r="254" spans="12:13" ht="15.75" customHeight="1" x14ac:dyDescent="0.25">
      <c r="L254" s="306"/>
      <c r="M254" s="306"/>
    </row>
    <row r="255" spans="12:13" ht="15.75" customHeight="1" x14ac:dyDescent="0.25">
      <c r="L255" s="306"/>
      <c r="M255" s="306"/>
    </row>
    <row r="256" spans="12:13" ht="15.75" customHeight="1" x14ac:dyDescent="0.25">
      <c r="L256" s="306"/>
      <c r="M256" s="306"/>
    </row>
    <row r="257" spans="12:13" ht="15.75" customHeight="1" x14ac:dyDescent="0.25">
      <c r="L257" s="306"/>
      <c r="M257" s="306"/>
    </row>
    <row r="258" spans="12:13" ht="15.75" customHeight="1" x14ac:dyDescent="0.25">
      <c r="L258" s="306"/>
      <c r="M258" s="306"/>
    </row>
    <row r="259" spans="12:13" ht="15.75" customHeight="1" x14ac:dyDescent="0.25">
      <c r="L259" s="306"/>
      <c r="M259" s="306"/>
    </row>
    <row r="260" spans="12:13" ht="15.75" customHeight="1" x14ac:dyDescent="0.25">
      <c r="L260" s="306"/>
      <c r="M260" s="306"/>
    </row>
    <row r="261" spans="12:13" ht="15.75" customHeight="1" x14ac:dyDescent="0.25">
      <c r="L261" s="306"/>
      <c r="M261" s="306"/>
    </row>
    <row r="262" spans="12:13" ht="15.75" customHeight="1" x14ac:dyDescent="0.25">
      <c r="L262" s="306"/>
      <c r="M262" s="306"/>
    </row>
    <row r="263" spans="12:13" ht="15.75" customHeight="1" x14ac:dyDescent="0.25">
      <c r="L263" s="306"/>
      <c r="M263" s="306"/>
    </row>
    <row r="264" spans="12:13" ht="15.75" customHeight="1" x14ac:dyDescent="0.25">
      <c r="L264" s="306"/>
      <c r="M264" s="306"/>
    </row>
    <row r="265" spans="12:13" ht="15.75" customHeight="1" x14ac:dyDescent="0.25">
      <c r="L265" s="306"/>
      <c r="M265" s="306"/>
    </row>
    <row r="266" spans="12:13" ht="15.75" customHeight="1" x14ac:dyDescent="0.25">
      <c r="L266" s="306"/>
      <c r="M266" s="306"/>
    </row>
    <row r="267" spans="12:13" ht="15.75" customHeight="1" x14ac:dyDescent="0.25">
      <c r="L267" s="306"/>
      <c r="M267" s="306"/>
    </row>
    <row r="268" spans="12:13" ht="15.75" customHeight="1" x14ac:dyDescent="0.25">
      <c r="L268" s="306"/>
      <c r="M268" s="306"/>
    </row>
    <row r="269" spans="12:13" ht="15.75" customHeight="1" x14ac:dyDescent="0.25">
      <c r="L269" s="306"/>
      <c r="M269" s="306"/>
    </row>
    <row r="270" spans="12:13" ht="15.75" customHeight="1" x14ac:dyDescent="0.25">
      <c r="L270" s="306"/>
      <c r="M270" s="306"/>
    </row>
    <row r="271" spans="12:13" ht="15.75" customHeight="1" x14ac:dyDescent="0.25">
      <c r="L271" s="306"/>
      <c r="M271" s="306"/>
    </row>
    <row r="272" spans="12:13" ht="15.75" customHeight="1" x14ac:dyDescent="0.25">
      <c r="L272" s="306"/>
      <c r="M272" s="306"/>
    </row>
    <row r="273" spans="12:13" ht="15.75" customHeight="1" x14ac:dyDescent="0.25">
      <c r="L273" s="306"/>
      <c r="M273" s="306"/>
    </row>
    <row r="274" spans="12:13" ht="15.75" customHeight="1" x14ac:dyDescent="0.25">
      <c r="L274" s="306"/>
      <c r="M274" s="306"/>
    </row>
    <row r="275" spans="12:13" ht="15.75" customHeight="1" x14ac:dyDescent="0.25">
      <c r="L275" s="306"/>
      <c r="M275" s="306"/>
    </row>
    <row r="276" spans="12:13" ht="15.75" customHeight="1" x14ac:dyDescent="0.25">
      <c r="L276" s="306"/>
      <c r="M276" s="306"/>
    </row>
    <row r="277" spans="12:13" ht="15.75" customHeight="1" x14ac:dyDescent="0.25">
      <c r="L277" s="306"/>
      <c r="M277" s="306"/>
    </row>
    <row r="278" spans="12:13" ht="15.75" customHeight="1" x14ac:dyDescent="0.25">
      <c r="L278" s="306"/>
      <c r="M278" s="306"/>
    </row>
    <row r="279" spans="12:13" ht="15.75" customHeight="1" x14ac:dyDescent="0.25">
      <c r="L279" s="306"/>
      <c r="M279" s="306"/>
    </row>
    <row r="280" spans="12:13" ht="15.75" customHeight="1" x14ac:dyDescent="0.25">
      <c r="L280" s="306"/>
      <c r="M280" s="306"/>
    </row>
    <row r="281" spans="12:13" ht="15.75" customHeight="1" x14ac:dyDescent="0.25">
      <c r="L281" s="306"/>
      <c r="M281" s="306"/>
    </row>
    <row r="282" spans="12:13" ht="15.75" customHeight="1" x14ac:dyDescent="0.25">
      <c r="L282" s="306"/>
      <c r="M282" s="306"/>
    </row>
    <row r="283" spans="12:13" ht="15.75" customHeight="1" x14ac:dyDescent="0.25">
      <c r="L283" s="306"/>
      <c r="M283" s="306"/>
    </row>
    <row r="284" spans="12:13" ht="15.75" customHeight="1" x14ac:dyDescent="0.25">
      <c r="L284" s="306"/>
      <c r="M284" s="306"/>
    </row>
    <row r="285" spans="12:13" ht="15.75" customHeight="1" x14ac:dyDescent="0.25">
      <c r="L285" s="306"/>
      <c r="M285" s="306"/>
    </row>
    <row r="286" spans="12:13" ht="15.75" customHeight="1" x14ac:dyDescent="0.25">
      <c r="L286" s="306"/>
      <c r="M286" s="306"/>
    </row>
    <row r="287" spans="12:13" ht="15.75" customHeight="1" x14ac:dyDescent="0.25">
      <c r="L287" s="306"/>
      <c r="M287" s="306"/>
    </row>
    <row r="288" spans="12:13" ht="15.75" customHeight="1" x14ac:dyDescent="0.25">
      <c r="L288" s="306"/>
      <c r="M288" s="306"/>
    </row>
    <row r="289" spans="12:13" ht="15.75" customHeight="1" x14ac:dyDescent="0.25">
      <c r="L289" s="306"/>
      <c r="M289" s="306"/>
    </row>
    <row r="290" spans="12:13" ht="15.75" customHeight="1" x14ac:dyDescent="0.25">
      <c r="L290" s="306"/>
      <c r="M290" s="306"/>
    </row>
    <row r="291" spans="12:13" ht="15.75" customHeight="1" x14ac:dyDescent="0.25">
      <c r="L291" s="306"/>
      <c r="M291" s="306"/>
    </row>
    <row r="292" spans="12:13" ht="15.75" customHeight="1" x14ac:dyDescent="0.25">
      <c r="L292" s="306"/>
      <c r="M292" s="306"/>
    </row>
    <row r="293" spans="12:13" ht="15.75" customHeight="1" x14ac:dyDescent="0.25">
      <c r="L293" s="306"/>
      <c r="M293" s="306"/>
    </row>
    <row r="294" spans="12:13" ht="15.75" customHeight="1" x14ac:dyDescent="0.25">
      <c r="L294" s="306"/>
      <c r="M294" s="306"/>
    </row>
    <row r="295" spans="12:13" ht="15.75" customHeight="1" x14ac:dyDescent="0.25">
      <c r="L295" s="306"/>
      <c r="M295" s="306"/>
    </row>
    <row r="296" spans="12:13" ht="15.75" customHeight="1" x14ac:dyDescent="0.25">
      <c r="L296" s="306"/>
      <c r="M296" s="306"/>
    </row>
    <row r="297" spans="12:13" ht="15.75" customHeight="1" x14ac:dyDescent="0.25">
      <c r="L297" s="306"/>
      <c r="M297" s="306"/>
    </row>
    <row r="298" spans="12:13" ht="15.75" customHeight="1" x14ac:dyDescent="0.25">
      <c r="L298" s="306"/>
      <c r="M298" s="306"/>
    </row>
    <row r="299" spans="12:13" ht="15.75" customHeight="1" x14ac:dyDescent="0.25">
      <c r="L299" s="306"/>
      <c r="M299" s="306"/>
    </row>
    <row r="300" spans="12:13" ht="15.75" customHeight="1" x14ac:dyDescent="0.25">
      <c r="L300" s="306"/>
      <c r="M300" s="306"/>
    </row>
    <row r="301" spans="12:13" ht="15.75" customHeight="1" x14ac:dyDescent="0.25">
      <c r="L301" s="306"/>
      <c r="M301" s="306"/>
    </row>
    <row r="302" spans="12:13" ht="15.75" customHeight="1" x14ac:dyDescent="0.25">
      <c r="L302" s="306"/>
      <c r="M302" s="306"/>
    </row>
    <row r="303" spans="12:13" ht="15.75" customHeight="1" x14ac:dyDescent="0.25">
      <c r="L303" s="306"/>
      <c r="M303" s="306"/>
    </row>
    <row r="304" spans="12:13" ht="15.75" customHeight="1" x14ac:dyDescent="0.25">
      <c r="L304" s="306"/>
      <c r="M304" s="306"/>
    </row>
    <row r="305" spans="12:13" ht="15.75" customHeight="1" x14ac:dyDescent="0.25">
      <c r="L305" s="306"/>
      <c r="M305" s="306"/>
    </row>
    <row r="306" spans="12:13" ht="15.75" customHeight="1" x14ac:dyDescent="0.25">
      <c r="L306" s="306"/>
      <c r="M306" s="306"/>
    </row>
    <row r="307" spans="12:13" ht="15.75" customHeight="1" x14ac:dyDescent="0.25">
      <c r="L307" s="306"/>
      <c r="M307" s="306"/>
    </row>
    <row r="308" spans="12:13" ht="15.75" customHeight="1" x14ac:dyDescent="0.25">
      <c r="L308" s="306"/>
      <c r="M308" s="306"/>
    </row>
    <row r="309" spans="12:13" ht="15.75" customHeight="1" x14ac:dyDescent="0.25">
      <c r="L309" s="306"/>
      <c r="M309" s="306"/>
    </row>
    <row r="310" spans="12:13" ht="15.75" customHeight="1" x14ac:dyDescent="0.25">
      <c r="L310" s="306"/>
      <c r="M310" s="306"/>
    </row>
    <row r="311" spans="12:13" ht="15.75" customHeight="1" x14ac:dyDescent="0.25">
      <c r="L311" s="306"/>
      <c r="M311" s="306"/>
    </row>
    <row r="312" spans="12:13" ht="15.75" customHeight="1" x14ac:dyDescent="0.25">
      <c r="L312" s="306"/>
      <c r="M312" s="306"/>
    </row>
    <row r="313" spans="12:13" ht="15.75" customHeight="1" x14ac:dyDescent="0.25">
      <c r="L313" s="306"/>
      <c r="M313" s="306"/>
    </row>
    <row r="314" spans="12:13" ht="15.75" customHeight="1" x14ac:dyDescent="0.25">
      <c r="L314" s="306"/>
      <c r="M314" s="306"/>
    </row>
    <row r="315" spans="12:13" ht="15.75" customHeight="1" x14ac:dyDescent="0.25">
      <c r="L315" s="306"/>
      <c r="M315" s="306"/>
    </row>
    <row r="316" spans="12:13" ht="15.75" customHeight="1" x14ac:dyDescent="0.25">
      <c r="L316" s="306"/>
      <c r="M316" s="306"/>
    </row>
    <row r="317" spans="12:13" ht="15.75" customHeight="1" x14ac:dyDescent="0.25">
      <c r="L317" s="306"/>
      <c r="M317" s="306"/>
    </row>
    <row r="318" spans="12:13" ht="15.75" customHeight="1" x14ac:dyDescent="0.25">
      <c r="L318" s="306"/>
      <c r="M318" s="306"/>
    </row>
    <row r="319" spans="12:13" ht="15.75" customHeight="1" x14ac:dyDescent="0.25">
      <c r="L319" s="306"/>
      <c r="M319" s="306"/>
    </row>
    <row r="320" spans="12:13" ht="15.75" customHeight="1" x14ac:dyDescent="0.25">
      <c r="L320" s="306"/>
      <c r="M320" s="306"/>
    </row>
    <row r="321" spans="12:13" ht="15.75" customHeight="1" x14ac:dyDescent="0.25">
      <c r="L321" s="306"/>
      <c r="M321" s="306"/>
    </row>
    <row r="322" spans="12:13" ht="15.75" customHeight="1" x14ac:dyDescent="0.25">
      <c r="L322" s="306"/>
      <c r="M322" s="306"/>
    </row>
    <row r="323" spans="12:13" ht="15.75" customHeight="1" x14ac:dyDescent="0.25">
      <c r="L323" s="306"/>
      <c r="M323" s="306"/>
    </row>
    <row r="324" spans="12:13" ht="15.75" customHeight="1" x14ac:dyDescent="0.25">
      <c r="L324" s="306"/>
      <c r="M324" s="306"/>
    </row>
    <row r="325" spans="12:13" ht="15.75" customHeight="1" x14ac:dyDescent="0.25">
      <c r="L325" s="306"/>
      <c r="M325" s="306"/>
    </row>
    <row r="326" spans="12:13" ht="15.75" customHeight="1" x14ac:dyDescent="0.25">
      <c r="L326" s="306"/>
      <c r="M326" s="306"/>
    </row>
    <row r="327" spans="12:13" ht="15.75" customHeight="1" x14ac:dyDescent="0.25">
      <c r="L327" s="306"/>
      <c r="M327" s="306"/>
    </row>
    <row r="328" spans="12:13" ht="15.75" customHeight="1" x14ac:dyDescent="0.25">
      <c r="L328" s="306"/>
      <c r="M328" s="306"/>
    </row>
    <row r="329" spans="12:13" ht="15.75" customHeight="1" x14ac:dyDescent="0.25">
      <c r="L329" s="306"/>
      <c r="M329" s="306"/>
    </row>
    <row r="330" spans="12:13" ht="15.75" customHeight="1" x14ac:dyDescent="0.25">
      <c r="L330" s="306"/>
      <c r="M330" s="306"/>
    </row>
    <row r="331" spans="12:13" ht="15.75" customHeight="1" x14ac:dyDescent="0.25">
      <c r="L331" s="306"/>
      <c r="M331" s="306"/>
    </row>
    <row r="332" spans="12:13" ht="15.75" customHeight="1" x14ac:dyDescent="0.25">
      <c r="L332" s="306"/>
      <c r="M332" s="306"/>
    </row>
    <row r="333" spans="12:13" ht="15.75" customHeight="1" x14ac:dyDescent="0.25">
      <c r="L333" s="306"/>
      <c r="M333" s="306"/>
    </row>
    <row r="334" spans="12:13" ht="15.75" customHeight="1" x14ac:dyDescent="0.25">
      <c r="L334" s="306"/>
      <c r="M334" s="306"/>
    </row>
    <row r="335" spans="12:13" ht="15.75" customHeight="1" x14ac:dyDescent="0.25">
      <c r="L335" s="306"/>
      <c r="M335" s="306"/>
    </row>
    <row r="336" spans="12:13" ht="15.75" customHeight="1" x14ac:dyDescent="0.25">
      <c r="L336" s="306"/>
      <c r="M336" s="306"/>
    </row>
    <row r="337" spans="12:13" ht="15.75" customHeight="1" x14ac:dyDescent="0.25">
      <c r="L337" s="306"/>
      <c r="M337" s="306"/>
    </row>
    <row r="338" spans="12:13" ht="15.75" customHeight="1" x14ac:dyDescent="0.25">
      <c r="L338" s="306"/>
      <c r="M338" s="306"/>
    </row>
    <row r="339" spans="12:13" ht="15.75" customHeight="1" x14ac:dyDescent="0.25">
      <c r="L339" s="306"/>
      <c r="M339" s="306"/>
    </row>
    <row r="340" spans="12:13" ht="15.75" customHeight="1" x14ac:dyDescent="0.25">
      <c r="L340" s="306"/>
      <c r="M340" s="306"/>
    </row>
    <row r="341" spans="12:13" ht="15.75" customHeight="1" x14ac:dyDescent="0.25">
      <c r="L341" s="306"/>
      <c r="M341" s="306"/>
    </row>
    <row r="342" spans="12:13" ht="15.75" customHeight="1" x14ac:dyDescent="0.25">
      <c r="L342" s="306"/>
      <c r="M342" s="306"/>
    </row>
    <row r="343" spans="12:13" ht="15.75" customHeight="1" x14ac:dyDescent="0.25">
      <c r="L343" s="306"/>
      <c r="M343" s="306"/>
    </row>
    <row r="344" spans="12:13" ht="15.75" customHeight="1" x14ac:dyDescent="0.25">
      <c r="L344" s="306"/>
      <c r="M344" s="306"/>
    </row>
    <row r="345" spans="12:13" ht="15.75" customHeight="1" x14ac:dyDescent="0.25">
      <c r="L345" s="306"/>
      <c r="M345" s="306"/>
    </row>
    <row r="346" spans="12:13" ht="15.75" customHeight="1" x14ac:dyDescent="0.25">
      <c r="L346" s="306"/>
      <c r="M346" s="306"/>
    </row>
    <row r="347" spans="12:13" ht="15.75" customHeight="1" x14ac:dyDescent="0.25">
      <c r="L347" s="306"/>
      <c r="M347" s="306"/>
    </row>
    <row r="348" spans="12:13" ht="15.75" customHeight="1" x14ac:dyDescent="0.25">
      <c r="L348" s="306"/>
      <c r="M348" s="306"/>
    </row>
    <row r="349" spans="12:13" ht="15.75" customHeight="1" x14ac:dyDescent="0.25">
      <c r="L349" s="306"/>
      <c r="M349" s="306"/>
    </row>
    <row r="350" spans="12:13" ht="15.75" customHeight="1" x14ac:dyDescent="0.25">
      <c r="L350" s="306"/>
      <c r="M350" s="306"/>
    </row>
    <row r="351" spans="12:13" ht="15.75" customHeight="1" x14ac:dyDescent="0.25">
      <c r="L351" s="306"/>
      <c r="M351" s="306"/>
    </row>
    <row r="352" spans="12:13" ht="15.75" customHeight="1" x14ac:dyDescent="0.25">
      <c r="L352" s="306"/>
      <c r="M352" s="306"/>
    </row>
    <row r="353" spans="12:13" ht="15.75" customHeight="1" x14ac:dyDescent="0.25">
      <c r="L353" s="306"/>
      <c r="M353" s="306"/>
    </row>
    <row r="354" spans="12:13" ht="15.75" customHeight="1" x14ac:dyDescent="0.25">
      <c r="L354" s="306"/>
      <c r="M354" s="306"/>
    </row>
    <row r="355" spans="12:13" ht="15.75" customHeight="1" x14ac:dyDescent="0.25">
      <c r="L355" s="306"/>
      <c r="M355" s="306"/>
    </row>
    <row r="356" spans="12:13" ht="15.75" customHeight="1" x14ac:dyDescent="0.25">
      <c r="L356" s="306"/>
      <c r="M356" s="306"/>
    </row>
    <row r="357" spans="12:13" ht="15.75" customHeight="1" x14ac:dyDescent="0.25">
      <c r="L357" s="306"/>
      <c r="M357" s="306"/>
    </row>
    <row r="358" spans="12:13" ht="15.75" customHeight="1" x14ac:dyDescent="0.25">
      <c r="L358" s="306"/>
      <c r="M358" s="306"/>
    </row>
    <row r="359" spans="12:13" ht="15.75" customHeight="1" x14ac:dyDescent="0.25">
      <c r="L359" s="306"/>
      <c r="M359" s="306"/>
    </row>
    <row r="360" spans="12:13" ht="15.75" customHeight="1" x14ac:dyDescent="0.25">
      <c r="L360" s="306"/>
      <c r="M360" s="306"/>
    </row>
    <row r="361" spans="12:13" ht="15.75" customHeight="1" x14ac:dyDescent="0.25">
      <c r="L361" s="306"/>
      <c r="M361" s="306"/>
    </row>
    <row r="362" spans="12:13" ht="15.75" customHeight="1" x14ac:dyDescent="0.25">
      <c r="L362" s="306"/>
      <c r="M362" s="306"/>
    </row>
    <row r="363" spans="12:13" ht="15.75" customHeight="1" x14ac:dyDescent="0.25">
      <c r="L363" s="306"/>
      <c r="M363" s="306"/>
    </row>
    <row r="364" spans="12:13" ht="15.75" customHeight="1" x14ac:dyDescent="0.25">
      <c r="L364" s="306"/>
      <c r="M364" s="306"/>
    </row>
    <row r="365" spans="12:13" ht="15.75" customHeight="1" x14ac:dyDescent="0.25">
      <c r="L365" s="306"/>
      <c r="M365" s="306"/>
    </row>
    <row r="366" spans="12:13" ht="15.75" customHeight="1" x14ac:dyDescent="0.25">
      <c r="L366" s="306"/>
      <c r="M366" s="306"/>
    </row>
    <row r="367" spans="12:13" ht="15.75" customHeight="1" x14ac:dyDescent="0.25">
      <c r="L367" s="306"/>
      <c r="M367" s="306"/>
    </row>
    <row r="368" spans="12:13" ht="15.75" customHeight="1" x14ac:dyDescent="0.25">
      <c r="L368" s="306"/>
      <c r="M368" s="306"/>
    </row>
    <row r="369" spans="12:13" ht="15.75" customHeight="1" x14ac:dyDescent="0.25">
      <c r="L369" s="306"/>
      <c r="M369" s="306"/>
    </row>
    <row r="370" spans="12:13" ht="15.75" customHeight="1" x14ac:dyDescent="0.25">
      <c r="L370" s="306"/>
      <c r="M370" s="306"/>
    </row>
    <row r="371" spans="12:13" ht="15.75" customHeight="1" x14ac:dyDescent="0.25">
      <c r="L371" s="306"/>
      <c r="M371" s="306"/>
    </row>
    <row r="372" spans="12:13" ht="15.75" customHeight="1" x14ac:dyDescent="0.25">
      <c r="L372" s="306"/>
      <c r="M372" s="306"/>
    </row>
    <row r="373" spans="12:13" ht="15.75" customHeight="1" x14ac:dyDescent="0.25">
      <c r="L373" s="306"/>
      <c r="M373" s="306"/>
    </row>
    <row r="374" spans="12:13" ht="15.75" customHeight="1" x14ac:dyDescent="0.25">
      <c r="L374" s="306"/>
      <c r="M374" s="306"/>
    </row>
    <row r="375" spans="12:13" ht="15.75" customHeight="1" x14ac:dyDescent="0.25">
      <c r="L375" s="306"/>
      <c r="M375" s="306"/>
    </row>
    <row r="376" spans="12:13" ht="15.75" customHeight="1" x14ac:dyDescent="0.25">
      <c r="L376" s="306"/>
      <c r="M376" s="306"/>
    </row>
    <row r="377" spans="12:13" ht="15.75" customHeight="1" x14ac:dyDescent="0.25">
      <c r="L377" s="306"/>
      <c r="M377" s="306"/>
    </row>
    <row r="378" spans="12:13" ht="15.75" customHeight="1" x14ac:dyDescent="0.25">
      <c r="L378" s="306"/>
      <c r="M378" s="306"/>
    </row>
    <row r="379" spans="12:13" ht="15.75" customHeight="1" x14ac:dyDescent="0.25">
      <c r="L379" s="306"/>
      <c r="M379" s="306"/>
    </row>
    <row r="380" spans="12:13" ht="15.75" customHeight="1" x14ac:dyDescent="0.25">
      <c r="L380" s="306"/>
      <c r="M380" s="306"/>
    </row>
    <row r="381" spans="12:13" ht="15.75" customHeight="1" x14ac:dyDescent="0.25">
      <c r="L381" s="306"/>
      <c r="M381" s="306"/>
    </row>
    <row r="382" spans="12:13" ht="15.75" customHeight="1" x14ac:dyDescent="0.25">
      <c r="L382" s="306"/>
      <c r="M382" s="306"/>
    </row>
    <row r="383" spans="12:13" ht="15.75" customHeight="1" x14ac:dyDescent="0.25">
      <c r="L383" s="306"/>
      <c r="M383" s="306"/>
    </row>
    <row r="384" spans="12:13" ht="15.75" customHeight="1" x14ac:dyDescent="0.25">
      <c r="L384" s="306"/>
      <c r="M384" s="306"/>
    </row>
    <row r="385" spans="12:13" ht="15.75" customHeight="1" x14ac:dyDescent="0.25">
      <c r="L385" s="306"/>
      <c r="M385" s="306"/>
    </row>
    <row r="386" spans="12:13" ht="15.75" customHeight="1" x14ac:dyDescent="0.25">
      <c r="L386" s="306"/>
      <c r="M386" s="306"/>
    </row>
    <row r="387" spans="12:13" ht="15.75" customHeight="1" x14ac:dyDescent="0.25">
      <c r="L387" s="306"/>
      <c r="M387" s="306"/>
    </row>
    <row r="388" spans="12:13" ht="15.75" customHeight="1" x14ac:dyDescent="0.25">
      <c r="L388" s="306"/>
      <c r="M388" s="306"/>
    </row>
    <row r="389" spans="12:13" ht="15.75" customHeight="1" x14ac:dyDescent="0.25">
      <c r="L389" s="306"/>
      <c r="M389" s="306"/>
    </row>
    <row r="390" spans="12:13" ht="15.75" customHeight="1" x14ac:dyDescent="0.25">
      <c r="L390" s="306"/>
      <c r="M390" s="306"/>
    </row>
    <row r="391" spans="12:13" ht="15.75" customHeight="1" x14ac:dyDescent="0.25">
      <c r="L391" s="306"/>
      <c r="M391" s="306"/>
    </row>
    <row r="392" spans="12:13" ht="15.75" customHeight="1" x14ac:dyDescent="0.25">
      <c r="L392" s="306"/>
      <c r="M392" s="306"/>
    </row>
    <row r="393" spans="12:13" ht="15.75" customHeight="1" x14ac:dyDescent="0.25">
      <c r="L393" s="306"/>
      <c r="M393" s="306"/>
    </row>
    <row r="394" spans="12:13" ht="15.75" customHeight="1" x14ac:dyDescent="0.25">
      <c r="L394" s="306"/>
      <c r="M394" s="306"/>
    </row>
    <row r="395" spans="12:13" ht="15.75" customHeight="1" x14ac:dyDescent="0.25">
      <c r="L395" s="306"/>
      <c r="M395" s="306"/>
    </row>
    <row r="396" spans="12:13" ht="15.75" customHeight="1" x14ac:dyDescent="0.25">
      <c r="L396" s="306"/>
      <c r="M396" s="306"/>
    </row>
    <row r="397" spans="12:13" ht="15.75" customHeight="1" x14ac:dyDescent="0.25">
      <c r="L397" s="306"/>
      <c r="M397" s="306"/>
    </row>
    <row r="398" spans="12:13" ht="15.75" customHeight="1" x14ac:dyDescent="0.25">
      <c r="L398" s="306"/>
      <c r="M398" s="306"/>
    </row>
    <row r="399" spans="12:13" ht="15.75" customHeight="1" x14ac:dyDescent="0.25">
      <c r="L399" s="306"/>
      <c r="M399" s="306"/>
    </row>
    <row r="400" spans="12:13" ht="15.75" customHeight="1" x14ac:dyDescent="0.25">
      <c r="L400" s="306"/>
      <c r="M400" s="306"/>
    </row>
    <row r="401" spans="12:13" ht="15.75" customHeight="1" x14ac:dyDescent="0.25">
      <c r="L401" s="306"/>
      <c r="M401" s="306"/>
    </row>
    <row r="402" spans="12:13" ht="15.75" customHeight="1" x14ac:dyDescent="0.25">
      <c r="L402" s="306"/>
      <c r="M402" s="306"/>
    </row>
    <row r="403" spans="12:13" ht="15.75" customHeight="1" x14ac:dyDescent="0.25">
      <c r="L403" s="306"/>
      <c r="M403" s="306"/>
    </row>
    <row r="404" spans="12:13" ht="15.75" customHeight="1" x14ac:dyDescent="0.25">
      <c r="L404" s="306"/>
      <c r="M404" s="306"/>
    </row>
    <row r="405" spans="12:13" ht="15.75" customHeight="1" x14ac:dyDescent="0.25">
      <c r="L405" s="306"/>
      <c r="M405" s="306"/>
    </row>
    <row r="406" spans="12:13" ht="15.75" customHeight="1" x14ac:dyDescent="0.25">
      <c r="L406" s="306"/>
      <c r="M406" s="306"/>
    </row>
    <row r="407" spans="12:13" ht="15.75" customHeight="1" x14ac:dyDescent="0.25">
      <c r="L407" s="306"/>
      <c r="M407" s="306"/>
    </row>
    <row r="408" spans="12:13" ht="15.75" customHeight="1" x14ac:dyDescent="0.25">
      <c r="L408" s="306"/>
      <c r="M408" s="306"/>
    </row>
    <row r="409" spans="12:13" ht="15.75" customHeight="1" x14ac:dyDescent="0.25">
      <c r="L409" s="306"/>
      <c r="M409" s="306"/>
    </row>
    <row r="410" spans="12:13" ht="15.75" customHeight="1" x14ac:dyDescent="0.25">
      <c r="L410" s="306"/>
      <c r="M410" s="306"/>
    </row>
    <row r="411" spans="12:13" ht="15.75" customHeight="1" x14ac:dyDescent="0.25">
      <c r="L411" s="306"/>
      <c r="M411" s="306"/>
    </row>
    <row r="412" spans="12:13" ht="15.75" customHeight="1" x14ac:dyDescent="0.25">
      <c r="L412" s="306"/>
      <c r="M412" s="306"/>
    </row>
    <row r="413" spans="12:13" ht="15.75" customHeight="1" x14ac:dyDescent="0.25">
      <c r="L413" s="306"/>
      <c r="M413" s="306"/>
    </row>
    <row r="414" spans="12:13" ht="15.75" customHeight="1" x14ac:dyDescent="0.25">
      <c r="L414" s="306"/>
      <c r="M414" s="306"/>
    </row>
    <row r="415" spans="12:13" ht="15.75" customHeight="1" x14ac:dyDescent="0.25">
      <c r="L415" s="306"/>
      <c r="M415" s="306"/>
    </row>
    <row r="416" spans="12:13" ht="15.75" customHeight="1" x14ac:dyDescent="0.25">
      <c r="L416" s="306"/>
      <c r="M416" s="306"/>
    </row>
    <row r="417" spans="12:13" ht="15.75" customHeight="1" x14ac:dyDescent="0.25">
      <c r="L417" s="306"/>
      <c r="M417" s="306"/>
    </row>
    <row r="418" spans="12:13" ht="15.75" customHeight="1" x14ac:dyDescent="0.25">
      <c r="L418" s="306"/>
      <c r="M418" s="306"/>
    </row>
    <row r="419" spans="12:13" ht="15.75" customHeight="1" x14ac:dyDescent="0.25">
      <c r="L419" s="306"/>
      <c r="M419" s="306"/>
    </row>
    <row r="420" spans="12:13" ht="15.75" customHeight="1" x14ac:dyDescent="0.25">
      <c r="L420" s="306"/>
      <c r="M420" s="306"/>
    </row>
    <row r="421" spans="12:13" ht="15.75" customHeight="1" x14ac:dyDescent="0.25">
      <c r="L421" s="306"/>
      <c r="M421" s="306"/>
    </row>
    <row r="422" spans="12:13" ht="15.75" customHeight="1" x14ac:dyDescent="0.25">
      <c r="L422" s="306"/>
      <c r="M422" s="306"/>
    </row>
    <row r="423" spans="12:13" ht="15.75" customHeight="1" x14ac:dyDescent="0.25">
      <c r="L423" s="306"/>
      <c r="M423" s="306"/>
    </row>
    <row r="424" spans="12:13" ht="15.75" customHeight="1" x14ac:dyDescent="0.25">
      <c r="L424" s="306"/>
      <c r="M424" s="306"/>
    </row>
    <row r="425" spans="12:13" ht="15.75" customHeight="1" x14ac:dyDescent="0.25">
      <c r="L425" s="306"/>
      <c r="M425" s="306"/>
    </row>
    <row r="426" spans="12:13" ht="15.75" customHeight="1" x14ac:dyDescent="0.25">
      <c r="L426" s="306"/>
      <c r="M426" s="306"/>
    </row>
    <row r="427" spans="12:13" ht="15.75" customHeight="1" x14ac:dyDescent="0.25">
      <c r="L427" s="306"/>
      <c r="M427" s="306"/>
    </row>
    <row r="428" spans="12:13" ht="15.75" customHeight="1" x14ac:dyDescent="0.25">
      <c r="L428" s="306"/>
      <c r="M428" s="306"/>
    </row>
    <row r="429" spans="12:13" ht="15.75" customHeight="1" x14ac:dyDescent="0.25">
      <c r="L429" s="306"/>
      <c r="M429" s="306"/>
    </row>
    <row r="430" spans="12:13" ht="15.75" customHeight="1" x14ac:dyDescent="0.25">
      <c r="L430" s="306"/>
      <c r="M430" s="306"/>
    </row>
    <row r="431" spans="12:13" ht="15.75" customHeight="1" x14ac:dyDescent="0.25">
      <c r="L431" s="306"/>
      <c r="M431" s="306"/>
    </row>
    <row r="432" spans="12:13" ht="15.75" customHeight="1" x14ac:dyDescent="0.25">
      <c r="L432" s="306"/>
      <c r="M432" s="306"/>
    </row>
    <row r="433" spans="12:13" ht="15.75" customHeight="1" x14ac:dyDescent="0.25">
      <c r="L433" s="306"/>
      <c r="M433" s="306"/>
    </row>
    <row r="434" spans="12:13" ht="15.75" customHeight="1" x14ac:dyDescent="0.25">
      <c r="L434" s="306"/>
      <c r="M434" s="306"/>
    </row>
    <row r="435" spans="12:13" ht="15.75" customHeight="1" x14ac:dyDescent="0.25">
      <c r="L435" s="306"/>
      <c r="M435" s="306"/>
    </row>
    <row r="436" spans="12:13" ht="15.75" customHeight="1" x14ac:dyDescent="0.25">
      <c r="L436" s="306"/>
      <c r="M436" s="306"/>
    </row>
    <row r="437" spans="12:13" ht="15.75" customHeight="1" x14ac:dyDescent="0.25">
      <c r="L437" s="306"/>
      <c r="M437" s="306"/>
    </row>
    <row r="438" spans="12:13" ht="15.75" customHeight="1" x14ac:dyDescent="0.25">
      <c r="L438" s="306"/>
      <c r="M438" s="306"/>
    </row>
    <row r="439" spans="12:13" ht="15.75" customHeight="1" x14ac:dyDescent="0.25">
      <c r="L439" s="306"/>
      <c r="M439" s="306"/>
    </row>
    <row r="440" spans="12:13" ht="15.75" customHeight="1" x14ac:dyDescent="0.25">
      <c r="L440" s="306"/>
      <c r="M440" s="306"/>
    </row>
    <row r="441" spans="12:13" ht="15.75" customHeight="1" x14ac:dyDescent="0.25">
      <c r="L441" s="306"/>
      <c r="M441" s="306"/>
    </row>
    <row r="442" spans="12:13" ht="15.75" customHeight="1" x14ac:dyDescent="0.25">
      <c r="L442" s="306"/>
      <c r="M442" s="306"/>
    </row>
    <row r="443" spans="12:13" ht="15.75" customHeight="1" x14ac:dyDescent="0.25">
      <c r="L443" s="306"/>
      <c r="M443" s="306"/>
    </row>
    <row r="444" spans="12:13" ht="15.75" customHeight="1" x14ac:dyDescent="0.25">
      <c r="L444" s="306"/>
      <c r="M444" s="306"/>
    </row>
    <row r="445" spans="12:13" ht="15.75" customHeight="1" x14ac:dyDescent="0.25">
      <c r="L445" s="306"/>
      <c r="M445" s="306"/>
    </row>
    <row r="446" spans="12:13" ht="15.75" customHeight="1" x14ac:dyDescent="0.25">
      <c r="L446" s="306"/>
      <c r="M446" s="306"/>
    </row>
    <row r="447" spans="12:13" ht="15.75" customHeight="1" x14ac:dyDescent="0.25">
      <c r="L447" s="306"/>
      <c r="M447" s="306"/>
    </row>
    <row r="448" spans="12:13" ht="15.75" customHeight="1" x14ac:dyDescent="0.25">
      <c r="L448" s="306"/>
      <c r="M448" s="306"/>
    </row>
    <row r="449" spans="12:13" ht="15.75" customHeight="1" x14ac:dyDescent="0.25">
      <c r="L449" s="306"/>
      <c r="M449" s="306"/>
    </row>
    <row r="450" spans="12:13" ht="15.75" customHeight="1" x14ac:dyDescent="0.25">
      <c r="L450" s="306"/>
      <c r="M450" s="306"/>
    </row>
    <row r="451" spans="12:13" ht="15.75" customHeight="1" x14ac:dyDescent="0.25">
      <c r="L451" s="306"/>
      <c r="M451" s="306"/>
    </row>
    <row r="452" spans="12:13" ht="15.75" customHeight="1" x14ac:dyDescent="0.25">
      <c r="L452" s="306"/>
      <c r="M452" s="306"/>
    </row>
    <row r="453" spans="12:13" ht="15.75" customHeight="1" x14ac:dyDescent="0.25">
      <c r="L453" s="306"/>
      <c r="M453" s="306"/>
    </row>
    <row r="454" spans="12:13" ht="15.75" customHeight="1" x14ac:dyDescent="0.25">
      <c r="L454" s="306"/>
      <c r="M454" s="306"/>
    </row>
    <row r="455" spans="12:13" ht="15.75" customHeight="1" x14ac:dyDescent="0.25">
      <c r="L455" s="306"/>
      <c r="M455" s="306"/>
    </row>
    <row r="456" spans="12:13" ht="15.75" customHeight="1" x14ac:dyDescent="0.25">
      <c r="L456" s="306"/>
      <c r="M456" s="306"/>
    </row>
    <row r="457" spans="12:13" ht="15.75" customHeight="1" x14ac:dyDescent="0.25">
      <c r="L457" s="306"/>
      <c r="M457" s="306"/>
    </row>
    <row r="458" spans="12:13" ht="15.75" customHeight="1" x14ac:dyDescent="0.25">
      <c r="L458" s="306"/>
      <c r="M458" s="306"/>
    </row>
    <row r="459" spans="12:13" ht="15.75" customHeight="1" x14ac:dyDescent="0.25">
      <c r="L459" s="306"/>
      <c r="M459" s="306"/>
    </row>
    <row r="460" spans="12:13" ht="15.75" customHeight="1" x14ac:dyDescent="0.25">
      <c r="L460" s="306"/>
      <c r="M460" s="306"/>
    </row>
    <row r="461" spans="12:13" ht="15.75" customHeight="1" x14ac:dyDescent="0.25">
      <c r="L461" s="306"/>
      <c r="M461" s="306"/>
    </row>
    <row r="462" spans="12:13" ht="15.75" customHeight="1" x14ac:dyDescent="0.25">
      <c r="L462" s="306"/>
      <c r="M462" s="306"/>
    </row>
    <row r="463" spans="12:13" ht="15.75" customHeight="1" x14ac:dyDescent="0.25">
      <c r="L463" s="306"/>
      <c r="M463" s="306"/>
    </row>
    <row r="464" spans="12:13" ht="15.75" customHeight="1" x14ac:dyDescent="0.25">
      <c r="L464" s="306"/>
      <c r="M464" s="306"/>
    </row>
    <row r="465" spans="12:13" ht="15.75" customHeight="1" x14ac:dyDescent="0.25">
      <c r="L465" s="306"/>
      <c r="M465" s="306"/>
    </row>
    <row r="466" spans="12:13" ht="15.75" customHeight="1" x14ac:dyDescent="0.25">
      <c r="L466" s="306"/>
      <c r="M466" s="306"/>
    </row>
    <row r="467" spans="12:13" ht="15.75" customHeight="1" x14ac:dyDescent="0.25">
      <c r="L467" s="306"/>
      <c r="M467" s="306"/>
    </row>
    <row r="468" spans="12:13" ht="15.75" customHeight="1" x14ac:dyDescent="0.25">
      <c r="L468" s="306"/>
      <c r="M468" s="306"/>
    </row>
    <row r="469" spans="12:13" ht="15.75" customHeight="1" x14ac:dyDescent="0.25">
      <c r="L469" s="306"/>
      <c r="M469" s="306"/>
    </row>
    <row r="470" spans="12:13" ht="15.75" customHeight="1" x14ac:dyDescent="0.25">
      <c r="L470" s="306"/>
      <c r="M470" s="306"/>
    </row>
    <row r="471" spans="12:13" ht="15.75" customHeight="1" x14ac:dyDescent="0.25">
      <c r="L471" s="306"/>
      <c r="M471" s="306"/>
    </row>
    <row r="472" spans="12:13" ht="15.75" customHeight="1" x14ac:dyDescent="0.25">
      <c r="L472" s="306"/>
      <c r="M472" s="306"/>
    </row>
    <row r="473" spans="12:13" ht="15.75" customHeight="1" x14ac:dyDescent="0.25">
      <c r="L473" s="306"/>
      <c r="M473" s="306"/>
    </row>
    <row r="474" spans="12:13" ht="15.75" customHeight="1" x14ac:dyDescent="0.25">
      <c r="L474" s="306"/>
      <c r="M474" s="306"/>
    </row>
    <row r="475" spans="12:13" ht="15.75" customHeight="1" x14ac:dyDescent="0.25">
      <c r="L475" s="306"/>
      <c r="M475" s="306"/>
    </row>
    <row r="476" spans="12:13" ht="15.75" customHeight="1" x14ac:dyDescent="0.25">
      <c r="L476" s="306"/>
      <c r="M476" s="306"/>
    </row>
    <row r="477" spans="12:13" ht="15.75" customHeight="1" x14ac:dyDescent="0.25">
      <c r="L477" s="306"/>
      <c r="M477" s="306"/>
    </row>
    <row r="478" spans="12:13" ht="15.75" customHeight="1" x14ac:dyDescent="0.25">
      <c r="L478" s="306"/>
      <c r="M478" s="306"/>
    </row>
    <row r="479" spans="12:13" ht="15.75" customHeight="1" x14ac:dyDescent="0.25">
      <c r="L479" s="306"/>
      <c r="M479" s="306"/>
    </row>
    <row r="480" spans="12:13" ht="15.75" customHeight="1" x14ac:dyDescent="0.25">
      <c r="L480" s="306"/>
      <c r="M480" s="306"/>
    </row>
    <row r="481" spans="12:13" ht="15.75" customHeight="1" x14ac:dyDescent="0.25">
      <c r="L481" s="306"/>
      <c r="M481" s="306"/>
    </row>
    <row r="482" spans="12:13" ht="15.75" customHeight="1" x14ac:dyDescent="0.25">
      <c r="L482" s="306"/>
      <c r="M482" s="306"/>
    </row>
    <row r="483" spans="12:13" ht="15.75" customHeight="1" x14ac:dyDescent="0.25">
      <c r="L483" s="306"/>
      <c r="M483" s="306"/>
    </row>
    <row r="484" spans="12:13" ht="15.75" customHeight="1" x14ac:dyDescent="0.25">
      <c r="L484" s="306"/>
      <c r="M484" s="306"/>
    </row>
    <row r="485" spans="12:13" ht="15.75" customHeight="1" x14ac:dyDescent="0.25">
      <c r="L485" s="306"/>
      <c r="M485" s="306"/>
    </row>
    <row r="486" spans="12:13" ht="15.75" customHeight="1" x14ac:dyDescent="0.25">
      <c r="L486" s="306"/>
      <c r="M486" s="306"/>
    </row>
    <row r="487" spans="12:13" ht="15.75" customHeight="1" x14ac:dyDescent="0.25">
      <c r="L487" s="306"/>
      <c r="M487" s="306"/>
    </row>
    <row r="488" spans="12:13" ht="15.75" customHeight="1" x14ac:dyDescent="0.25">
      <c r="L488" s="306"/>
      <c r="M488" s="306"/>
    </row>
    <row r="489" spans="12:13" ht="15.75" customHeight="1" x14ac:dyDescent="0.25">
      <c r="L489" s="306"/>
      <c r="M489" s="306"/>
    </row>
    <row r="490" spans="12:13" ht="15.75" customHeight="1" x14ac:dyDescent="0.25">
      <c r="L490" s="306"/>
      <c r="M490" s="306"/>
    </row>
    <row r="491" spans="12:13" ht="15.75" customHeight="1" x14ac:dyDescent="0.25">
      <c r="L491" s="306"/>
      <c r="M491" s="306"/>
    </row>
    <row r="492" spans="12:13" ht="15.75" customHeight="1" x14ac:dyDescent="0.25">
      <c r="L492" s="306"/>
      <c r="M492" s="306"/>
    </row>
    <row r="493" spans="12:13" ht="15.75" customHeight="1" x14ac:dyDescent="0.25">
      <c r="L493" s="306"/>
      <c r="M493" s="306"/>
    </row>
    <row r="494" spans="12:13" ht="15.75" customHeight="1" x14ac:dyDescent="0.25">
      <c r="L494" s="306"/>
      <c r="M494" s="306"/>
    </row>
    <row r="495" spans="12:13" ht="15.75" customHeight="1" x14ac:dyDescent="0.25">
      <c r="L495" s="306"/>
      <c r="M495" s="306"/>
    </row>
    <row r="496" spans="12:13" ht="15.75" customHeight="1" x14ac:dyDescent="0.25">
      <c r="L496" s="306"/>
      <c r="M496" s="306"/>
    </row>
    <row r="497" spans="12:13" ht="15.75" customHeight="1" x14ac:dyDescent="0.25">
      <c r="L497" s="306"/>
      <c r="M497" s="306"/>
    </row>
    <row r="498" spans="12:13" ht="15.75" customHeight="1" x14ac:dyDescent="0.25">
      <c r="L498" s="306"/>
      <c r="M498" s="306"/>
    </row>
    <row r="499" spans="12:13" ht="15.75" customHeight="1" x14ac:dyDescent="0.25">
      <c r="L499" s="306"/>
      <c r="M499" s="306"/>
    </row>
    <row r="500" spans="12:13" ht="15.75" customHeight="1" x14ac:dyDescent="0.25">
      <c r="L500" s="306"/>
      <c r="M500" s="306"/>
    </row>
    <row r="501" spans="12:13" ht="15.75" customHeight="1" x14ac:dyDescent="0.25">
      <c r="L501" s="306"/>
      <c r="M501" s="306"/>
    </row>
    <row r="502" spans="12:13" ht="15.75" customHeight="1" x14ac:dyDescent="0.25">
      <c r="L502" s="306"/>
      <c r="M502" s="306"/>
    </row>
    <row r="503" spans="12:13" ht="15.75" customHeight="1" x14ac:dyDescent="0.25">
      <c r="L503" s="306"/>
      <c r="M503" s="306"/>
    </row>
    <row r="504" spans="12:13" ht="15.75" customHeight="1" x14ac:dyDescent="0.25">
      <c r="L504" s="306"/>
      <c r="M504" s="306"/>
    </row>
    <row r="505" spans="12:13" ht="15.75" customHeight="1" x14ac:dyDescent="0.25">
      <c r="L505" s="306"/>
      <c r="M505" s="306"/>
    </row>
    <row r="506" spans="12:13" ht="15.75" customHeight="1" x14ac:dyDescent="0.25">
      <c r="L506" s="306"/>
      <c r="M506" s="306"/>
    </row>
    <row r="507" spans="12:13" ht="15.75" customHeight="1" x14ac:dyDescent="0.25">
      <c r="L507" s="306"/>
      <c r="M507" s="306"/>
    </row>
    <row r="508" spans="12:13" ht="15.75" customHeight="1" x14ac:dyDescent="0.25">
      <c r="L508" s="306"/>
      <c r="M508" s="306"/>
    </row>
    <row r="509" spans="12:13" ht="15.75" customHeight="1" x14ac:dyDescent="0.25">
      <c r="L509" s="306"/>
      <c r="M509" s="306"/>
    </row>
    <row r="510" spans="12:13" ht="15.75" customHeight="1" x14ac:dyDescent="0.25">
      <c r="L510" s="306"/>
      <c r="M510" s="306"/>
    </row>
    <row r="511" spans="12:13" ht="15.75" customHeight="1" x14ac:dyDescent="0.25">
      <c r="L511" s="306"/>
      <c r="M511" s="306"/>
    </row>
    <row r="512" spans="12:13" ht="15.75" customHeight="1" x14ac:dyDescent="0.25">
      <c r="L512" s="306"/>
      <c r="M512" s="306"/>
    </row>
    <row r="513" spans="12:13" ht="15.75" customHeight="1" x14ac:dyDescent="0.25">
      <c r="L513" s="306"/>
      <c r="M513" s="306"/>
    </row>
    <row r="514" spans="12:13" ht="15.75" customHeight="1" x14ac:dyDescent="0.25">
      <c r="L514" s="306"/>
      <c r="M514" s="306"/>
    </row>
    <row r="515" spans="12:13" ht="15.75" customHeight="1" x14ac:dyDescent="0.25">
      <c r="L515" s="306"/>
      <c r="M515" s="306"/>
    </row>
    <row r="516" spans="12:13" ht="15.75" customHeight="1" x14ac:dyDescent="0.25">
      <c r="L516" s="306"/>
      <c r="M516" s="306"/>
    </row>
    <row r="517" spans="12:13" ht="15.75" customHeight="1" x14ac:dyDescent="0.25">
      <c r="L517" s="306"/>
      <c r="M517" s="306"/>
    </row>
    <row r="518" spans="12:13" ht="15.75" customHeight="1" x14ac:dyDescent="0.25">
      <c r="L518" s="306"/>
      <c r="M518" s="306"/>
    </row>
    <row r="519" spans="12:13" ht="15.75" customHeight="1" x14ac:dyDescent="0.25">
      <c r="L519" s="306"/>
      <c r="M519" s="306"/>
    </row>
    <row r="520" spans="12:13" ht="15.75" customHeight="1" x14ac:dyDescent="0.25">
      <c r="L520" s="306"/>
      <c r="M520" s="306"/>
    </row>
    <row r="521" spans="12:13" ht="15.75" customHeight="1" x14ac:dyDescent="0.25">
      <c r="L521" s="306"/>
      <c r="M521" s="306"/>
    </row>
    <row r="522" spans="12:13" ht="15.75" customHeight="1" x14ac:dyDescent="0.25">
      <c r="L522" s="306"/>
      <c r="M522" s="306"/>
    </row>
    <row r="523" spans="12:13" ht="15.75" customHeight="1" x14ac:dyDescent="0.25">
      <c r="L523" s="306"/>
      <c r="M523" s="306"/>
    </row>
    <row r="524" spans="12:13" ht="15.75" customHeight="1" x14ac:dyDescent="0.25">
      <c r="L524" s="306"/>
      <c r="M524" s="306"/>
    </row>
    <row r="525" spans="12:13" ht="15.75" customHeight="1" x14ac:dyDescent="0.25">
      <c r="L525" s="306"/>
      <c r="M525" s="306"/>
    </row>
    <row r="526" spans="12:13" ht="15.75" customHeight="1" x14ac:dyDescent="0.25">
      <c r="L526" s="306"/>
      <c r="M526" s="306"/>
    </row>
    <row r="527" spans="12:13" ht="15.75" customHeight="1" x14ac:dyDescent="0.25">
      <c r="L527" s="306"/>
      <c r="M527" s="306"/>
    </row>
    <row r="528" spans="12:13" ht="15.75" customHeight="1" x14ac:dyDescent="0.25">
      <c r="L528" s="306"/>
      <c r="M528" s="306"/>
    </row>
    <row r="529" spans="12:13" ht="15.75" customHeight="1" x14ac:dyDescent="0.25">
      <c r="L529" s="306"/>
      <c r="M529" s="306"/>
    </row>
    <row r="530" spans="12:13" ht="15.75" customHeight="1" x14ac:dyDescent="0.25">
      <c r="L530" s="306"/>
      <c r="M530" s="306"/>
    </row>
    <row r="531" spans="12:13" ht="15.75" customHeight="1" x14ac:dyDescent="0.25">
      <c r="L531" s="306"/>
      <c r="M531" s="306"/>
    </row>
    <row r="532" spans="12:13" ht="15.75" customHeight="1" x14ac:dyDescent="0.25">
      <c r="L532" s="306"/>
      <c r="M532" s="306"/>
    </row>
    <row r="533" spans="12:13" ht="15.75" customHeight="1" x14ac:dyDescent="0.25">
      <c r="L533" s="306"/>
      <c r="M533" s="306"/>
    </row>
    <row r="534" spans="12:13" ht="15.75" customHeight="1" x14ac:dyDescent="0.25">
      <c r="L534" s="306"/>
      <c r="M534" s="306"/>
    </row>
    <row r="535" spans="12:13" ht="15.75" customHeight="1" x14ac:dyDescent="0.25">
      <c r="L535" s="306"/>
      <c r="M535" s="306"/>
    </row>
    <row r="536" spans="12:13" ht="15.75" customHeight="1" x14ac:dyDescent="0.25">
      <c r="L536" s="306"/>
      <c r="M536" s="306"/>
    </row>
    <row r="537" spans="12:13" ht="15.75" customHeight="1" x14ac:dyDescent="0.25">
      <c r="L537" s="306"/>
      <c r="M537" s="306"/>
    </row>
    <row r="538" spans="12:13" ht="15.75" customHeight="1" x14ac:dyDescent="0.25">
      <c r="L538" s="306"/>
      <c r="M538" s="306"/>
    </row>
    <row r="539" spans="12:13" ht="15.75" customHeight="1" x14ac:dyDescent="0.25">
      <c r="L539" s="306"/>
      <c r="M539" s="306"/>
    </row>
    <row r="540" spans="12:13" ht="15.75" customHeight="1" x14ac:dyDescent="0.25">
      <c r="L540" s="306"/>
      <c r="M540" s="306"/>
    </row>
    <row r="541" spans="12:13" ht="15.75" customHeight="1" x14ac:dyDescent="0.25">
      <c r="L541" s="306"/>
      <c r="M541" s="306"/>
    </row>
    <row r="542" spans="12:13" ht="15.75" customHeight="1" x14ac:dyDescent="0.25">
      <c r="L542" s="306"/>
      <c r="M542" s="306"/>
    </row>
    <row r="543" spans="12:13" ht="15.75" customHeight="1" x14ac:dyDescent="0.25">
      <c r="L543" s="306"/>
      <c r="M543" s="306"/>
    </row>
    <row r="544" spans="12:13" ht="15.75" customHeight="1" x14ac:dyDescent="0.25">
      <c r="L544" s="306"/>
      <c r="M544" s="306"/>
    </row>
    <row r="545" spans="12:13" ht="15.75" customHeight="1" x14ac:dyDescent="0.25">
      <c r="L545" s="306"/>
      <c r="M545" s="306"/>
    </row>
    <row r="546" spans="12:13" ht="15.75" customHeight="1" x14ac:dyDescent="0.25">
      <c r="L546" s="306"/>
      <c r="M546" s="306"/>
    </row>
    <row r="547" spans="12:13" ht="15.75" customHeight="1" x14ac:dyDescent="0.25">
      <c r="L547" s="306"/>
      <c r="M547" s="306"/>
    </row>
    <row r="548" spans="12:13" ht="15.75" customHeight="1" x14ac:dyDescent="0.25">
      <c r="L548" s="306"/>
      <c r="M548" s="306"/>
    </row>
    <row r="549" spans="12:13" ht="15.75" customHeight="1" x14ac:dyDescent="0.25">
      <c r="L549" s="306"/>
      <c r="M549" s="306"/>
    </row>
    <row r="550" spans="12:13" ht="15.75" customHeight="1" x14ac:dyDescent="0.25">
      <c r="L550" s="306"/>
      <c r="M550" s="306"/>
    </row>
    <row r="551" spans="12:13" ht="15.75" customHeight="1" x14ac:dyDescent="0.25">
      <c r="L551" s="306"/>
      <c r="M551" s="306"/>
    </row>
    <row r="552" spans="12:13" ht="15.75" customHeight="1" x14ac:dyDescent="0.25">
      <c r="L552" s="306"/>
      <c r="M552" s="306"/>
    </row>
    <row r="553" spans="12:13" ht="15.75" customHeight="1" x14ac:dyDescent="0.25">
      <c r="L553" s="306"/>
      <c r="M553" s="306"/>
    </row>
    <row r="554" spans="12:13" ht="15.75" customHeight="1" x14ac:dyDescent="0.25">
      <c r="L554" s="306"/>
      <c r="M554" s="306"/>
    </row>
    <row r="555" spans="12:13" ht="15.75" customHeight="1" x14ac:dyDescent="0.25">
      <c r="L555" s="306"/>
      <c r="M555" s="306"/>
    </row>
    <row r="556" spans="12:13" ht="15.75" customHeight="1" x14ac:dyDescent="0.25">
      <c r="L556" s="306"/>
      <c r="M556" s="306"/>
    </row>
    <row r="557" spans="12:13" ht="15.75" customHeight="1" x14ac:dyDescent="0.25">
      <c r="L557" s="306"/>
      <c r="M557" s="306"/>
    </row>
    <row r="558" spans="12:13" ht="15.75" customHeight="1" x14ac:dyDescent="0.25">
      <c r="L558" s="306"/>
      <c r="M558" s="306"/>
    </row>
    <row r="559" spans="12:13" ht="15.75" customHeight="1" x14ac:dyDescent="0.25">
      <c r="L559" s="306"/>
      <c r="M559" s="306"/>
    </row>
    <row r="560" spans="12:13" ht="15.75" customHeight="1" x14ac:dyDescent="0.25">
      <c r="L560" s="306"/>
      <c r="M560" s="306"/>
    </row>
    <row r="561" spans="12:13" ht="15.75" customHeight="1" x14ac:dyDescent="0.25">
      <c r="L561" s="306"/>
      <c r="M561" s="306"/>
    </row>
    <row r="562" spans="12:13" ht="15.75" customHeight="1" x14ac:dyDescent="0.25">
      <c r="L562" s="306"/>
      <c r="M562" s="306"/>
    </row>
    <row r="563" spans="12:13" ht="15.75" customHeight="1" x14ac:dyDescent="0.25">
      <c r="L563" s="306"/>
      <c r="M563" s="306"/>
    </row>
    <row r="564" spans="12:13" ht="15.75" customHeight="1" x14ac:dyDescent="0.25">
      <c r="L564" s="306"/>
      <c r="M564" s="306"/>
    </row>
    <row r="565" spans="12:13" ht="15.75" customHeight="1" x14ac:dyDescent="0.25">
      <c r="L565" s="306"/>
      <c r="M565" s="306"/>
    </row>
    <row r="566" spans="12:13" ht="15.75" customHeight="1" x14ac:dyDescent="0.25">
      <c r="L566" s="306"/>
      <c r="M566" s="306"/>
    </row>
    <row r="567" spans="12:13" ht="15.75" customHeight="1" x14ac:dyDescent="0.25">
      <c r="L567" s="306"/>
      <c r="M567" s="306"/>
    </row>
    <row r="568" spans="12:13" ht="15.75" customHeight="1" x14ac:dyDescent="0.25">
      <c r="L568" s="306"/>
      <c r="M568" s="306"/>
    </row>
    <row r="569" spans="12:13" ht="15.75" customHeight="1" x14ac:dyDescent="0.25">
      <c r="L569" s="306"/>
      <c r="M569" s="306"/>
    </row>
    <row r="570" spans="12:13" ht="15.75" customHeight="1" x14ac:dyDescent="0.25">
      <c r="L570" s="306"/>
      <c r="M570" s="306"/>
    </row>
    <row r="571" spans="12:13" ht="15.75" customHeight="1" x14ac:dyDescent="0.25">
      <c r="L571" s="306"/>
      <c r="M571" s="306"/>
    </row>
    <row r="572" spans="12:13" ht="15.75" customHeight="1" x14ac:dyDescent="0.25">
      <c r="L572" s="306"/>
      <c r="M572" s="306"/>
    </row>
    <row r="573" spans="12:13" ht="15.75" customHeight="1" x14ac:dyDescent="0.25">
      <c r="L573" s="306"/>
      <c r="M573" s="306"/>
    </row>
    <row r="574" spans="12:13" ht="15.75" customHeight="1" x14ac:dyDescent="0.25">
      <c r="L574" s="306"/>
      <c r="M574" s="306"/>
    </row>
    <row r="575" spans="12:13" ht="15.75" customHeight="1" x14ac:dyDescent="0.25">
      <c r="L575" s="306"/>
      <c r="M575" s="306"/>
    </row>
    <row r="576" spans="12:13" ht="15.75" customHeight="1" x14ac:dyDescent="0.25">
      <c r="L576" s="306"/>
      <c r="M576" s="306"/>
    </row>
    <row r="577" spans="12:13" ht="15.75" customHeight="1" x14ac:dyDescent="0.25">
      <c r="L577" s="306"/>
      <c r="M577" s="306"/>
    </row>
    <row r="578" spans="12:13" ht="15.75" customHeight="1" x14ac:dyDescent="0.25">
      <c r="L578" s="306"/>
      <c r="M578" s="306"/>
    </row>
    <row r="579" spans="12:13" ht="15.75" customHeight="1" x14ac:dyDescent="0.25">
      <c r="L579" s="306"/>
      <c r="M579" s="306"/>
    </row>
    <row r="580" spans="12:13" ht="15.75" customHeight="1" x14ac:dyDescent="0.25">
      <c r="L580" s="306"/>
      <c r="M580" s="306"/>
    </row>
    <row r="581" spans="12:13" ht="15.75" customHeight="1" x14ac:dyDescent="0.25">
      <c r="L581" s="306"/>
      <c r="M581" s="306"/>
    </row>
    <row r="582" spans="12:13" ht="15.75" customHeight="1" x14ac:dyDescent="0.25">
      <c r="L582" s="306"/>
      <c r="M582" s="306"/>
    </row>
    <row r="583" spans="12:13" ht="15.75" customHeight="1" x14ac:dyDescent="0.25">
      <c r="L583" s="306"/>
      <c r="M583" s="306"/>
    </row>
    <row r="584" spans="12:13" ht="15.75" customHeight="1" x14ac:dyDescent="0.25">
      <c r="L584" s="306"/>
      <c r="M584" s="306"/>
    </row>
    <row r="585" spans="12:13" ht="15.75" customHeight="1" x14ac:dyDescent="0.25">
      <c r="L585" s="306"/>
      <c r="M585" s="306"/>
    </row>
    <row r="586" spans="12:13" ht="15.75" customHeight="1" x14ac:dyDescent="0.25">
      <c r="L586" s="306"/>
      <c r="M586" s="306"/>
    </row>
    <row r="587" spans="12:13" ht="15.75" customHeight="1" x14ac:dyDescent="0.25">
      <c r="L587" s="306"/>
      <c r="M587" s="306"/>
    </row>
    <row r="588" spans="12:13" ht="15.75" customHeight="1" x14ac:dyDescent="0.25">
      <c r="L588" s="306"/>
      <c r="M588" s="306"/>
    </row>
    <row r="589" spans="12:13" ht="15.75" customHeight="1" x14ac:dyDescent="0.25">
      <c r="L589" s="306"/>
      <c r="M589" s="306"/>
    </row>
    <row r="590" spans="12:13" ht="15.75" customHeight="1" x14ac:dyDescent="0.25">
      <c r="L590" s="306"/>
      <c r="M590" s="306"/>
    </row>
    <row r="591" spans="12:13" ht="15.75" customHeight="1" x14ac:dyDescent="0.25">
      <c r="L591" s="306"/>
      <c r="M591" s="306"/>
    </row>
    <row r="592" spans="12:13" ht="15.75" customHeight="1" x14ac:dyDescent="0.25">
      <c r="L592" s="306"/>
      <c r="M592" s="306"/>
    </row>
    <row r="593" spans="12:13" ht="15.75" customHeight="1" x14ac:dyDescent="0.25">
      <c r="L593" s="306"/>
      <c r="M593" s="306"/>
    </row>
    <row r="594" spans="12:13" ht="15.75" customHeight="1" x14ac:dyDescent="0.25">
      <c r="L594" s="306"/>
      <c r="M594" s="306"/>
    </row>
    <row r="595" spans="12:13" ht="15.75" customHeight="1" x14ac:dyDescent="0.25">
      <c r="L595" s="306"/>
      <c r="M595" s="306"/>
    </row>
    <row r="596" spans="12:13" ht="15.75" customHeight="1" x14ac:dyDescent="0.25">
      <c r="L596" s="306"/>
      <c r="M596" s="306"/>
    </row>
    <row r="597" spans="12:13" ht="15.75" customHeight="1" x14ac:dyDescent="0.25">
      <c r="L597" s="306"/>
      <c r="M597" s="306"/>
    </row>
    <row r="598" spans="12:13" ht="15.75" customHeight="1" x14ac:dyDescent="0.25">
      <c r="L598" s="306"/>
      <c r="M598" s="306"/>
    </row>
    <row r="599" spans="12:13" ht="15.75" customHeight="1" x14ac:dyDescent="0.25">
      <c r="L599" s="306"/>
      <c r="M599" s="306"/>
    </row>
    <row r="600" spans="12:13" ht="15.75" customHeight="1" x14ac:dyDescent="0.25">
      <c r="L600" s="306"/>
      <c r="M600" s="306"/>
    </row>
    <row r="601" spans="12:13" ht="15.75" customHeight="1" x14ac:dyDescent="0.25">
      <c r="L601" s="306"/>
      <c r="M601" s="306"/>
    </row>
    <row r="602" spans="12:13" ht="15.75" customHeight="1" x14ac:dyDescent="0.25">
      <c r="L602" s="306"/>
      <c r="M602" s="306"/>
    </row>
    <row r="603" spans="12:13" ht="15.75" customHeight="1" x14ac:dyDescent="0.25">
      <c r="L603" s="306"/>
      <c r="M603" s="306"/>
    </row>
    <row r="604" spans="12:13" ht="15.75" customHeight="1" x14ac:dyDescent="0.25">
      <c r="L604" s="306"/>
      <c r="M604" s="306"/>
    </row>
    <row r="605" spans="12:13" ht="15.75" customHeight="1" x14ac:dyDescent="0.25">
      <c r="L605" s="306"/>
      <c r="M605" s="306"/>
    </row>
    <row r="606" spans="12:13" ht="15.75" customHeight="1" x14ac:dyDescent="0.25">
      <c r="L606" s="306"/>
      <c r="M606" s="306"/>
    </row>
    <row r="607" spans="12:13" ht="15.75" customHeight="1" x14ac:dyDescent="0.25">
      <c r="L607" s="306"/>
      <c r="M607" s="306"/>
    </row>
    <row r="608" spans="12:13" ht="15.75" customHeight="1" x14ac:dyDescent="0.25">
      <c r="L608" s="306"/>
      <c r="M608" s="306"/>
    </row>
    <row r="609" spans="12:13" ht="15.75" customHeight="1" x14ac:dyDescent="0.25">
      <c r="L609" s="306"/>
      <c r="M609" s="306"/>
    </row>
    <row r="610" spans="12:13" ht="15.75" customHeight="1" x14ac:dyDescent="0.25">
      <c r="L610" s="306"/>
      <c r="M610" s="306"/>
    </row>
    <row r="611" spans="12:13" ht="15.75" customHeight="1" x14ac:dyDescent="0.25">
      <c r="L611" s="306"/>
      <c r="M611" s="306"/>
    </row>
    <row r="612" spans="12:13" ht="15.75" customHeight="1" x14ac:dyDescent="0.25">
      <c r="L612" s="306"/>
      <c r="M612" s="306"/>
    </row>
    <row r="613" spans="12:13" ht="15.75" customHeight="1" x14ac:dyDescent="0.25">
      <c r="L613" s="306"/>
      <c r="M613" s="306"/>
    </row>
    <row r="614" spans="12:13" ht="15.75" customHeight="1" x14ac:dyDescent="0.25">
      <c r="L614" s="306"/>
      <c r="M614" s="306"/>
    </row>
    <row r="615" spans="12:13" ht="15.75" customHeight="1" x14ac:dyDescent="0.25">
      <c r="L615" s="306"/>
      <c r="M615" s="306"/>
    </row>
    <row r="616" spans="12:13" ht="15.75" customHeight="1" x14ac:dyDescent="0.25">
      <c r="L616" s="306"/>
      <c r="M616" s="306"/>
    </row>
    <row r="617" spans="12:13" ht="15.75" customHeight="1" x14ac:dyDescent="0.25">
      <c r="L617" s="306"/>
      <c r="M617" s="306"/>
    </row>
    <row r="618" spans="12:13" ht="15.75" customHeight="1" x14ac:dyDescent="0.25">
      <c r="L618" s="306"/>
      <c r="M618" s="306"/>
    </row>
    <row r="619" spans="12:13" ht="15.75" customHeight="1" x14ac:dyDescent="0.25">
      <c r="L619" s="306"/>
      <c r="M619" s="306"/>
    </row>
    <row r="620" spans="12:13" ht="15.75" customHeight="1" x14ac:dyDescent="0.25">
      <c r="L620" s="306"/>
      <c r="M620" s="306"/>
    </row>
    <row r="621" spans="12:13" ht="15.75" customHeight="1" x14ac:dyDescent="0.25">
      <c r="L621" s="306"/>
      <c r="M621" s="306"/>
    </row>
    <row r="622" spans="12:13" ht="15.75" customHeight="1" x14ac:dyDescent="0.25">
      <c r="L622" s="306"/>
      <c r="M622" s="306"/>
    </row>
    <row r="623" spans="12:13" ht="15.75" customHeight="1" x14ac:dyDescent="0.25">
      <c r="L623" s="306"/>
      <c r="M623" s="306"/>
    </row>
    <row r="624" spans="12:13" ht="15.75" customHeight="1" x14ac:dyDescent="0.25">
      <c r="L624" s="306"/>
      <c r="M624" s="306"/>
    </row>
    <row r="625" spans="12:13" ht="15.75" customHeight="1" x14ac:dyDescent="0.25">
      <c r="L625" s="306"/>
      <c r="M625" s="306"/>
    </row>
    <row r="626" spans="12:13" ht="15.75" customHeight="1" x14ac:dyDescent="0.25">
      <c r="L626" s="306"/>
      <c r="M626" s="306"/>
    </row>
    <row r="627" spans="12:13" ht="15.75" customHeight="1" x14ac:dyDescent="0.25">
      <c r="L627" s="306"/>
      <c r="M627" s="306"/>
    </row>
    <row r="628" spans="12:13" ht="15.75" customHeight="1" x14ac:dyDescent="0.25">
      <c r="L628" s="306"/>
      <c r="M628" s="306"/>
    </row>
    <row r="629" spans="12:13" ht="15.75" customHeight="1" x14ac:dyDescent="0.25">
      <c r="L629" s="306"/>
      <c r="M629" s="306"/>
    </row>
    <row r="630" spans="12:13" ht="15.75" customHeight="1" x14ac:dyDescent="0.25">
      <c r="L630" s="306"/>
      <c r="M630" s="306"/>
    </row>
    <row r="631" spans="12:13" ht="15.75" customHeight="1" x14ac:dyDescent="0.25">
      <c r="L631" s="306"/>
      <c r="M631" s="306"/>
    </row>
    <row r="632" spans="12:13" ht="15.75" customHeight="1" x14ac:dyDescent="0.25">
      <c r="L632" s="306"/>
      <c r="M632" s="306"/>
    </row>
    <row r="633" spans="12:13" ht="15.75" customHeight="1" x14ac:dyDescent="0.25">
      <c r="L633" s="306"/>
      <c r="M633" s="306"/>
    </row>
    <row r="634" spans="12:13" ht="15.75" customHeight="1" x14ac:dyDescent="0.25">
      <c r="L634" s="306"/>
      <c r="M634" s="306"/>
    </row>
    <row r="635" spans="12:13" ht="15.75" customHeight="1" x14ac:dyDescent="0.25">
      <c r="L635" s="306"/>
      <c r="M635" s="306"/>
    </row>
    <row r="636" spans="12:13" ht="15.75" customHeight="1" x14ac:dyDescent="0.25">
      <c r="L636" s="306"/>
      <c r="M636" s="306"/>
    </row>
    <row r="637" spans="12:13" ht="15.75" customHeight="1" x14ac:dyDescent="0.25">
      <c r="L637" s="306"/>
      <c r="M637" s="306"/>
    </row>
    <row r="638" spans="12:13" ht="15.75" customHeight="1" x14ac:dyDescent="0.25">
      <c r="L638" s="306"/>
      <c r="M638" s="306"/>
    </row>
    <row r="639" spans="12:13" ht="15.75" customHeight="1" x14ac:dyDescent="0.25">
      <c r="L639" s="306"/>
      <c r="M639" s="306"/>
    </row>
    <row r="640" spans="12:13" ht="15.75" customHeight="1" x14ac:dyDescent="0.25">
      <c r="L640" s="306"/>
      <c r="M640" s="306"/>
    </row>
    <row r="641" spans="12:13" ht="15.75" customHeight="1" x14ac:dyDescent="0.25">
      <c r="L641" s="306"/>
      <c r="M641" s="306"/>
    </row>
    <row r="642" spans="12:13" ht="15.75" customHeight="1" x14ac:dyDescent="0.25">
      <c r="L642" s="306"/>
      <c r="M642" s="306"/>
    </row>
    <row r="643" spans="12:13" ht="15.75" customHeight="1" x14ac:dyDescent="0.25">
      <c r="L643" s="306"/>
      <c r="M643" s="306"/>
    </row>
    <row r="644" spans="12:13" ht="15.75" customHeight="1" x14ac:dyDescent="0.25">
      <c r="L644" s="306"/>
      <c r="M644" s="306"/>
    </row>
    <row r="645" spans="12:13" ht="15.75" customHeight="1" x14ac:dyDescent="0.25">
      <c r="L645" s="306"/>
      <c r="M645" s="306"/>
    </row>
    <row r="646" spans="12:13" ht="15.75" customHeight="1" x14ac:dyDescent="0.25">
      <c r="L646" s="306"/>
      <c r="M646" s="306"/>
    </row>
    <row r="647" spans="12:13" ht="15.75" customHeight="1" x14ac:dyDescent="0.25">
      <c r="L647" s="306"/>
      <c r="M647" s="306"/>
    </row>
    <row r="648" spans="12:13" ht="15.75" customHeight="1" x14ac:dyDescent="0.25">
      <c r="L648" s="306"/>
      <c r="M648" s="306"/>
    </row>
    <row r="649" spans="12:13" ht="15.75" customHeight="1" x14ac:dyDescent="0.25">
      <c r="L649" s="306"/>
      <c r="M649" s="306"/>
    </row>
    <row r="650" spans="12:13" ht="15.75" customHeight="1" x14ac:dyDescent="0.25">
      <c r="L650" s="306"/>
      <c r="M650" s="306"/>
    </row>
    <row r="651" spans="12:13" ht="15.75" customHeight="1" x14ac:dyDescent="0.25">
      <c r="L651" s="306"/>
      <c r="M651" s="306"/>
    </row>
    <row r="652" spans="12:13" ht="15.75" customHeight="1" x14ac:dyDescent="0.25">
      <c r="L652" s="306"/>
      <c r="M652" s="306"/>
    </row>
    <row r="653" spans="12:13" ht="15.75" customHeight="1" x14ac:dyDescent="0.25">
      <c r="L653" s="306"/>
      <c r="M653" s="306"/>
    </row>
    <row r="654" spans="12:13" ht="15.75" customHeight="1" x14ac:dyDescent="0.25">
      <c r="L654" s="306"/>
      <c r="M654" s="306"/>
    </row>
    <row r="655" spans="12:13" ht="15.75" customHeight="1" x14ac:dyDescent="0.25">
      <c r="L655" s="306"/>
      <c r="M655" s="306"/>
    </row>
    <row r="656" spans="12:13" ht="15.75" customHeight="1" x14ac:dyDescent="0.25">
      <c r="L656" s="306"/>
      <c r="M656" s="306"/>
    </row>
    <row r="657" spans="12:13" ht="15.75" customHeight="1" x14ac:dyDescent="0.25">
      <c r="L657" s="306"/>
      <c r="M657" s="306"/>
    </row>
    <row r="658" spans="12:13" ht="15.75" customHeight="1" x14ac:dyDescent="0.25">
      <c r="L658" s="306"/>
      <c r="M658" s="306"/>
    </row>
    <row r="659" spans="12:13" ht="15.75" customHeight="1" x14ac:dyDescent="0.25">
      <c r="L659" s="306"/>
      <c r="M659" s="306"/>
    </row>
    <row r="660" spans="12:13" ht="15.75" customHeight="1" x14ac:dyDescent="0.25">
      <c r="L660" s="306"/>
      <c r="M660" s="306"/>
    </row>
    <row r="661" spans="12:13" ht="15.75" customHeight="1" x14ac:dyDescent="0.25">
      <c r="L661" s="306"/>
      <c r="M661" s="306"/>
    </row>
    <row r="662" spans="12:13" ht="15.75" customHeight="1" x14ac:dyDescent="0.25">
      <c r="L662" s="306"/>
      <c r="M662" s="306"/>
    </row>
    <row r="663" spans="12:13" ht="15.75" customHeight="1" x14ac:dyDescent="0.25">
      <c r="L663" s="306"/>
      <c r="M663" s="306"/>
    </row>
    <row r="664" spans="12:13" ht="15.75" customHeight="1" x14ac:dyDescent="0.25">
      <c r="L664" s="306"/>
      <c r="M664" s="306"/>
    </row>
    <row r="665" spans="12:13" ht="15.75" customHeight="1" x14ac:dyDescent="0.25">
      <c r="L665" s="306"/>
      <c r="M665" s="306"/>
    </row>
    <row r="666" spans="12:13" ht="15.75" customHeight="1" x14ac:dyDescent="0.25">
      <c r="L666" s="306"/>
      <c r="M666" s="306"/>
    </row>
    <row r="667" spans="12:13" ht="15.75" customHeight="1" x14ac:dyDescent="0.25">
      <c r="L667" s="306"/>
      <c r="M667" s="306"/>
    </row>
    <row r="668" spans="12:13" ht="15.75" customHeight="1" x14ac:dyDescent="0.25">
      <c r="L668" s="306"/>
      <c r="M668" s="306"/>
    </row>
    <row r="669" spans="12:13" ht="15.75" customHeight="1" x14ac:dyDescent="0.25">
      <c r="L669" s="306"/>
      <c r="M669" s="306"/>
    </row>
    <row r="670" spans="12:13" ht="15.75" customHeight="1" x14ac:dyDescent="0.25">
      <c r="L670" s="306"/>
      <c r="M670" s="306"/>
    </row>
    <row r="671" spans="12:13" ht="15.75" customHeight="1" x14ac:dyDescent="0.25">
      <c r="L671" s="306"/>
      <c r="M671" s="306"/>
    </row>
    <row r="672" spans="12:13" ht="15.75" customHeight="1" x14ac:dyDescent="0.25">
      <c r="L672" s="306"/>
      <c r="M672" s="306"/>
    </row>
    <row r="673" spans="12:13" ht="15.75" customHeight="1" x14ac:dyDescent="0.25">
      <c r="L673" s="306"/>
      <c r="M673" s="306"/>
    </row>
    <row r="674" spans="12:13" ht="15.75" customHeight="1" x14ac:dyDescent="0.25">
      <c r="L674" s="306"/>
      <c r="M674" s="306"/>
    </row>
    <row r="675" spans="12:13" ht="15.75" customHeight="1" x14ac:dyDescent="0.25">
      <c r="L675" s="306"/>
      <c r="M675" s="306"/>
    </row>
    <row r="676" spans="12:13" ht="15.75" customHeight="1" x14ac:dyDescent="0.25">
      <c r="L676" s="306"/>
      <c r="M676" s="306"/>
    </row>
    <row r="677" spans="12:13" ht="15.75" customHeight="1" x14ac:dyDescent="0.25">
      <c r="L677" s="306"/>
      <c r="M677" s="306"/>
    </row>
    <row r="678" spans="12:13" ht="15.75" customHeight="1" x14ac:dyDescent="0.25">
      <c r="L678" s="306"/>
      <c r="M678" s="306"/>
    </row>
    <row r="679" spans="12:13" ht="15.75" customHeight="1" x14ac:dyDescent="0.25">
      <c r="L679" s="306"/>
      <c r="M679" s="306"/>
    </row>
    <row r="680" spans="12:13" ht="15.75" customHeight="1" x14ac:dyDescent="0.25">
      <c r="L680" s="306"/>
      <c r="M680" s="306"/>
    </row>
    <row r="681" spans="12:13" ht="15.75" customHeight="1" x14ac:dyDescent="0.25">
      <c r="L681" s="306"/>
      <c r="M681" s="306"/>
    </row>
    <row r="682" spans="12:13" ht="15.75" customHeight="1" x14ac:dyDescent="0.25">
      <c r="L682" s="306"/>
      <c r="M682" s="306"/>
    </row>
    <row r="683" spans="12:13" ht="15.75" customHeight="1" x14ac:dyDescent="0.25">
      <c r="L683" s="306"/>
      <c r="M683" s="306"/>
    </row>
    <row r="684" spans="12:13" ht="15.75" customHeight="1" x14ac:dyDescent="0.25">
      <c r="L684" s="306"/>
      <c r="M684" s="306"/>
    </row>
    <row r="685" spans="12:13" ht="15.75" customHeight="1" x14ac:dyDescent="0.25">
      <c r="L685" s="306"/>
      <c r="M685" s="306"/>
    </row>
    <row r="686" spans="12:13" ht="15.75" customHeight="1" x14ac:dyDescent="0.25">
      <c r="L686" s="306"/>
      <c r="M686" s="306"/>
    </row>
    <row r="687" spans="12:13" ht="15.75" customHeight="1" x14ac:dyDescent="0.25">
      <c r="L687" s="306"/>
      <c r="M687" s="306"/>
    </row>
    <row r="688" spans="12:13" ht="15.75" customHeight="1" x14ac:dyDescent="0.25">
      <c r="L688" s="306"/>
      <c r="M688" s="306"/>
    </row>
    <row r="689" spans="12:13" ht="15.75" customHeight="1" x14ac:dyDescent="0.25">
      <c r="L689" s="306"/>
      <c r="M689" s="306"/>
    </row>
    <row r="690" spans="12:13" ht="15.75" customHeight="1" x14ac:dyDescent="0.25">
      <c r="L690" s="306"/>
      <c r="M690" s="306"/>
    </row>
    <row r="691" spans="12:13" ht="15.75" customHeight="1" x14ac:dyDescent="0.25">
      <c r="L691" s="306"/>
      <c r="M691" s="306"/>
    </row>
    <row r="692" spans="12:13" ht="15.75" customHeight="1" x14ac:dyDescent="0.25">
      <c r="L692" s="306"/>
      <c r="M692" s="306"/>
    </row>
    <row r="693" spans="12:13" ht="15.75" customHeight="1" x14ac:dyDescent="0.25">
      <c r="L693" s="306"/>
      <c r="M693" s="306"/>
    </row>
    <row r="694" spans="12:13" ht="15.75" customHeight="1" x14ac:dyDescent="0.25">
      <c r="L694" s="306"/>
      <c r="M694" s="306"/>
    </row>
    <row r="695" spans="12:13" ht="15.75" customHeight="1" x14ac:dyDescent="0.25">
      <c r="L695" s="306"/>
      <c r="M695" s="306"/>
    </row>
    <row r="696" spans="12:13" ht="15.75" customHeight="1" x14ac:dyDescent="0.25">
      <c r="L696" s="306"/>
      <c r="M696" s="306"/>
    </row>
    <row r="697" spans="12:13" ht="15.75" customHeight="1" x14ac:dyDescent="0.25">
      <c r="L697" s="306"/>
      <c r="M697" s="306"/>
    </row>
    <row r="698" spans="12:13" ht="15.75" customHeight="1" x14ac:dyDescent="0.25">
      <c r="L698" s="306"/>
      <c r="M698" s="306"/>
    </row>
    <row r="699" spans="12:13" ht="15.75" customHeight="1" x14ac:dyDescent="0.25">
      <c r="L699" s="306"/>
      <c r="M699" s="306"/>
    </row>
    <row r="700" spans="12:13" ht="15.75" customHeight="1" x14ac:dyDescent="0.25">
      <c r="L700" s="306"/>
      <c r="M700" s="306"/>
    </row>
    <row r="701" spans="12:13" ht="15.75" customHeight="1" x14ac:dyDescent="0.25">
      <c r="L701" s="306"/>
      <c r="M701" s="306"/>
    </row>
    <row r="702" spans="12:13" ht="15.75" customHeight="1" x14ac:dyDescent="0.25">
      <c r="L702" s="306"/>
      <c r="M702" s="306"/>
    </row>
    <row r="703" spans="12:13" ht="15.75" customHeight="1" x14ac:dyDescent="0.25">
      <c r="L703" s="306"/>
      <c r="M703" s="306"/>
    </row>
    <row r="704" spans="12:13" ht="15.75" customHeight="1" x14ac:dyDescent="0.25">
      <c r="L704" s="306"/>
      <c r="M704" s="306"/>
    </row>
    <row r="705" spans="12:13" ht="15.75" customHeight="1" x14ac:dyDescent="0.25">
      <c r="L705" s="306"/>
      <c r="M705" s="306"/>
    </row>
    <row r="706" spans="12:13" ht="15.75" customHeight="1" x14ac:dyDescent="0.25">
      <c r="L706" s="306"/>
      <c r="M706" s="306"/>
    </row>
    <row r="707" spans="12:13" ht="15.75" customHeight="1" x14ac:dyDescent="0.25">
      <c r="L707" s="306"/>
      <c r="M707" s="306"/>
    </row>
    <row r="708" spans="12:13" ht="15.75" customHeight="1" x14ac:dyDescent="0.25">
      <c r="L708" s="306"/>
      <c r="M708" s="306"/>
    </row>
    <row r="709" spans="12:13" ht="15.75" customHeight="1" x14ac:dyDescent="0.25">
      <c r="L709" s="306"/>
      <c r="M709" s="306"/>
    </row>
    <row r="710" spans="12:13" ht="15.75" customHeight="1" x14ac:dyDescent="0.25">
      <c r="L710" s="306"/>
      <c r="M710" s="306"/>
    </row>
    <row r="711" spans="12:13" ht="15.75" customHeight="1" x14ac:dyDescent="0.25">
      <c r="L711" s="306"/>
      <c r="M711" s="306"/>
    </row>
    <row r="712" spans="12:13" ht="15.75" customHeight="1" x14ac:dyDescent="0.25">
      <c r="L712" s="306"/>
      <c r="M712" s="306"/>
    </row>
    <row r="713" spans="12:13" ht="15.75" customHeight="1" x14ac:dyDescent="0.25">
      <c r="L713" s="306"/>
      <c r="M713" s="306"/>
    </row>
    <row r="714" spans="12:13" ht="15.75" customHeight="1" x14ac:dyDescent="0.25">
      <c r="L714" s="306"/>
      <c r="M714" s="306"/>
    </row>
    <row r="715" spans="12:13" ht="15.75" customHeight="1" x14ac:dyDescent="0.25">
      <c r="L715" s="306"/>
      <c r="M715" s="306"/>
    </row>
    <row r="716" spans="12:13" ht="15.75" customHeight="1" x14ac:dyDescent="0.25">
      <c r="L716" s="306"/>
      <c r="M716" s="306"/>
    </row>
    <row r="717" spans="12:13" ht="15.75" customHeight="1" x14ac:dyDescent="0.25">
      <c r="L717" s="306"/>
      <c r="M717" s="306"/>
    </row>
    <row r="718" spans="12:13" ht="15.75" customHeight="1" x14ac:dyDescent="0.25">
      <c r="L718" s="306"/>
      <c r="M718" s="306"/>
    </row>
    <row r="719" spans="12:13" ht="15.75" customHeight="1" x14ac:dyDescent="0.25">
      <c r="L719" s="306"/>
      <c r="M719" s="306"/>
    </row>
    <row r="720" spans="12:13" ht="15.75" customHeight="1" x14ac:dyDescent="0.25">
      <c r="L720" s="306"/>
      <c r="M720" s="306"/>
    </row>
    <row r="721" spans="12:13" ht="15.75" customHeight="1" x14ac:dyDescent="0.25">
      <c r="L721" s="306"/>
      <c r="M721" s="306"/>
    </row>
    <row r="722" spans="12:13" ht="15.75" customHeight="1" x14ac:dyDescent="0.25">
      <c r="L722" s="306"/>
      <c r="M722" s="306"/>
    </row>
    <row r="723" spans="12:13" ht="15.75" customHeight="1" x14ac:dyDescent="0.25">
      <c r="L723" s="306"/>
      <c r="M723" s="306"/>
    </row>
    <row r="724" spans="12:13" ht="15.75" customHeight="1" x14ac:dyDescent="0.25">
      <c r="L724" s="306"/>
      <c r="M724" s="306"/>
    </row>
    <row r="725" spans="12:13" ht="15.75" customHeight="1" x14ac:dyDescent="0.25">
      <c r="L725" s="306"/>
      <c r="M725" s="306"/>
    </row>
    <row r="726" spans="12:13" ht="15.75" customHeight="1" x14ac:dyDescent="0.25">
      <c r="L726" s="306"/>
      <c r="M726" s="306"/>
    </row>
    <row r="727" spans="12:13" ht="15.75" customHeight="1" x14ac:dyDescent="0.25">
      <c r="L727" s="306"/>
      <c r="M727" s="306"/>
    </row>
    <row r="728" spans="12:13" ht="15.75" customHeight="1" x14ac:dyDescent="0.25">
      <c r="L728" s="306"/>
      <c r="M728" s="306"/>
    </row>
    <row r="729" spans="12:13" ht="15.75" customHeight="1" x14ac:dyDescent="0.25">
      <c r="L729" s="306"/>
      <c r="M729" s="306"/>
    </row>
    <row r="730" spans="12:13" ht="15.75" customHeight="1" x14ac:dyDescent="0.25">
      <c r="L730" s="306"/>
      <c r="M730" s="306"/>
    </row>
    <row r="731" spans="12:13" ht="15.75" customHeight="1" x14ac:dyDescent="0.25">
      <c r="L731" s="306"/>
      <c r="M731" s="306"/>
    </row>
    <row r="732" spans="12:13" ht="15.75" customHeight="1" x14ac:dyDescent="0.25">
      <c r="L732" s="306"/>
      <c r="M732" s="306"/>
    </row>
    <row r="733" spans="12:13" ht="15.75" customHeight="1" x14ac:dyDescent="0.25">
      <c r="L733" s="306"/>
      <c r="M733" s="306"/>
    </row>
    <row r="734" spans="12:13" ht="15.75" customHeight="1" x14ac:dyDescent="0.25">
      <c r="L734" s="306"/>
      <c r="M734" s="306"/>
    </row>
    <row r="735" spans="12:13" ht="15.75" customHeight="1" x14ac:dyDescent="0.25">
      <c r="L735" s="306"/>
      <c r="M735" s="306"/>
    </row>
    <row r="736" spans="12:13" ht="15.75" customHeight="1" x14ac:dyDescent="0.25">
      <c r="L736" s="306"/>
      <c r="M736" s="306"/>
    </row>
    <row r="737" spans="12:13" ht="15.75" customHeight="1" x14ac:dyDescent="0.25">
      <c r="L737" s="306"/>
      <c r="M737" s="306"/>
    </row>
    <row r="738" spans="12:13" ht="15.75" customHeight="1" x14ac:dyDescent="0.25">
      <c r="L738" s="306"/>
      <c r="M738" s="306"/>
    </row>
    <row r="739" spans="12:13" ht="15.75" customHeight="1" x14ac:dyDescent="0.25">
      <c r="L739" s="306"/>
      <c r="M739" s="306"/>
    </row>
    <row r="740" spans="12:13" ht="15.75" customHeight="1" x14ac:dyDescent="0.25">
      <c r="L740" s="306"/>
      <c r="M740" s="306"/>
    </row>
    <row r="741" spans="12:13" ht="15.75" customHeight="1" x14ac:dyDescent="0.25">
      <c r="L741" s="306"/>
      <c r="M741" s="306"/>
    </row>
    <row r="742" spans="12:13" ht="15.75" customHeight="1" x14ac:dyDescent="0.25">
      <c r="L742" s="306"/>
      <c r="M742" s="306"/>
    </row>
    <row r="743" spans="12:13" ht="15.75" customHeight="1" x14ac:dyDescent="0.25">
      <c r="L743" s="306"/>
      <c r="M743" s="306"/>
    </row>
    <row r="744" spans="12:13" ht="15.75" customHeight="1" x14ac:dyDescent="0.25">
      <c r="L744" s="306"/>
      <c r="M744" s="306"/>
    </row>
    <row r="745" spans="12:13" ht="15.75" customHeight="1" x14ac:dyDescent="0.25">
      <c r="L745" s="306"/>
      <c r="M745" s="306"/>
    </row>
    <row r="746" spans="12:13" ht="15.75" customHeight="1" x14ac:dyDescent="0.25">
      <c r="L746" s="306"/>
      <c r="M746" s="306"/>
    </row>
    <row r="747" spans="12:13" ht="15.75" customHeight="1" x14ac:dyDescent="0.25">
      <c r="L747" s="306"/>
      <c r="M747" s="306"/>
    </row>
    <row r="748" spans="12:13" ht="15.75" customHeight="1" x14ac:dyDescent="0.25">
      <c r="L748" s="306"/>
      <c r="M748" s="306"/>
    </row>
    <row r="749" spans="12:13" ht="15.75" customHeight="1" x14ac:dyDescent="0.25">
      <c r="L749" s="306"/>
      <c r="M749" s="306"/>
    </row>
    <row r="750" spans="12:13" ht="15.75" customHeight="1" x14ac:dyDescent="0.25">
      <c r="L750" s="306"/>
      <c r="M750" s="306"/>
    </row>
    <row r="751" spans="12:13" ht="15.75" customHeight="1" x14ac:dyDescent="0.25">
      <c r="L751" s="306"/>
      <c r="M751" s="306"/>
    </row>
    <row r="752" spans="12:13" ht="15.75" customHeight="1" x14ac:dyDescent="0.25">
      <c r="L752" s="306"/>
      <c r="M752" s="306"/>
    </row>
    <row r="753" spans="12:13" ht="15.75" customHeight="1" x14ac:dyDescent="0.25">
      <c r="L753" s="306"/>
      <c r="M753" s="306"/>
    </row>
    <row r="754" spans="12:13" ht="15.75" customHeight="1" x14ac:dyDescent="0.25">
      <c r="L754" s="306"/>
      <c r="M754" s="306"/>
    </row>
    <row r="755" spans="12:13" ht="15.75" customHeight="1" x14ac:dyDescent="0.25">
      <c r="L755" s="306"/>
      <c r="M755" s="306"/>
    </row>
    <row r="756" spans="12:13" ht="15.75" customHeight="1" x14ac:dyDescent="0.25">
      <c r="L756" s="306"/>
      <c r="M756" s="306"/>
    </row>
    <row r="757" spans="12:13" ht="15.75" customHeight="1" x14ac:dyDescent="0.25">
      <c r="L757" s="306"/>
      <c r="M757" s="306"/>
    </row>
    <row r="758" spans="12:13" ht="15.75" customHeight="1" x14ac:dyDescent="0.25">
      <c r="L758" s="306"/>
      <c r="M758" s="306"/>
    </row>
    <row r="759" spans="12:13" ht="15.75" customHeight="1" x14ac:dyDescent="0.25">
      <c r="L759" s="306"/>
      <c r="M759" s="306"/>
    </row>
    <row r="760" spans="12:13" ht="15.75" customHeight="1" x14ac:dyDescent="0.25">
      <c r="L760" s="306"/>
      <c r="M760" s="306"/>
    </row>
    <row r="761" spans="12:13" ht="15.75" customHeight="1" x14ac:dyDescent="0.25">
      <c r="L761" s="306"/>
      <c r="M761" s="306"/>
    </row>
    <row r="762" spans="12:13" ht="15.75" customHeight="1" x14ac:dyDescent="0.25">
      <c r="L762" s="306"/>
      <c r="M762" s="306"/>
    </row>
    <row r="763" spans="12:13" ht="15.75" customHeight="1" x14ac:dyDescent="0.25">
      <c r="L763" s="306"/>
      <c r="M763" s="306"/>
    </row>
    <row r="764" spans="12:13" ht="15.75" customHeight="1" x14ac:dyDescent="0.25">
      <c r="L764" s="306"/>
      <c r="M764" s="306"/>
    </row>
    <row r="765" spans="12:13" ht="15.75" customHeight="1" x14ac:dyDescent="0.25">
      <c r="L765" s="306"/>
      <c r="M765" s="306"/>
    </row>
    <row r="766" spans="12:13" ht="15.75" customHeight="1" x14ac:dyDescent="0.25">
      <c r="L766" s="306"/>
      <c r="M766" s="306"/>
    </row>
    <row r="767" spans="12:13" ht="15.75" customHeight="1" x14ac:dyDescent="0.25">
      <c r="L767" s="306"/>
      <c r="M767" s="306"/>
    </row>
    <row r="768" spans="12:13" ht="15.75" customHeight="1" x14ac:dyDescent="0.25">
      <c r="L768" s="306"/>
      <c r="M768" s="306"/>
    </row>
    <row r="769" spans="12:13" ht="15.75" customHeight="1" x14ac:dyDescent="0.25">
      <c r="L769" s="306"/>
      <c r="M769" s="306"/>
    </row>
    <row r="770" spans="12:13" ht="15.75" customHeight="1" x14ac:dyDescent="0.25">
      <c r="L770" s="306"/>
      <c r="M770" s="306"/>
    </row>
    <row r="771" spans="12:13" ht="15.75" customHeight="1" x14ac:dyDescent="0.25">
      <c r="L771" s="306"/>
      <c r="M771" s="306"/>
    </row>
    <row r="772" spans="12:13" ht="15.75" customHeight="1" x14ac:dyDescent="0.25">
      <c r="L772" s="306"/>
      <c r="M772" s="306"/>
    </row>
    <row r="773" spans="12:13" ht="15.75" customHeight="1" x14ac:dyDescent="0.25">
      <c r="L773" s="306"/>
      <c r="M773" s="306"/>
    </row>
    <row r="774" spans="12:13" ht="15.75" customHeight="1" x14ac:dyDescent="0.25">
      <c r="L774" s="306"/>
      <c r="M774" s="306"/>
    </row>
    <row r="775" spans="12:13" ht="15.75" customHeight="1" x14ac:dyDescent="0.25">
      <c r="L775" s="306"/>
      <c r="M775" s="306"/>
    </row>
    <row r="776" spans="12:13" ht="15.75" customHeight="1" x14ac:dyDescent="0.25">
      <c r="L776" s="306"/>
      <c r="M776" s="306"/>
    </row>
    <row r="777" spans="12:13" ht="15.75" customHeight="1" x14ac:dyDescent="0.25">
      <c r="L777" s="306"/>
      <c r="M777" s="306"/>
    </row>
    <row r="778" spans="12:13" ht="15.75" customHeight="1" x14ac:dyDescent="0.25">
      <c r="L778" s="306"/>
      <c r="M778" s="306"/>
    </row>
    <row r="779" spans="12:13" ht="15.75" customHeight="1" x14ac:dyDescent="0.25">
      <c r="L779" s="306"/>
      <c r="M779" s="306"/>
    </row>
    <row r="780" spans="12:13" ht="15.75" customHeight="1" x14ac:dyDescent="0.25">
      <c r="L780" s="306"/>
      <c r="M780" s="306"/>
    </row>
    <row r="781" spans="12:13" ht="15.75" customHeight="1" x14ac:dyDescent="0.25">
      <c r="L781" s="306"/>
      <c r="M781" s="306"/>
    </row>
    <row r="782" spans="12:13" ht="15.75" customHeight="1" x14ac:dyDescent="0.25">
      <c r="L782" s="306"/>
      <c r="M782" s="306"/>
    </row>
    <row r="783" spans="12:13" ht="15.75" customHeight="1" x14ac:dyDescent="0.25">
      <c r="L783" s="306"/>
      <c r="M783" s="306"/>
    </row>
    <row r="784" spans="12:13" ht="15.75" customHeight="1" x14ac:dyDescent="0.25">
      <c r="L784" s="306"/>
      <c r="M784" s="306"/>
    </row>
    <row r="785" spans="12:13" ht="15.75" customHeight="1" x14ac:dyDescent="0.25">
      <c r="L785" s="306"/>
      <c r="M785" s="306"/>
    </row>
    <row r="786" spans="12:13" ht="15.75" customHeight="1" x14ac:dyDescent="0.25">
      <c r="L786" s="306"/>
      <c r="M786" s="306"/>
    </row>
    <row r="787" spans="12:13" ht="15.75" customHeight="1" x14ac:dyDescent="0.25">
      <c r="L787" s="306"/>
      <c r="M787" s="306"/>
    </row>
    <row r="788" spans="12:13" ht="15.75" customHeight="1" x14ac:dyDescent="0.25">
      <c r="L788" s="306"/>
      <c r="M788" s="306"/>
    </row>
    <row r="789" spans="12:13" ht="15.75" customHeight="1" x14ac:dyDescent="0.25">
      <c r="L789" s="306"/>
      <c r="M789" s="306"/>
    </row>
    <row r="790" spans="12:13" ht="15.75" customHeight="1" x14ac:dyDescent="0.25">
      <c r="L790" s="306"/>
      <c r="M790" s="306"/>
    </row>
    <row r="791" spans="12:13" ht="15.75" customHeight="1" x14ac:dyDescent="0.25">
      <c r="L791" s="306"/>
      <c r="M791" s="306"/>
    </row>
    <row r="792" spans="12:13" ht="15.75" customHeight="1" x14ac:dyDescent="0.25">
      <c r="L792" s="306"/>
      <c r="M792" s="306"/>
    </row>
    <row r="793" spans="12:13" ht="15.75" customHeight="1" x14ac:dyDescent="0.25">
      <c r="L793" s="306"/>
      <c r="M793" s="306"/>
    </row>
    <row r="794" spans="12:13" ht="15.75" customHeight="1" x14ac:dyDescent="0.25">
      <c r="L794" s="306"/>
      <c r="M794" s="306"/>
    </row>
    <row r="795" spans="12:13" ht="15.75" customHeight="1" x14ac:dyDescent="0.25">
      <c r="L795" s="306"/>
      <c r="M795" s="306"/>
    </row>
    <row r="796" spans="12:13" ht="15.75" customHeight="1" x14ac:dyDescent="0.25">
      <c r="L796" s="306"/>
      <c r="M796" s="306"/>
    </row>
    <row r="797" spans="12:13" ht="15.75" customHeight="1" x14ac:dyDescent="0.25">
      <c r="L797" s="306"/>
      <c r="M797" s="306"/>
    </row>
    <row r="798" spans="12:13" ht="15.75" customHeight="1" x14ac:dyDescent="0.25">
      <c r="L798" s="306"/>
      <c r="M798" s="306"/>
    </row>
    <row r="799" spans="12:13" ht="15.75" customHeight="1" x14ac:dyDescent="0.25">
      <c r="L799" s="306"/>
      <c r="M799" s="306"/>
    </row>
    <row r="800" spans="12:13" ht="15.75" customHeight="1" x14ac:dyDescent="0.25">
      <c r="L800" s="306"/>
      <c r="M800" s="306"/>
    </row>
    <row r="801" spans="12:13" ht="15.75" customHeight="1" x14ac:dyDescent="0.25">
      <c r="L801" s="306"/>
      <c r="M801" s="306"/>
    </row>
    <row r="802" spans="12:13" ht="15.75" customHeight="1" x14ac:dyDescent="0.25">
      <c r="L802" s="306"/>
      <c r="M802" s="306"/>
    </row>
    <row r="803" spans="12:13" ht="15.75" customHeight="1" x14ac:dyDescent="0.25">
      <c r="L803" s="306"/>
      <c r="M803" s="306"/>
    </row>
    <row r="804" spans="12:13" ht="15.75" customHeight="1" x14ac:dyDescent="0.25">
      <c r="L804" s="306"/>
      <c r="M804" s="306"/>
    </row>
    <row r="805" spans="12:13" ht="15.75" customHeight="1" x14ac:dyDescent="0.25">
      <c r="L805" s="306"/>
      <c r="M805" s="306"/>
    </row>
    <row r="806" spans="12:13" ht="15.75" customHeight="1" x14ac:dyDescent="0.25">
      <c r="L806" s="306"/>
      <c r="M806" s="306"/>
    </row>
    <row r="807" spans="12:13" ht="15.75" customHeight="1" x14ac:dyDescent="0.25">
      <c r="L807" s="306"/>
      <c r="M807" s="306"/>
    </row>
    <row r="808" spans="12:13" ht="15.75" customHeight="1" x14ac:dyDescent="0.25">
      <c r="L808" s="306"/>
      <c r="M808" s="306"/>
    </row>
    <row r="809" spans="12:13" ht="15.75" customHeight="1" x14ac:dyDescent="0.25">
      <c r="L809" s="306"/>
      <c r="M809" s="306"/>
    </row>
    <row r="810" spans="12:13" ht="15.75" customHeight="1" x14ac:dyDescent="0.25">
      <c r="L810" s="306"/>
      <c r="M810" s="306"/>
    </row>
    <row r="811" spans="12:13" ht="15.75" customHeight="1" x14ac:dyDescent="0.25">
      <c r="L811" s="306"/>
      <c r="M811" s="306"/>
    </row>
    <row r="812" spans="12:13" ht="15.75" customHeight="1" x14ac:dyDescent="0.25">
      <c r="L812" s="306"/>
      <c r="M812" s="306"/>
    </row>
    <row r="813" spans="12:13" ht="15.75" customHeight="1" x14ac:dyDescent="0.25">
      <c r="L813" s="306"/>
      <c r="M813" s="306"/>
    </row>
    <row r="814" spans="12:13" ht="15.75" customHeight="1" x14ac:dyDescent="0.25">
      <c r="L814" s="306"/>
      <c r="M814" s="306"/>
    </row>
    <row r="815" spans="12:13" ht="15.75" customHeight="1" x14ac:dyDescent="0.25">
      <c r="L815" s="306"/>
      <c r="M815" s="306"/>
    </row>
    <row r="816" spans="12:13" ht="15.75" customHeight="1" x14ac:dyDescent="0.25">
      <c r="L816" s="306"/>
      <c r="M816" s="306"/>
    </row>
    <row r="817" spans="12:13" ht="15.75" customHeight="1" x14ac:dyDescent="0.25">
      <c r="L817" s="306"/>
      <c r="M817" s="306"/>
    </row>
    <row r="818" spans="12:13" ht="15.75" customHeight="1" x14ac:dyDescent="0.25">
      <c r="L818" s="306"/>
      <c r="M818" s="306"/>
    </row>
    <row r="819" spans="12:13" ht="15.75" customHeight="1" x14ac:dyDescent="0.25">
      <c r="L819" s="306"/>
      <c r="M819" s="306"/>
    </row>
    <row r="820" spans="12:13" ht="15.75" customHeight="1" x14ac:dyDescent="0.25">
      <c r="L820" s="306"/>
      <c r="M820" s="306"/>
    </row>
    <row r="821" spans="12:13" ht="15.75" customHeight="1" x14ac:dyDescent="0.25">
      <c r="L821" s="306"/>
      <c r="M821" s="306"/>
    </row>
    <row r="822" spans="12:13" ht="15.75" customHeight="1" x14ac:dyDescent="0.25">
      <c r="L822" s="306"/>
      <c r="M822" s="306"/>
    </row>
    <row r="823" spans="12:13" ht="15.75" customHeight="1" x14ac:dyDescent="0.25">
      <c r="L823" s="306"/>
      <c r="M823" s="306"/>
    </row>
    <row r="824" spans="12:13" ht="15.75" customHeight="1" x14ac:dyDescent="0.25">
      <c r="L824" s="306"/>
      <c r="M824" s="306"/>
    </row>
    <row r="825" spans="12:13" ht="15.75" customHeight="1" x14ac:dyDescent="0.25">
      <c r="L825" s="306"/>
      <c r="M825" s="306"/>
    </row>
    <row r="826" spans="12:13" ht="15.75" customHeight="1" x14ac:dyDescent="0.25">
      <c r="L826" s="306"/>
      <c r="M826" s="306"/>
    </row>
    <row r="827" spans="12:13" ht="15.75" customHeight="1" x14ac:dyDescent="0.25">
      <c r="L827" s="306"/>
      <c r="M827" s="306"/>
    </row>
    <row r="828" spans="12:13" ht="15.75" customHeight="1" x14ac:dyDescent="0.25">
      <c r="L828" s="306"/>
      <c r="M828" s="306"/>
    </row>
    <row r="829" spans="12:13" ht="15.75" customHeight="1" x14ac:dyDescent="0.25">
      <c r="L829" s="306"/>
      <c r="M829" s="306"/>
    </row>
    <row r="830" spans="12:13" ht="15.75" customHeight="1" x14ac:dyDescent="0.25">
      <c r="L830" s="306"/>
      <c r="M830" s="306"/>
    </row>
    <row r="831" spans="12:13" ht="15.75" customHeight="1" x14ac:dyDescent="0.25">
      <c r="L831" s="306"/>
      <c r="M831" s="306"/>
    </row>
    <row r="832" spans="12:13" ht="15.75" customHeight="1" x14ac:dyDescent="0.25">
      <c r="L832" s="306"/>
      <c r="M832" s="306"/>
    </row>
    <row r="833" spans="12:13" ht="15.75" customHeight="1" x14ac:dyDescent="0.25">
      <c r="L833" s="306"/>
      <c r="M833" s="306"/>
    </row>
    <row r="834" spans="12:13" ht="15.75" customHeight="1" x14ac:dyDescent="0.25">
      <c r="L834" s="306"/>
      <c r="M834" s="306"/>
    </row>
    <row r="835" spans="12:13" ht="15.75" customHeight="1" x14ac:dyDescent="0.25">
      <c r="L835" s="306"/>
      <c r="M835" s="306"/>
    </row>
    <row r="836" spans="12:13" ht="15.75" customHeight="1" x14ac:dyDescent="0.25">
      <c r="L836" s="306"/>
      <c r="M836" s="306"/>
    </row>
    <row r="837" spans="12:13" ht="15.75" customHeight="1" x14ac:dyDescent="0.25">
      <c r="L837" s="306"/>
      <c r="M837" s="306"/>
    </row>
    <row r="838" spans="12:13" ht="15.75" customHeight="1" x14ac:dyDescent="0.25">
      <c r="L838" s="306"/>
      <c r="M838" s="306"/>
    </row>
    <row r="839" spans="12:13" ht="15.75" customHeight="1" x14ac:dyDescent="0.25">
      <c r="L839" s="306"/>
      <c r="M839" s="306"/>
    </row>
    <row r="840" spans="12:13" ht="15.75" customHeight="1" x14ac:dyDescent="0.25">
      <c r="L840" s="306"/>
      <c r="M840" s="306"/>
    </row>
    <row r="841" spans="12:13" ht="15.75" customHeight="1" x14ac:dyDescent="0.25">
      <c r="L841" s="306"/>
      <c r="M841" s="306"/>
    </row>
    <row r="842" spans="12:13" ht="15.75" customHeight="1" x14ac:dyDescent="0.25">
      <c r="L842" s="306"/>
      <c r="M842" s="306"/>
    </row>
    <row r="843" spans="12:13" ht="15.75" customHeight="1" x14ac:dyDescent="0.25">
      <c r="L843" s="306"/>
      <c r="M843" s="306"/>
    </row>
    <row r="844" spans="12:13" ht="15.75" customHeight="1" x14ac:dyDescent="0.25">
      <c r="L844" s="306"/>
      <c r="M844" s="306"/>
    </row>
    <row r="845" spans="12:13" ht="15.75" customHeight="1" x14ac:dyDescent="0.25">
      <c r="L845" s="306"/>
      <c r="M845" s="306"/>
    </row>
    <row r="846" spans="12:13" ht="15.75" customHeight="1" x14ac:dyDescent="0.25">
      <c r="L846" s="306"/>
      <c r="M846" s="306"/>
    </row>
    <row r="847" spans="12:13" ht="15.75" customHeight="1" x14ac:dyDescent="0.25">
      <c r="L847" s="306"/>
      <c r="M847" s="306"/>
    </row>
    <row r="848" spans="12:13" ht="15.75" customHeight="1" x14ac:dyDescent="0.25">
      <c r="L848" s="306"/>
      <c r="M848" s="306"/>
    </row>
    <row r="849" spans="12:13" ht="15.75" customHeight="1" x14ac:dyDescent="0.25">
      <c r="L849" s="306"/>
      <c r="M849" s="306"/>
    </row>
    <row r="850" spans="12:13" ht="15.75" customHeight="1" x14ac:dyDescent="0.25">
      <c r="L850" s="306"/>
      <c r="M850" s="306"/>
    </row>
    <row r="851" spans="12:13" ht="15.75" customHeight="1" x14ac:dyDescent="0.25">
      <c r="L851" s="306"/>
      <c r="M851" s="306"/>
    </row>
    <row r="852" spans="12:13" ht="15.75" customHeight="1" x14ac:dyDescent="0.25">
      <c r="L852" s="306"/>
      <c r="M852" s="306"/>
    </row>
    <row r="853" spans="12:13" ht="15.75" customHeight="1" x14ac:dyDescent="0.25">
      <c r="L853" s="306"/>
      <c r="M853" s="306"/>
    </row>
    <row r="854" spans="12:13" ht="15.75" customHeight="1" x14ac:dyDescent="0.25">
      <c r="L854" s="306"/>
      <c r="M854" s="306"/>
    </row>
    <row r="855" spans="12:13" ht="15.75" customHeight="1" x14ac:dyDescent="0.25">
      <c r="L855" s="306"/>
      <c r="M855" s="306"/>
    </row>
    <row r="856" spans="12:13" ht="15.75" customHeight="1" x14ac:dyDescent="0.25">
      <c r="L856" s="306"/>
      <c r="M856" s="306"/>
    </row>
    <row r="857" spans="12:13" ht="15.75" customHeight="1" x14ac:dyDescent="0.25">
      <c r="L857" s="306"/>
      <c r="M857" s="306"/>
    </row>
    <row r="858" spans="12:13" ht="15.75" customHeight="1" x14ac:dyDescent="0.25">
      <c r="L858" s="306"/>
      <c r="M858" s="306"/>
    </row>
    <row r="859" spans="12:13" ht="15.75" customHeight="1" x14ac:dyDescent="0.25">
      <c r="L859" s="306"/>
      <c r="M859" s="306"/>
    </row>
    <row r="860" spans="12:13" ht="15.75" customHeight="1" x14ac:dyDescent="0.25">
      <c r="L860" s="306"/>
      <c r="M860" s="306"/>
    </row>
    <row r="861" spans="12:13" ht="15.75" customHeight="1" x14ac:dyDescent="0.25">
      <c r="L861" s="306"/>
      <c r="M861" s="306"/>
    </row>
    <row r="862" spans="12:13" ht="15.75" customHeight="1" x14ac:dyDescent="0.25">
      <c r="L862" s="306"/>
      <c r="M862" s="306"/>
    </row>
    <row r="863" spans="12:13" ht="15.75" customHeight="1" x14ac:dyDescent="0.25">
      <c r="L863" s="306"/>
      <c r="M863" s="306"/>
    </row>
    <row r="864" spans="12:13" ht="15.75" customHeight="1" x14ac:dyDescent="0.25">
      <c r="L864" s="306"/>
      <c r="M864" s="306"/>
    </row>
    <row r="865" spans="12:13" ht="15.75" customHeight="1" x14ac:dyDescent="0.25">
      <c r="L865" s="306"/>
      <c r="M865" s="306"/>
    </row>
    <row r="866" spans="12:13" ht="15.75" customHeight="1" x14ac:dyDescent="0.25">
      <c r="L866" s="306"/>
      <c r="M866" s="306"/>
    </row>
    <row r="867" spans="12:13" ht="15.75" customHeight="1" x14ac:dyDescent="0.25">
      <c r="L867" s="306"/>
      <c r="M867" s="306"/>
    </row>
    <row r="868" spans="12:13" ht="15.75" customHeight="1" x14ac:dyDescent="0.25">
      <c r="L868" s="306"/>
      <c r="M868" s="306"/>
    </row>
    <row r="869" spans="12:13" ht="15.75" customHeight="1" x14ac:dyDescent="0.25">
      <c r="L869" s="306"/>
      <c r="M869" s="306"/>
    </row>
    <row r="870" spans="12:13" ht="15.75" customHeight="1" x14ac:dyDescent="0.25">
      <c r="L870" s="306"/>
      <c r="M870" s="306"/>
    </row>
    <row r="871" spans="12:13" ht="15.75" customHeight="1" x14ac:dyDescent="0.25">
      <c r="L871" s="306"/>
      <c r="M871" s="306"/>
    </row>
    <row r="872" spans="12:13" ht="15.75" customHeight="1" x14ac:dyDescent="0.25">
      <c r="L872" s="306"/>
      <c r="M872" s="306"/>
    </row>
    <row r="873" spans="12:13" ht="15.75" customHeight="1" x14ac:dyDescent="0.25">
      <c r="L873" s="306"/>
      <c r="M873" s="306"/>
    </row>
    <row r="874" spans="12:13" ht="15.75" customHeight="1" x14ac:dyDescent="0.25">
      <c r="L874" s="306"/>
      <c r="M874" s="306"/>
    </row>
    <row r="875" spans="12:13" ht="15.75" customHeight="1" x14ac:dyDescent="0.25">
      <c r="L875" s="306"/>
      <c r="M875" s="306"/>
    </row>
    <row r="876" spans="12:13" ht="15.75" customHeight="1" x14ac:dyDescent="0.25">
      <c r="L876" s="306"/>
      <c r="M876" s="306"/>
    </row>
    <row r="877" spans="12:13" ht="15.75" customHeight="1" x14ac:dyDescent="0.25">
      <c r="L877" s="306"/>
      <c r="M877" s="306"/>
    </row>
    <row r="878" spans="12:13" ht="15.75" customHeight="1" x14ac:dyDescent="0.25">
      <c r="L878" s="306"/>
      <c r="M878" s="306"/>
    </row>
    <row r="879" spans="12:13" ht="15.75" customHeight="1" x14ac:dyDescent="0.25">
      <c r="L879" s="306"/>
      <c r="M879" s="306"/>
    </row>
    <row r="880" spans="12:13" ht="15.75" customHeight="1" x14ac:dyDescent="0.25">
      <c r="L880" s="306"/>
      <c r="M880" s="306"/>
    </row>
    <row r="881" spans="12:13" ht="15.75" customHeight="1" x14ac:dyDescent="0.25">
      <c r="L881" s="306"/>
      <c r="M881" s="306"/>
    </row>
    <row r="882" spans="12:13" ht="15.75" customHeight="1" x14ac:dyDescent="0.25">
      <c r="L882" s="306"/>
      <c r="M882" s="306"/>
    </row>
    <row r="883" spans="12:13" ht="15.75" customHeight="1" x14ac:dyDescent="0.25">
      <c r="L883" s="306"/>
      <c r="M883" s="306"/>
    </row>
    <row r="884" spans="12:13" ht="15.75" customHeight="1" x14ac:dyDescent="0.25">
      <c r="L884" s="306"/>
      <c r="M884" s="306"/>
    </row>
    <row r="885" spans="12:13" ht="15.75" customHeight="1" x14ac:dyDescent="0.25">
      <c r="L885" s="306"/>
      <c r="M885" s="306"/>
    </row>
    <row r="886" spans="12:13" ht="15.75" customHeight="1" x14ac:dyDescent="0.25">
      <c r="L886" s="306"/>
      <c r="M886" s="306"/>
    </row>
    <row r="887" spans="12:13" ht="15.75" customHeight="1" x14ac:dyDescent="0.25">
      <c r="L887" s="306"/>
      <c r="M887" s="306"/>
    </row>
    <row r="888" spans="12:13" ht="15.75" customHeight="1" x14ac:dyDescent="0.25">
      <c r="L888" s="306"/>
      <c r="M888" s="306"/>
    </row>
    <row r="889" spans="12:13" ht="15.75" customHeight="1" x14ac:dyDescent="0.25">
      <c r="L889" s="306"/>
      <c r="M889" s="306"/>
    </row>
    <row r="890" spans="12:13" ht="15.75" customHeight="1" x14ac:dyDescent="0.25">
      <c r="L890" s="306"/>
      <c r="M890" s="306"/>
    </row>
    <row r="891" spans="12:13" ht="15.75" customHeight="1" x14ac:dyDescent="0.25">
      <c r="L891" s="306"/>
      <c r="M891" s="306"/>
    </row>
    <row r="892" spans="12:13" ht="15.75" customHeight="1" x14ac:dyDescent="0.25">
      <c r="L892" s="306"/>
      <c r="M892" s="306"/>
    </row>
    <row r="893" spans="12:13" ht="15.75" customHeight="1" x14ac:dyDescent="0.25">
      <c r="L893" s="306"/>
      <c r="M893" s="306"/>
    </row>
    <row r="894" spans="12:13" ht="15.75" customHeight="1" x14ac:dyDescent="0.25">
      <c r="L894" s="306"/>
      <c r="M894" s="306"/>
    </row>
    <row r="895" spans="12:13" ht="15.75" customHeight="1" x14ac:dyDescent="0.25">
      <c r="L895" s="306"/>
      <c r="M895" s="306"/>
    </row>
    <row r="896" spans="12:13" ht="15.75" customHeight="1" x14ac:dyDescent="0.25">
      <c r="L896" s="306"/>
      <c r="M896" s="306"/>
    </row>
    <row r="897" spans="12:13" ht="15.75" customHeight="1" x14ac:dyDescent="0.25">
      <c r="L897" s="306"/>
      <c r="M897" s="306"/>
    </row>
    <row r="898" spans="12:13" ht="15.75" customHeight="1" x14ac:dyDescent="0.25">
      <c r="L898" s="306"/>
      <c r="M898" s="306"/>
    </row>
    <row r="899" spans="12:13" ht="15.75" customHeight="1" x14ac:dyDescent="0.25">
      <c r="L899" s="306"/>
      <c r="M899" s="306"/>
    </row>
    <row r="900" spans="12:13" ht="15.75" customHeight="1" x14ac:dyDescent="0.25">
      <c r="L900" s="306"/>
      <c r="M900" s="306"/>
    </row>
    <row r="901" spans="12:13" ht="15.75" customHeight="1" x14ac:dyDescent="0.25">
      <c r="L901" s="306"/>
      <c r="M901" s="306"/>
    </row>
    <row r="902" spans="12:13" ht="15.75" customHeight="1" x14ac:dyDescent="0.25">
      <c r="L902" s="306"/>
      <c r="M902" s="306"/>
    </row>
    <row r="903" spans="12:13" ht="15.75" customHeight="1" x14ac:dyDescent="0.25">
      <c r="L903" s="306"/>
      <c r="M903" s="306"/>
    </row>
    <row r="904" spans="12:13" ht="15.75" customHeight="1" x14ac:dyDescent="0.25">
      <c r="L904" s="306"/>
      <c r="M904" s="306"/>
    </row>
    <row r="905" spans="12:13" ht="15.75" customHeight="1" x14ac:dyDescent="0.25">
      <c r="L905" s="306"/>
      <c r="M905" s="306"/>
    </row>
    <row r="906" spans="12:13" ht="15.75" customHeight="1" x14ac:dyDescent="0.25">
      <c r="L906" s="306"/>
      <c r="M906" s="306"/>
    </row>
    <row r="907" spans="12:13" ht="15.75" customHeight="1" x14ac:dyDescent="0.25">
      <c r="L907" s="306"/>
      <c r="M907" s="306"/>
    </row>
    <row r="908" spans="12:13" ht="15.75" customHeight="1" x14ac:dyDescent="0.25">
      <c r="L908" s="306"/>
      <c r="M908" s="306"/>
    </row>
    <row r="909" spans="12:13" ht="15.75" customHeight="1" x14ac:dyDescent="0.25">
      <c r="L909" s="306"/>
      <c r="M909" s="306"/>
    </row>
    <row r="910" spans="12:13" ht="15.75" customHeight="1" x14ac:dyDescent="0.25">
      <c r="L910" s="306"/>
      <c r="M910" s="306"/>
    </row>
    <row r="911" spans="12:13" ht="15.75" customHeight="1" x14ac:dyDescent="0.25">
      <c r="L911" s="306"/>
      <c r="M911" s="306"/>
    </row>
    <row r="912" spans="12:13" ht="15.75" customHeight="1" x14ac:dyDescent="0.25">
      <c r="L912" s="306"/>
      <c r="M912" s="306"/>
    </row>
    <row r="913" spans="12:13" ht="15.75" customHeight="1" x14ac:dyDescent="0.25">
      <c r="L913" s="306"/>
      <c r="M913" s="306"/>
    </row>
    <row r="914" spans="12:13" ht="15.75" customHeight="1" x14ac:dyDescent="0.25">
      <c r="L914" s="306"/>
      <c r="M914" s="306"/>
    </row>
    <row r="915" spans="12:13" ht="15.75" customHeight="1" x14ac:dyDescent="0.25">
      <c r="L915" s="306"/>
      <c r="M915" s="306"/>
    </row>
    <row r="916" spans="12:13" ht="15.75" customHeight="1" x14ac:dyDescent="0.25">
      <c r="L916" s="306"/>
      <c r="M916" s="306"/>
    </row>
    <row r="917" spans="12:13" ht="15.75" customHeight="1" x14ac:dyDescent="0.25">
      <c r="L917" s="306"/>
      <c r="M917" s="306"/>
    </row>
    <row r="918" spans="12:13" ht="15.75" customHeight="1" x14ac:dyDescent="0.25">
      <c r="L918" s="306"/>
      <c r="M918" s="306"/>
    </row>
    <row r="919" spans="12:13" ht="15.75" customHeight="1" x14ac:dyDescent="0.25">
      <c r="L919" s="306"/>
      <c r="M919" s="306"/>
    </row>
    <row r="920" spans="12:13" ht="15.75" customHeight="1" x14ac:dyDescent="0.25">
      <c r="L920" s="306"/>
      <c r="M920" s="306"/>
    </row>
    <row r="921" spans="12:13" ht="15.75" customHeight="1" x14ac:dyDescent="0.25">
      <c r="L921" s="306"/>
      <c r="M921" s="306"/>
    </row>
    <row r="922" spans="12:13" ht="15.75" customHeight="1" x14ac:dyDescent="0.25">
      <c r="L922" s="306"/>
      <c r="M922" s="306"/>
    </row>
    <row r="923" spans="12:13" ht="15.75" customHeight="1" x14ac:dyDescent="0.25">
      <c r="L923" s="306"/>
      <c r="M923" s="306"/>
    </row>
    <row r="924" spans="12:13" ht="15.75" customHeight="1" x14ac:dyDescent="0.25">
      <c r="L924" s="306"/>
      <c r="M924" s="306"/>
    </row>
    <row r="925" spans="12:13" ht="15.75" customHeight="1" x14ac:dyDescent="0.25">
      <c r="L925" s="306"/>
      <c r="M925" s="306"/>
    </row>
    <row r="926" spans="12:13" ht="15.75" customHeight="1" x14ac:dyDescent="0.25">
      <c r="L926" s="306"/>
      <c r="M926" s="306"/>
    </row>
    <row r="927" spans="12:13" ht="15.75" customHeight="1" x14ac:dyDescent="0.25">
      <c r="L927" s="306"/>
      <c r="M927" s="306"/>
    </row>
    <row r="928" spans="12:13" ht="15.75" customHeight="1" x14ac:dyDescent="0.25">
      <c r="L928" s="306"/>
      <c r="M928" s="306"/>
    </row>
    <row r="929" spans="12:13" ht="15.75" customHeight="1" x14ac:dyDescent="0.25">
      <c r="L929" s="306"/>
      <c r="M929" s="306"/>
    </row>
    <row r="930" spans="12:13" ht="15.75" customHeight="1" x14ac:dyDescent="0.25">
      <c r="L930" s="306"/>
      <c r="M930" s="306"/>
    </row>
    <row r="931" spans="12:13" ht="15.75" customHeight="1" x14ac:dyDescent="0.25">
      <c r="L931" s="306"/>
      <c r="M931" s="306"/>
    </row>
    <row r="932" spans="12:13" ht="15.75" customHeight="1" x14ac:dyDescent="0.25">
      <c r="L932" s="306"/>
      <c r="M932" s="306"/>
    </row>
    <row r="933" spans="12:13" ht="15.75" customHeight="1" x14ac:dyDescent="0.25">
      <c r="L933" s="306"/>
      <c r="M933" s="306"/>
    </row>
    <row r="934" spans="12:13" ht="15.75" customHeight="1" x14ac:dyDescent="0.25">
      <c r="L934" s="306"/>
      <c r="M934" s="306"/>
    </row>
    <row r="935" spans="12:13" ht="15.75" customHeight="1" x14ac:dyDescent="0.25">
      <c r="L935" s="306"/>
      <c r="M935" s="306"/>
    </row>
    <row r="936" spans="12:13" ht="15.75" customHeight="1" x14ac:dyDescent="0.25">
      <c r="L936" s="306"/>
      <c r="M936" s="306"/>
    </row>
    <row r="937" spans="12:13" ht="15.75" customHeight="1" x14ac:dyDescent="0.25">
      <c r="L937" s="306"/>
      <c r="M937" s="306"/>
    </row>
    <row r="938" spans="12:13" ht="15.75" customHeight="1" x14ac:dyDescent="0.25">
      <c r="L938" s="306"/>
      <c r="M938" s="306"/>
    </row>
    <row r="939" spans="12:13" ht="15.75" customHeight="1" x14ac:dyDescent="0.25">
      <c r="L939" s="306"/>
      <c r="M939" s="306"/>
    </row>
    <row r="940" spans="12:13" ht="15.75" customHeight="1" x14ac:dyDescent="0.25">
      <c r="L940" s="306"/>
      <c r="M940" s="306"/>
    </row>
    <row r="941" spans="12:13" ht="15.75" customHeight="1" x14ac:dyDescent="0.25">
      <c r="L941" s="306"/>
      <c r="M941" s="306"/>
    </row>
    <row r="942" spans="12:13" ht="15.75" customHeight="1" x14ac:dyDescent="0.25">
      <c r="L942" s="306"/>
      <c r="M942" s="306"/>
    </row>
    <row r="943" spans="12:13" ht="15.75" customHeight="1" x14ac:dyDescent="0.25">
      <c r="L943" s="306"/>
      <c r="M943" s="306"/>
    </row>
    <row r="944" spans="12:13" ht="15.75" customHeight="1" x14ac:dyDescent="0.25">
      <c r="L944" s="306"/>
      <c r="M944" s="306"/>
    </row>
    <row r="945" spans="12:13" ht="15.75" customHeight="1" x14ac:dyDescent="0.25">
      <c r="L945" s="306"/>
      <c r="M945" s="306"/>
    </row>
    <row r="946" spans="12:13" ht="15.75" customHeight="1" x14ac:dyDescent="0.25">
      <c r="L946" s="306"/>
      <c r="M946" s="306"/>
    </row>
    <row r="947" spans="12:13" ht="15.75" customHeight="1" x14ac:dyDescent="0.25">
      <c r="L947" s="306"/>
      <c r="M947" s="306"/>
    </row>
    <row r="948" spans="12:13" ht="15.75" customHeight="1" x14ac:dyDescent="0.25">
      <c r="L948" s="306"/>
      <c r="M948" s="306"/>
    </row>
    <row r="949" spans="12:13" ht="15.75" customHeight="1" x14ac:dyDescent="0.25">
      <c r="L949" s="306"/>
      <c r="M949" s="306"/>
    </row>
    <row r="950" spans="12:13" ht="15.75" customHeight="1" x14ac:dyDescent="0.25">
      <c r="L950" s="306"/>
      <c r="M950" s="306"/>
    </row>
    <row r="951" spans="12:13" ht="15.75" customHeight="1" x14ac:dyDescent="0.25">
      <c r="L951" s="306"/>
      <c r="M951" s="306"/>
    </row>
    <row r="952" spans="12:13" ht="15.75" customHeight="1" x14ac:dyDescent="0.25">
      <c r="L952" s="306"/>
      <c r="M952" s="306"/>
    </row>
    <row r="953" spans="12:13" ht="15.75" customHeight="1" x14ac:dyDescent="0.25">
      <c r="L953" s="306"/>
      <c r="M953" s="306"/>
    </row>
    <row r="954" spans="12:13" ht="15.75" customHeight="1" x14ac:dyDescent="0.25">
      <c r="L954" s="306"/>
      <c r="M954" s="306"/>
    </row>
    <row r="955" spans="12:13" ht="15.75" customHeight="1" x14ac:dyDescent="0.25">
      <c r="L955" s="306"/>
      <c r="M955" s="306"/>
    </row>
    <row r="956" spans="12:13" ht="15.75" customHeight="1" x14ac:dyDescent="0.25">
      <c r="L956" s="306"/>
      <c r="M956" s="306"/>
    </row>
    <row r="957" spans="12:13" ht="15.75" customHeight="1" x14ac:dyDescent="0.25">
      <c r="L957" s="306"/>
      <c r="M957" s="306"/>
    </row>
    <row r="958" spans="12:13" ht="15.75" customHeight="1" x14ac:dyDescent="0.25">
      <c r="L958" s="306"/>
      <c r="M958" s="306"/>
    </row>
    <row r="959" spans="12:13" ht="15.75" customHeight="1" x14ac:dyDescent="0.25">
      <c r="L959" s="306"/>
      <c r="M959" s="306"/>
    </row>
    <row r="960" spans="12:13" ht="15.75" customHeight="1" x14ac:dyDescent="0.25">
      <c r="L960" s="306"/>
      <c r="M960" s="306"/>
    </row>
    <row r="961" spans="12:13" ht="15.75" customHeight="1" x14ac:dyDescent="0.25">
      <c r="L961" s="306"/>
      <c r="M961" s="306"/>
    </row>
    <row r="962" spans="12:13" ht="15.75" customHeight="1" x14ac:dyDescent="0.25">
      <c r="L962" s="306"/>
      <c r="M962" s="306"/>
    </row>
    <row r="963" spans="12:13" ht="15.75" customHeight="1" x14ac:dyDescent="0.25">
      <c r="L963" s="306"/>
      <c r="M963" s="306"/>
    </row>
    <row r="964" spans="12:13" ht="15.75" customHeight="1" x14ac:dyDescent="0.25">
      <c r="L964" s="306"/>
      <c r="M964" s="306"/>
    </row>
    <row r="965" spans="12:13" ht="15.75" customHeight="1" x14ac:dyDescent="0.25">
      <c r="L965" s="306"/>
      <c r="M965" s="306"/>
    </row>
    <row r="966" spans="12:13" ht="15.75" customHeight="1" x14ac:dyDescent="0.25">
      <c r="L966" s="306"/>
      <c r="M966" s="306"/>
    </row>
    <row r="967" spans="12:13" ht="15.75" customHeight="1" x14ac:dyDescent="0.25">
      <c r="L967" s="306"/>
      <c r="M967" s="306"/>
    </row>
    <row r="968" spans="12:13" ht="15.75" customHeight="1" x14ac:dyDescent="0.25">
      <c r="L968" s="306"/>
      <c r="M968" s="306"/>
    </row>
    <row r="969" spans="12:13" ht="15.75" customHeight="1" x14ac:dyDescent="0.25">
      <c r="L969" s="306"/>
      <c r="M969" s="306"/>
    </row>
    <row r="970" spans="12:13" ht="15.75" customHeight="1" x14ac:dyDescent="0.25">
      <c r="L970" s="306"/>
      <c r="M970" s="306"/>
    </row>
    <row r="971" spans="12:13" ht="15.75" customHeight="1" x14ac:dyDescent="0.25">
      <c r="L971" s="306"/>
      <c r="M971" s="306"/>
    </row>
    <row r="972" spans="12:13" ht="15.75" customHeight="1" x14ac:dyDescent="0.25">
      <c r="L972" s="306"/>
      <c r="M972" s="306"/>
    </row>
    <row r="973" spans="12:13" ht="15.75" customHeight="1" x14ac:dyDescent="0.25">
      <c r="L973" s="306"/>
      <c r="M973" s="306"/>
    </row>
    <row r="974" spans="12:13" ht="15.75" customHeight="1" x14ac:dyDescent="0.25">
      <c r="L974" s="306"/>
      <c r="M974" s="306"/>
    </row>
    <row r="975" spans="12:13" ht="15.75" customHeight="1" x14ac:dyDescent="0.25">
      <c r="L975" s="306"/>
      <c r="M975" s="306"/>
    </row>
    <row r="976" spans="12:13" ht="15.75" customHeight="1" x14ac:dyDescent="0.25">
      <c r="L976" s="306"/>
      <c r="M976" s="306"/>
    </row>
    <row r="977" spans="12:13" ht="15.75" customHeight="1" x14ac:dyDescent="0.25">
      <c r="L977" s="306"/>
      <c r="M977" s="306"/>
    </row>
    <row r="978" spans="12:13" ht="15.75" customHeight="1" x14ac:dyDescent="0.25">
      <c r="L978" s="306"/>
      <c r="M978" s="306"/>
    </row>
    <row r="979" spans="12:13" ht="15.75" customHeight="1" x14ac:dyDescent="0.25">
      <c r="L979" s="306"/>
      <c r="M979" s="306"/>
    </row>
    <row r="980" spans="12:13" ht="15.75" customHeight="1" x14ac:dyDescent="0.25">
      <c r="L980" s="306"/>
      <c r="M980" s="306"/>
    </row>
    <row r="981" spans="12:13" ht="15.75" customHeight="1" x14ac:dyDescent="0.25">
      <c r="L981" s="306"/>
      <c r="M981" s="306"/>
    </row>
    <row r="982" spans="12:13" ht="15.75" customHeight="1" x14ac:dyDescent="0.25">
      <c r="L982" s="306"/>
      <c r="M982" s="306"/>
    </row>
    <row r="983" spans="12:13" ht="15.75" customHeight="1" x14ac:dyDescent="0.25">
      <c r="L983" s="306"/>
      <c r="M983" s="306"/>
    </row>
    <row r="984" spans="12:13" ht="15.75" customHeight="1" x14ac:dyDescent="0.25">
      <c r="L984" s="306"/>
      <c r="M984" s="306"/>
    </row>
    <row r="985" spans="12:13" ht="15.75" customHeight="1" x14ac:dyDescent="0.25">
      <c r="L985" s="306"/>
      <c r="M985" s="306"/>
    </row>
    <row r="986" spans="12:13" ht="15.75" customHeight="1" x14ac:dyDescent="0.25">
      <c r="L986" s="306"/>
      <c r="M986" s="306"/>
    </row>
    <row r="987" spans="12:13" ht="15.75" customHeight="1" x14ac:dyDescent="0.25">
      <c r="L987" s="306"/>
      <c r="M987" s="306"/>
    </row>
    <row r="988" spans="12:13" ht="15.75" customHeight="1" x14ac:dyDescent="0.25">
      <c r="L988" s="306"/>
      <c r="M988" s="306"/>
    </row>
    <row r="989" spans="12:13" ht="15.75" customHeight="1" x14ac:dyDescent="0.25">
      <c r="L989" s="306"/>
      <c r="M989" s="306"/>
    </row>
    <row r="990" spans="12:13" ht="15.75" customHeight="1" x14ac:dyDescent="0.25">
      <c r="L990" s="306"/>
      <c r="M990" s="306"/>
    </row>
    <row r="991" spans="12:13" ht="15.75" customHeight="1" x14ac:dyDescent="0.25">
      <c r="L991" s="306"/>
      <c r="M991" s="306"/>
    </row>
    <row r="992" spans="12:13" ht="15.75" customHeight="1" x14ac:dyDescent="0.25">
      <c r="L992" s="306"/>
      <c r="M992" s="306"/>
    </row>
    <row r="993" spans="12:13" ht="15.75" customHeight="1" x14ac:dyDescent="0.25">
      <c r="L993" s="306"/>
      <c r="M993" s="306"/>
    </row>
    <row r="994" spans="12:13" ht="15.75" customHeight="1" x14ac:dyDescent="0.25">
      <c r="L994" s="306"/>
      <c r="M994" s="306"/>
    </row>
    <row r="995" spans="12:13" ht="15.75" customHeight="1" x14ac:dyDescent="0.25">
      <c r="L995" s="306"/>
      <c r="M995" s="306"/>
    </row>
    <row r="996" spans="12:13" ht="15.75" customHeight="1" x14ac:dyDescent="0.25">
      <c r="L996" s="306"/>
      <c r="M996" s="306"/>
    </row>
    <row r="997" spans="12:13" ht="15.75" customHeight="1" x14ac:dyDescent="0.25">
      <c r="L997" s="306"/>
      <c r="M997" s="306"/>
    </row>
    <row r="998" spans="12:13" ht="15.75" customHeight="1" x14ac:dyDescent="0.25">
      <c r="L998" s="306"/>
      <c r="M998" s="306"/>
    </row>
    <row r="999" spans="12:13" ht="15.75" customHeight="1" x14ac:dyDescent="0.25">
      <c r="L999" s="306"/>
      <c r="M999" s="306"/>
    </row>
    <row r="1000" spans="12:13" ht="15.75" customHeight="1" x14ac:dyDescent="0.25">
      <c r="L1000" s="306"/>
      <c r="M1000" s="306"/>
    </row>
  </sheetData>
  <autoFilter ref="C38:K38" xr:uid="{00000000-0009-0000-0000-00000A000000}">
    <sortState xmlns:xlrd2="http://schemas.microsoft.com/office/spreadsheetml/2017/richdata2" ref="C38:K38">
      <sortCondition ref="C38"/>
    </sortState>
  </autoFilter>
  <mergeCells count="4">
    <mergeCell ref="N37:W37"/>
    <mergeCell ref="AE37:AN37"/>
    <mergeCell ref="N86:W86"/>
    <mergeCell ref="N115:W115"/>
  </mergeCells>
  <conditionalFormatting sqref="I39:I71">
    <cfRule type="containsText" dxfId="61" priority="1" operator="containsText" text="Oil and Gas">
      <formula>NOT(ISERROR(SEARCH(("Oil and Gas"),(I39))))</formula>
    </cfRule>
  </conditionalFormatting>
  <conditionalFormatting sqref="I39:I71">
    <cfRule type="containsText" dxfId="60" priority="2" operator="containsText" text="Oil">
      <formula>NOT(ISERROR(SEARCH(("Oil"),(I39))))</formula>
    </cfRule>
  </conditionalFormatting>
  <conditionalFormatting sqref="I39:I71">
    <cfRule type="containsText" dxfId="59" priority="3" operator="containsText" text="Gas">
      <formula>NOT(ISERROR(SEARCH(("Gas"),(I39))))</formula>
    </cfRule>
  </conditionalFormatting>
  <conditionalFormatting sqref="K6:K28">
    <cfRule type="containsBlanks" dxfId="58" priority="4">
      <formula>LEN(TRIM(K6))=0</formula>
    </cfRule>
  </conditionalFormatting>
  <conditionalFormatting sqref="AT6">
    <cfRule type="containsBlanks" dxfId="57" priority="5">
      <formula>LEN(TRIM(AT6))=0</formula>
    </cfRule>
  </conditionalFormatting>
  <conditionalFormatting sqref="K88:K107">
    <cfRule type="containsBlanks" dxfId="56" priority="6">
      <formula>LEN(TRIM(K88))=0</formula>
    </cfRule>
  </conditionalFormatting>
  <conditionalFormatting sqref="I72:I74">
    <cfRule type="containsText" dxfId="55" priority="7" operator="containsText" text="Oil and Gas">
      <formula>NOT(ISERROR(SEARCH(("Oil and Gas"),(I72))))</formula>
    </cfRule>
  </conditionalFormatting>
  <conditionalFormatting sqref="I72:I74">
    <cfRule type="containsText" dxfId="54" priority="8" operator="containsText" text="Oil">
      <formula>NOT(ISERROR(SEARCH(("Oil"),(I72))))</formula>
    </cfRule>
  </conditionalFormatting>
  <conditionalFormatting sqref="I72:I74">
    <cfRule type="containsText" dxfId="53" priority="9" operator="containsText" text="Gas">
      <formula>NOT(ISERROR(SEARCH(("Gas"),(I72))))</formula>
    </cfRule>
  </conditionalFormatting>
  <pageMargins left="0.7" right="0.7" top="0.75" bottom="0.75" header="0" footer="0"/>
  <pageSetup paperSize="9"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A1:DQ229"/>
  <sheetViews>
    <sheetView showGridLines="0" topLeftCell="C91" workbookViewId="0">
      <selection activeCell="P97" sqref="P97:P105"/>
    </sheetView>
  </sheetViews>
  <sheetFormatPr baseColWidth="10" defaultColWidth="14.42578125" defaultRowHeight="15" customHeight="1" x14ac:dyDescent="0.25"/>
  <cols>
    <col min="1" max="2" width="10.7109375" customWidth="1"/>
    <col min="3" max="3" width="26.5703125" customWidth="1"/>
    <col min="4" max="4" width="12" customWidth="1"/>
    <col min="5" max="8" width="10.7109375" customWidth="1"/>
    <col min="9" max="9" width="27.28515625" customWidth="1"/>
    <col min="10" max="10" width="30.5703125" customWidth="1"/>
    <col min="11" max="11" width="10.7109375" customWidth="1"/>
    <col min="12" max="12" width="7.140625" customWidth="1"/>
    <col min="13" max="13" width="16.85546875" customWidth="1"/>
    <col min="14" max="14" width="13.42578125" customWidth="1"/>
    <col min="15" max="15" width="10.7109375" customWidth="1"/>
    <col min="16" max="16" width="14.42578125" customWidth="1"/>
    <col min="17" max="17" width="10.7109375" customWidth="1"/>
    <col min="18" max="18" width="15.5703125" customWidth="1"/>
    <col min="19" max="19" width="10.7109375" customWidth="1"/>
    <col min="20" max="20" width="11.42578125" customWidth="1"/>
    <col min="21" max="24" width="10.7109375" customWidth="1"/>
    <col min="25" max="26" width="13.42578125" customWidth="1"/>
    <col min="27" max="27" width="10.7109375" customWidth="1"/>
    <col min="28" max="28" width="12.7109375" customWidth="1"/>
    <col min="29" max="29" width="11.85546875" customWidth="1"/>
    <col min="30" max="33" width="10.7109375" customWidth="1"/>
    <col min="34" max="35" width="7.7109375" customWidth="1"/>
    <col min="36" max="36" width="8.85546875" customWidth="1"/>
    <col min="37" max="47" width="7.7109375" customWidth="1"/>
    <col min="48" max="79" width="8.7109375" customWidth="1"/>
    <col min="80" max="80" width="7.7109375" customWidth="1"/>
    <col min="81" max="81" width="8.85546875" customWidth="1"/>
    <col min="82" max="92" width="7.7109375" customWidth="1"/>
    <col min="93" max="121" width="8.7109375" customWidth="1"/>
  </cols>
  <sheetData>
    <row r="1" spans="2:106" x14ac:dyDescent="0.25">
      <c r="CV1" s="1"/>
      <c r="CW1" s="1"/>
      <c r="CX1" s="1"/>
      <c r="CY1" s="1"/>
      <c r="CZ1" s="1"/>
      <c r="DA1" s="1"/>
      <c r="DB1" s="1"/>
    </row>
    <row r="2" spans="2:106" x14ac:dyDescent="0.25">
      <c r="CV2" s="1"/>
      <c r="CW2" s="1"/>
      <c r="CX2" s="1"/>
      <c r="CY2" s="1"/>
      <c r="CZ2" s="1"/>
      <c r="DA2" s="1"/>
      <c r="DB2" s="1"/>
    </row>
    <row r="3" spans="2:106" ht="18.75" x14ac:dyDescent="0.25">
      <c r="N3" s="14" t="s">
        <v>1376</v>
      </c>
      <c r="O3" s="14" t="s">
        <v>1376</v>
      </c>
      <c r="P3" s="14" t="s">
        <v>1376</v>
      </c>
      <c r="Q3" s="14" t="s">
        <v>1376</v>
      </c>
      <c r="R3" s="14" t="s">
        <v>1376</v>
      </c>
      <c r="S3" s="14" t="s">
        <v>1376</v>
      </c>
      <c r="T3" s="14" t="s">
        <v>1376</v>
      </c>
      <c r="U3" s="14" t="s">
        <v>1376</v>
      </c>
      <c r="V3" s="14" t="s">
        <v>1376</v>
      </c>
      <c r="W3" s="14" t="s">
        <v>1376</v>
      </c>
      <c r="X3" s="14" t="s">
        <v>1376</v>
      </c>
      <c r="Y3" s="14" t="s">
        <v>1377</v>
      </c>
      <c r="Z3" s="14" t="s">
        <v>1376</v>
      </c>
      <c r="AA3" s="1"/>
      <c r="AB3" s="856">
        <v>2019</v>
      </c>
      <c r="AC3" s="809"/>
      <c r="AD3" s="809"/>
      <c r="AE3" s="809"/>
      <c r="AF3" s="810"/>
      <c r="AG3" s="533"/>
      <c r="AH3" s="533"/>
      <c r="AI3" s="533"/>
      <c r="AJ3" s="533"/>
      <c r="AK3" s="533"/>
      <c r="AL3" s="533"/>
      <c r="AM3" s="533"/>
      <c r="AN3" s="533"/>
      <c r="CV3" s="1"/>
      <c r="CW3" s="1"/>
      <c r="CX3" s="1"/>
      <c r="CY3" s="1"/>
      <c r="CZ3" s="1"/>
      <c r="DA3" s="1"/>
      <c r="DB3" s="1"/>
    </row>
    <row r="4" spans="2:106" ht="37.5" x14ac:dyDescent="0.25">
      <c r="D4" s="14" t="s">
        <v>553</v>
      </c>
      <c r="E4" s="14" t="s">
        <v>554</v>
      </c>
      <c r="I4" s="428" t="s">
        <v>1204</v>
      </c>
      <c r="J4" s="428" t="s">
        <v>1205</v>
      </c>
      <c r="K4" s="428" t="s">
        <v>1206</v>
      </c>
      <c r="L4" s="429"/>
      <c r="M4" s="428" t="str">
        <f>+'5. ANH'!J12</f>
        <v>Type of Oil producing</v>
      </c>
      <c r="N4" s="430" t="s">
        <v>1378</v>
      </c>
      <c r="O4" s="430" t="s">
        <v>1379</v>
      </c>
      <c r="P4" s="430" t="s">
        <v>1380</v>
      </c>
      <c r="Q4" s="428" t="s">
        <v>1381</v>
      </c>
      <c r="R4" s="428" t="s">
        <v>1382</v>
      </c>
      <c r="S4" s="428" t="s">
        <v>1383</v>
      </c>
      <c r="T4" s="428" t="s">
        <v>1384</v>
      </c>
      <c r="U4" s="428" t="s">
        <v>1385</v>
      </c>
      <c r="V4" s="428" t="s">
        <v>1386</v>
      </c>
      <c r="W4" s="428" t="s">
        <v>1387</v>
      </c>
      <c r="X4" s="428" t="s">
        <v>1388</v>
      </c>
      <c r="Y4" s="428" t="s">
        <v>1389</v>
      </c>
      <c r="Z4" s="430" t="s">
        <v>1390</v>
      </c>
      <c r="AA4" s="1"/>
      <c r="AB4" s="426" t="s">
        <v>1391</v>
      </c>
      <c r="AC4" s="214" t="s">
        <v>1392</v>
      </c>
      <c r="AD4" s="426" t="s">
        <v>1393</v>
      </c>
      <c r="AE4" s="426" t="s">
        <v>1394</v>
      </c>
      <c r="AF4" s="426" t="s">
        <v>1395</v>
      </c>
      <c r="AI4" s="426"/>
      <c r="AJ4" s="426"/>
      <c r="AK4" s="426"/>
      <c r="AL4" s="534"/>
      <c r="AM4" s="534"/>
      <c r="AN4" s="534"/>
      <c r="CV4" s="1"/>
      <c r="CW4" s="1"/>
      <c r="CX4" s="1"/>
      <c r="CY4" s="1"/>
      <c r="CZ4" s="1"/>
      <c r="DA4" s="1"/>
      <c r="DB4" s="1"/>
    </row>
    <row r="5" spans="2:106" x14ac:dyDescent="0.25">
      <c r="D5" s="14"/>
      <c r="E5" s="14" t="s">
        <v>556</v>
      </c>
      <c r="I5" s="432" t="s">
        <v>1224</v>
      </c>
      <c r="J5" s="433" t="s">
        <v>1225</v>
      </c>
      <c r="K5" s="431" t="s">
        <v>1101</v>
      </c>
      <c r="L5" s="434" t="s">
        <v>7</v>
      </c>
      <c r="M5" s="434" t="str">
        <f>+'5. ANH'!J13</f>
        <v>Doesn't Apply</v>
      </c>
      <c r="N5" s="435">
        <f t="shared" ref="N5:N24" si="0">+SUM(R5:X5)-W5</f>
        <v>162.95282191780822</v>
      </c>
      <c r="O5" s="435">
        <f t="shared" ref="O5:O24" si="1">+S5+R5+U5+T5</f>
        <v>6.7568767123287659</v>
      </c>
      <c r="P5" s="435">
        <f t="shared" ref="P5:P24" si="2">+V5-W5+X5</f>
        <v>156.19594520547946</v>
      </c>
      <c r="Q5" s="436">
        <v>162.95279452054797</v>
      </c>
      <c r="R5" s="436">
        <v>0</v>
      </c>
      <c r="S5" s="436">
        <v>0</v>
      </c>
      <c r="T5" s="436">
        <v>6.5319452054794507</v>
      </c>
      <c r="U5" s="436">
        <v>0.22493150684931507</v>
      </c>
      <c r="V5" s="436">
        <v>13.287095890410958</v>
      </c>
      <c r="W5" s="436">
        <v>0</v>
      </c>
      <c r="X5" s="436">
        <v>142.90884931506849</v>
      </c>
      <c r="Y5" s="436">
        <v>0</v>
      </c>
      <c r="Z5" s="437">
        <f t="shared" ref="Z5:Z27" si="3">+N5-S5</f>
        <v>162.95282191780822</v>
      </c>
      <c r="AA5" s="386"/>
      <c r="AB5" s="386">
        <f t="shared" ref="AB5:AB27" si="4">+Y5+(P5*1000000/$D$22)</f>
        <v>26930.335380255081</v>
      </c>
      <c r="AC5" s="535">
        <f t="shared" ref="AC5:AC27" si="5">+Y5+(Z5*1000000/$D$22)</f>
        <v>28095.314123760039</v>
      </c>
      <c r="AD5" s="529">
        <v>26000</v>
      </c>
      <c r="AE5" s="322">
        <f t="shared" ref="AE5:AE27" si="6">+(AD5-AB5)/AB5</f>
        <v>-3.4546000527612773E-2</v>
      </c>
      <c r="AF5" s="322">
        <f t="shared" ref="AF5:AF27" si="7">+(AD5-AC5)/AC5</f>
        <v>-7.4578775468754938E-2</v>
      </c>
      <c r="AI5" s="386"/>
      <c r="AJ5" s="386"/>
      <c r="AK5" s="386"/>
      <c r="AL5" s="419"/>
      <c r="AM5" s="419"/>
      <c r="AN5" s="419"/>
      <c r="CV5" s="1"/>
      <c r="CW5" s="1"/>
      <c r="CX5" s="1"/>
      <c r="CY5" s="1"/>
      <c r="CZ5" s="1"/>
      <c r="DA5" s="1"/>
      <c r="DB5" s="1"/>
    </row>
    <row r="6" spans="2:106" x14ac:dyDescent="0.25">
      <c r="C6" s="12" t="s">
        <v>557</v>
      </c>
      <c r="D6" s="14" t="s">
        <v>561</v>
      </c>
      <c r="E6" s="14" t="s">
        <v>562</v>
      </c>
      <c r="I6" s="432" t="s">
        <v>1224</v>
      </c>
      <c r="J6" s="433" t="s">
        <v>1226</v>
      </c>
      <c r="K6" s="431" t="s">
        <v>1101</v>
      </c>
      <c r="L6" s="434" t="s">
        <v>7</v>
      </c>
      <c r="M6" s="434" t="str">
        <f>+'5. ANH'!J14</f>
        <v>Doesn't Apply</v>
      </c>
      <c r="N6" s="435">
        <f t="shared" si="0"/>
        <v>23.174410958904112</v>
      </c>
      <c r="O6" s="435">
        <f t="shared" si="1"/>
        <v>0.14397260273972604</v>
      </c>
      <c r="P6" s="435">
        <f t="shared" si="2"/>
        <v>23.030438356164385</v>
      </c>
      <c r="Q6" s="436">
        <v>23.174301369863016</v>
      </c>
      <c r="R6" s="436">
        <v>0</v>
      </c>
      <c r="S6" s="436">
        <v>0</v>
      </c>
      <c r="T6" s="436">
        <v>0.11695890410958903</v>
      </c>
      <c r="U6" s="436">
        <v>2.701369863013699E-2</v>
      </c>
      <c r="V6" s="436">
        <v>1.9608219178082194</v>
      </c>
      <c r="W6" s="436">
        <v>0</v>
      </c>
      <c r="X6" s="436">
        <v>21.069616438356167</v>
      </c>
      <c r="Y6" s="436">
        <v>0</v>
      </c>
      <c r="Z6" s="437">
        <f t="shared" si="3"/>
        <v>23.174410958904112</v>
      </c>
      <c r="AA6" s="1"/>
      <c r="AB6" s="386">
        <f t="shared" si="4"/>
        <v>3970.7652338214457</v>
      </c>
      <c r="AC6" s="205">
        <f t="shared" si="5"/>
        <v>3995.5880963627774</v>
      </c>
      <c r="AD6" s="529">
        <v>3750</v>
      </c>
      <c r="AE6" s="322">
        <f t="shared" si="6"/>
        <v>-5.5597654563168994E-2</v>
      </c>
      <c r="AF6" s="322">
        <f t="shared" si="7"/>
        <v>-6.1464818304554115E-2</v>
      </c>
      <c r="AI6" s="386"/>
      <c r="AJ6" s="386"/>
      <c r="AK6" s="386"/>
      <c r="AL6" s="419"/>
      <c r="AM6" s="419"/>
      <c r="AN6" s="419"/>
      <c r="CV6" s="1"/>
      <c r="CW6" s="1"/>
      <c r="CX6" s="1"/>
      <c r="CY6" s="1"/>
      <c r="CZ6" s="1"/>
      <c r="DA6" s="1"/>
      <c r="DB6" s="1"/>
    </row>
    <row r="7" spans="2:106" x14ac:dyDescent="0.25">
      <c r="B7" s="14" t="s">
        <v>7</v>
      </c>
      <c r="C7" s="111" t="s">
        <v>563</v>
      </c>
      <c r="D7" s="315">
        <v>1.0095573442026637</v>
      </c>
      <c r="E7" s="316">
        <v>55.539114956987063</v>
      </c>
      <c r="I7" s="432" t="s">
        <v>1228</v>
      </c>
      <c r="J7" s="433" t="s">
        <v>1229</v>
      </c>
      <c r="K7" s="431" t="s">
        <v>1101</v>
      </c>
      <c r="L7" s="434" t="s">
        <v>7</v>
      </c>
      <c r="M7" s="434" t="str">
        <f>+'5. ANH'!J15</f>
        <v>Doesn't Apply</v>
      </c>
      <c r="N7" s="435">
        <f t="shared" si="0"/>
        <v>35.569315068493154</v>
      </c>
      <c r="O7" s="435">
        <f t="shared" si="1"/>
        <v>0</v>
      </c>
      <c r="P7" s="435">
        <f t="shared" si="2"/>
        <v>31.996931506849318</v>
      </c>
      <c r="Q7" s="436">
        <v>35.569315068493154</v>
      </c>
      <c r="R7" s="436">
        <v>0</v>
      </c>
      <c r="S7" s="436">
        <v>0</v>
      </c>
      <c r="T7" s="436">
        <v>0</v>
      </c>
      <c r="U7" s="436">
        <v>0</v>
      </c>
      <c r="V7" s="436">
        <v>35.569315068493154</v>
      </c>
      <c r="W7" s="436">
        <v>3.5723835616438366</v>
      </c>
      <c r="X7" s="436">
        <v>0</v>
      </c>
      <c r="Y7" s="436">
        <v>0</v>
      </c>
      <c r="Z7" s="437">
        <f t="shared" si="3"/>
        <v>35.569315068493154</v>
      </c>
      <c r="AA7" s="1"/>
      <c r="AB7" s="386">
        <f t="shared" si="4"/>
        <v>5516.7123287671238</v>
      </c>
      <c r="AC7" s="205">
        <f t="shared" si="5"/>
        <v>6132.6405290505427</v>
      </c>
      <c r="AD7" s="529">
        <v>5700</v>
      </c>
      <c r="AE7" s="322">
        <f t="shared" si="6"/>
        <v>3.3224076281287145E-2</v>
      </c>
      <c r="AF7" s="322">
        <f t="shared" si="7"/>
        <v>-7.0547185506978388E-2</v>
      </c>
      <c r="AI7" s="386"/>
      <c r="AJ7" s="386"/>
      <c r="AK7" s="386"/>
      <c r="AL7" s="419"/>
      <c r="AM7" s="419"/>
      <c r="AN7" s="419"/>
      <c r="CV7" s="1"/>
      <c r="CW7" s="1"/>
      <c r="CX7" s="1"/>
      <c r="CY7" s="1"/>
      <c r="CZ7" s="1"/>
      <c r="DA7" s="1"/>
      <c r="DB7" s="1"/>
    </row>
    <row r="8" spans="2:106" x14ac:dyDescent="0.25">
      <c r="B8" s="14" t="s">
        <v>13</v>
      </c>
      <c r="C8" s="111" t="s">
        <v>566</v>
      </c>
      <c r="D8" s="315">
        <v>6.0871741676095334</v>
      </c>
      <c r="E8" s="316">
        <v>77.841777688967127</v>
      </c>
      <c r="I8" s="432" t="s">
        <v>1228</v>
      </c>
      <c r="J8" s="433" t="s">
        <v>1231</v>
      </c>
      <c r="K8" s="431">
        <v>48</v>
      </c>
      <c r="L8" s="434"/>
      <c r="M8" s="434" t="str">
        <f>+'5. ANH'!J16</f>
        <v>Light Oil</v>
      </c>
      <c r="N8" s="435">
        <f t="shared" si="0"/>
        <v>649.48632876712327</v>
      </c>
      <c r="O8" s="435">
        <f t="shared" si="1"/>
        <v>436.89753424657533</v>
      </c>
      <c r="P8" s="435">
        <f t="shared" si="2"/>
        <v>204.32512328767126</v>
      </c>
      <c r="Q8" s="436">
        <v>649.4862739726027</v>
      </c>
      <c r="R8" s="436">
        <v>0</v>
      </c>
      <c r="S8" s="436">
        <v>396.38389041095888</v>
      </c>
      <c r="T8" s="436">
        <v>38.275260273972606</v>
      </c>
      <c r="U8" s="436">
        <v>2.2383835616438361</v>
      </c>
      <c r="V8" s="436">
        <v>16.510794520547947</v>
      </c>
      <c r="W8" s="436">
        <v>8.2636712328767121</v>
      </c>
      <c r="X8" s="436">
        <v>196.07800000000003</v>
      </c>
      <c r="Y8" s="436">
        <v>10231.853999999999</v>
      </c>
      <c r="Z8" s="437">
        <f t="shared" si="3"/>
        <v>253.10243835616438</v>
      </c>
      <c r="AA8" s="1"/>
      <c r="AB8" s="386">
        <f t="shared" si="4"/>
        <v>45460.323532357113</v>
      </c>
      <c r="AC8" s="205">
        <f t="shared" si="5"/>
        <v>53870.205440717997</v>
      </c>
      <c r="AD8" s="529">
        <v>50400</v>
      </c>
      <c r="AE8" s="536">
        <f t="shared" si="6"/>
        <v>0.1086590697958186</v>
      </c>
      <c r="AF8" s="322">
        <f t="shared" si="7"/>
        <v>-6.4417898768491216E-2</v>
      </c>
      <c r="AI8" s="386"/>
      <c r="AJ8" s="386"/>
      <c r="AK8" s="386"/>
      <c r="AL8" s="419"/>
      <c r="AM8" s="419"/>
      <c r="AN8" s="419"/>
      <c r="CV8" s="1"/>
      <c r="CW8" s="1"/>
      <c r="CX8" s="1"/>
      <c r="CY8" s="1"/>
      <c r="CZ8" s="1"/>
      <c r="DA8" s="1"/>
      <c r="DB8" s="1"/>
    </row>
    <row r="9" spans="2:106" x14ac:dyDescent="0.25">
      <c r="B9" s="14" t="s">
        <v>17</v>
      </c>
      <c r="C9" s="116" t="s">
        <v>569</v>
      </c>
      <c r="D9" s="222">
        <v>6.0871741676095334</v>
      </c>
      <c r="E9" s="317">
        <v>77.841777688967127</v>
      </c>
      <c r="I9" s="432" t="s">
        <v>1228</v>
      </c>
      <c r="J9" s="433" t="s">
        <v>1233</v>
      </c>
      <c r="K9" s="431">
        <v>52</v>
      </c>
      <c r="L9" s="434"/>
      <c r="M9" s="434" t="str">
        <f>+'5. ANH'!J17</f>
        <v>Light Oil</v>
      </c>
      <c r="N9" s="435">
        <f t="shared" si="0"/>
        <v>277.3735890410959</v>
      </c>
      <c r="O9" s="435">
        <f t="shared" si="1"/>
        <v>82.001808219178074</v>
      </c>
      <c r="P9" s="435">
        <f t="shared" si="2"/>
        <v>165.01969863013699</v>
      </c>
      <c r="Q9" s="436">
        <v>277.37400000000002</v>
      </c>
      <c r="R9" s="436">
        <v>0</v>
      </c>
      <c r="S9" s="436">
        <v>50.500383561643829</v>
      </c>
      <c r="T9" s="436">
        <v>30.359369863013697</v>
      </c>
      <c r="U9" s="436">
        <v>1.1420547945205479</v>
      </c>
      <c r="V9" s="436">
        <v>30.377342465753429</v>
      </c>
      <c r="W9" s="436">
        <v>30.352082191780823</v>
      </c>
      <c r="X9" s="436">
        <v>164.99443835616438</v>
      </c>
      <c r="Y9" s="436">
        <v>3182.6220821917809</v>
      </c>
      <c r="Z9" s="437">
        <f t="shared" si="3"/>
        <v>226.87320547945205</v>
      </c>
      <c r="AA9" s="1"/>
      <c r="AB9" s="386">
        <f t="shared" si="4"/>
        <v>31634.294259801609</v>
      </c>
      <c r="AC9" s="205">
        <f t="shared" si="5"/>
        <v>42298.691992442131</v>
      </c>
      <c r="AD9" s="529">
        <v>33000</v>
      </c>
      <c r="AE9" s="322">
        <f t="shared" si="6"/>
        <v>4.3171683521127997E-2</v>
      </c>
      <c r="AF9" s="536">
        <f t="shared" si="7"/>
        <v>-0.21983403160796575</v>
      </c>
      <c r="AI9" s="386"/>
      <c r="AJ9" s="386"/>
      <c r="AK9" s="386"/>
      <c r="AL9" s="419"/>
      <c r="AM9" s="419"/>
      <c r="AN9" s="419"/>
      <c r="CV9" s="1"/>
      <c r="CW9" s="1"/>
      <c r="CX9" s="1"/>
      <c r="CY9" s="1"/>
      <c r="CZ9" s="1"/>
      <c r="DA9" s="1"/>
      <c r="DB9" s="1"/>
    </row>
    <row r="10" spans="2:106" x14ac:dyDescent="0.25">
      <c r="B10" s="14" t="s">
        <v>21</v>
      </c>
      <c r="C10" s="117" t="s">
        <v>571</v>
      </c>
      <c r="D10" s="318">
        <v>6.0871741676095334</v>
      </c>
      <c r="E10" s="319">
        <v>77.841777688967127</v>
      </c>
      <c r="I10" s="432" t="s">
        <v>1228</v>
      </c>
      <c r="J10" s="433" t="s">
        <v>1235</v>
      </c>
      <c r="K10" s="431">
        <v>46</v>
      </c>
      <c r="L10" s="434"/>
      <c r="M10" s="434" t="str">
        <f>+'5. ANH'!J18</f>
        <v>Light Oil</v>
      </c>
      <c r="N10" s="435">
        <f t="shared" si="0"/>
        <v>435.40112328767128</v>
      </c>
      <c r="O10" s="435">
        <f t="shared" si="1"/>
        <v>235.53923287671233</v>
      </c>
      <c r="P10" s="435">
        <f t="shared" si="2"/>
        <v>199.86189041095895</v>
      </c>
      <c r="Q10" s="436">
        <v>435.4008767123288</v>
      </c>
      <c r="R10" s="436">
        <v>0</v>
      </c>
      <c r="S10" s="436">
        <v>225.24104109589044</v>
      </c>
      <c r="T10" s="436">
        <v>9.0779452054794518</v>
      </c>
      <c r="U10" s="436">
        <v>1.2202465753424658</v>
      </c>
      <c r="V10" s="436">
        <v>142.09446575342469</v>
      </c>
      <c r="W10" s="436">
        <v>0</v>
      </c>
      <c r="X10" s="436">
        <v>57.767424657534249</v>
      </c>
      <c r="Y10" s="436">
        <v>27008.407917808221</v>
      </c>
      <c r="Z10" s="437">
        <f t="shared" si="3"/>
        <v>210.16008219178084</v>
      </c>
      <c r="AA10" s="1"/>
      <c r="AB10" s="386">
        <f t="shared" si="4"/>
        <v>61467.354540387343</v>
      </c>
      <c r="AC10" s="205">
        <f t="shared" si="5"/>
        <v>63242.904847425612</v>
      </c>
      <c r="AD10" s="529">
        <v>59550</v>
      </c>
      <c r="AE10" s="322">
        <f t="shared" si="6"/>
        <v>-3.1193054503875526E-2</v>
      </c>
      <c r="AF10" s="322">
        <f t="shared" si="7"/>
        <v>-5.8392397634719602E-2</v>
      </c>
      <c r="AI10" s="386"/>
      <c r="AJ10" s="386"/>
      <c r="AK10" s="386"/>
      <c r="AL10" s="419"/>
      <c r="AM10" s="419"/>
      <c r="AN10" s="419"/>
      <c r="CV10" s="1"/>
      <c r="CW10" s="1"/>
      <c r="CX10" s="1"/>
      <c r="CY10" s="1"/>
      <c r="CZ10" s="1"/>
      <c r="DA10" s="1"/>
      <c r="DB10" s="1"/>
    </row>
    <row r="11" spans="2:106" x14ac:dyDescent="0.25">
      <c r="B11" s="14" t="s">
        <v>8</v>
      </c>
      <c r="C11" s="111" t="s">
        <v>573</v>
      </c>
      <c r="D11" s="315">
        <v>5.3308987344700309</v>
      </c>
      <c r="E11" s="316">
        <v>69.193827140333724</v>
      </c>
      <c r="I11" s="432" t="s">
        <v>1228</v>
      </c>
      <c r="J11" s="433" t="s">
        <v>1236</v>
      </c>
      <c r="K11" s="431">
        <f>44+((47-44)/2)</f>
        <v>45.5</v>
      </c>
      <c r="L11" s="434"/>
      <c r="M11" s="434" t="str">
        <f>+'5. ANH'!J19</f>
        <v>Light Oil</v>
      </c>
      <c r="N11" s="435">
        <f t="shared" si="0"/>
        <v>166.60876712328769</v>
      </c>
      <c r="O11" s="435">
        <f t="shared" si="1"/>
        <v>166.60876712328769</v>
      </c>
      <c r="P11" s="435">
        <f t="shared" si="2"/>
        <v>0</v>
      </c>
      <c r="Q11" s="436">
        <v>166.60868493150684</v>
      </c>
      <c r="R11" s="436">
        <v>0</v>
      </c>
      <c r="S11" s="436">
        <v>161.80676712328767</v>
      </c>
      <c r="T11" s="436">
        <v>0.54767123287671238</v>
      </c>
      <c r="U11" s="436">
        <v>4.2543287671232868</v>
      </c>
      <c r="V11" s="436">
        <v>0</v>
      </c>
      <c r="W11" s="436">
        <v>0</v>
      </c>
      <c r="X11" s="436">
        <v>0</v>
      </c>
      <c r="Y11" s="436">
        <v>8010.0189863013702</v>
      </c>
      <c r="Z11" s="437">
        <f t="shared" si="3"/>
        <v>4.8020000000000209</v>
      </c>
      <c r="AA11" s="1"/>
      <c r="AB11" s="386">
        <f t="shared" si="4"/>
        <v>8010.0189863013702</v>
      </c>
      <c r="AC11" s="205">
        <f t="shared" si="5"/>
        <v>8837.950020784132</v>
      </c>
      <c r="AD11" s="529">
        <v>8450</v>
      </c>
      <c r="AE11" s="322">
        <f t="shared" si="6"/>
        <v>5.4928835306268256E-2</v>
      </c>
      <c r="AF11" s="322">
        <f t="shared" si="7"/>
        <v>-4.389592833991969E-2</v>
      </c>
      <c r="AI11" s="386"/>
      <c r="AJ11" s="386"/>
      <c r="AK11" s="386"/>
      <c r="AL11" s="419"/>
      <c r="AM11" s="419"/>
      <c r="AN11" s="419"/>
      <c r="CV11" s="1"/>
      <c r="CW11" s="1"/>
      <c r="CX11" s="1"/>
      <c r="CY11" s="1"/>
      <c r="CZ11" s="1"/>
      <c r="DA11" s="1"/>
      <c r="DB11" s="1"/>
    </row>
    <row r="12" spans="2:106" x14ac:dyDescent="0.25">
      <c r="B12" s="14" t="s">
        <v>14</v>
      </c>
      <c r="C12" s="116" t="s">
        <v>576</v>
      </c>
      <c r="D12" s="222">
        <v>5.6708498400612823</v>
      </c>
      <c r="E12" s="317">
        <v>75.166375708662926</v>
      </c>
      <c r="I12" s="432" t="s">
        <v>1228</v>
      </c>
      <c r="J12" s="433" t="s">
        <v>1238</v>
      </c>
      <c r="K12" s="431">
        <f>11.3+(14.4-11.3)/2</f>
        <v>12.850000000000001</v>
      </c>
      <c r="L12" s="434"/>
      <c r="M12" s="434" t="str">
        <f>+'5. ANH'!J20</f>
        <v>Heavy Oil</v>
      </c>
      <c r="N12" s="435">
        <f t="shared" si="0"/>
        <v>0</v>
      </c>
      <c r="O12" s="435">
        <f t="shared" si="1"/>
        <v>0</v>
      </c>
      <c r="P12" s="435">
        <f t="shared" si="2"/>
        <v>0</v>
      </c>
      <c r="Q12" s="436">
        <v>0</v>
      </c>
      <c r="R12" s="436">
        <v>0</v>
      </c>
      <c r="S12" s="436">
        <v>0</v>
      </c>
      <c r="T12" s="436">
        <v>0</v>
      </c>
      <c r="U12" s="436">
        <v>0</v>
      </c>
      <c r="V12" s="436">
        <v>0</v>
      </c>
      <c r="W12" s="436">
        <v>0</v>
      </c>
      <c r="X12" s="436">
        <v>0</v>
      </c>
      <c r="Y12" s="436">
        <v>119308.68268493151</v>
      </c>
      <c r="Z12" s="437">
        <f t="shared" si="3"/>
        <v>0</v>
      </c>
      <c r="AA12" s="1"/>
      <c r="AB12" s="386">
        <f t="shared" si="4"/>
        <v>119308.68268493151</v>
      </c>
      <c r="AC12" s="205">
        <f t="shared" si="5"/>
        <v>119308.68268493151</v>
      </c>
      <c r="AD12" s="529">
        <v>112500</v>
      </c>
      <c r="AE12" s="322">
        <f t="shared" si="6"/>
        <v>-5.706778862785513E-2</v>
      </c>
      <c r="AF12" s="322">
        <f t="shared" si="7"/>
        <v>-5.706778862785513E-2</v>
      </c>
      <c r="AI12" s="386"/>
      <c r="AJ12" s="386"/>
      <c r="AK12" s="386"/>
      <c r="AL12" s="419"/>
      <c r="AM12" s="419"/>
      <c r="AN12" s="419"/>
      <c r="CV12" s="1"/>
      <c r="CW12" s="1"/>
      <c r="CX12" s="1"/>
      <c r="CY12" s="1"/>
      <c r="CZ12" s="1"/>
      <c r="DA12" s="1"/>
      <c r="DB12" s="1"/>
    </row>
    <row r="13" spans="2:106" x14ac:dyDescent="0.25">
      <c r="B13" s="14" t="s">
        <v>18</v>
      </c>
      <c r="C13" s="117" t="s">
        <v>65</v>
      </c>
      <c r="D13" s="318">
        <v>4.7117947967516214</v>
      </c>
      <c r="E13" s="319">
        <v>87.735056011523966</v>
      </c>
      <c r="I13" s="432" t="s">
        <v>1228</v>
      </c>
      <c r="J13" s="433" t="s">
        <v>1240</v>
      </c>
      <c r="K13" s="431">
        <v>13.7</v>
      </c>
      <c r="L13" s="434"/>
      <c r="M13" s="434" t="str">
        <f>+'5. ANH'!J21</f>
        <v>Heavy Oil</v>
      </c>
      <c r="N13" s="435">
        <f t="shared" si="0"/>
        <v>0</v>
      </c>
      <c r="O13" s="435">
        <f t="shared" si="1"/>
        <v>0</v>
      </c>
      <c r="P13" s="435">
        <f t="shared" si="2"/>
        <v>0</v>
      </c>
      <c r="Q13" s="436">
        <v>0</v>
      </c>
      <c r="R13" s="436">
        <v>0</v>
      </c>
      <c r="S13" s="436">
        <v>0</v>
      </c>
      <c r="T13" s="436">
        <v>0</v>
      </c>
      <c r="U13" s="436">
        <v>0</v>
      </c>
      <c r="V13" s="436">
        <v>0</v>
      </c>
      <c r="W13" s="436">
        <v>0</v>
      </c>
      <c r="X13" s="436">
        <v>0</v>
      </c>
      <c r="Y13" s="436">
        <v>114056.06200000001</v>
      </c>
      <c r="Z13" s="437">
        <f t="shared" si="3"/>
        <v>0</v>
      </c>
      <c r="AA13" s="1"/>
      <c r="AB13" s="386">
        <f t="shared" si="4"/>
        <v>114056.06200000001</v>
      </c>
      <c r="AC13" s="205">
        <f t="shared" si="5"/>
        <v>114056.06200000001</v>
      </c>
      <c r="AD13" s="529">
        <v>112200</v>
      </c>
      <c r="AE13" s="322">
        <f t="shared" si="6"/>
        <v>-1.6273242889974629E-2</v>
      </c>
      <c r="AF13" s="322">
        <f t="shared" si="7"/>
        <v>-1.6273242889974629E-2</v>
      </c>
      <c r="AI13" s="386"/>
      <c r="AJ13" s="386"/>
      <c r="AK13" s="386"/>
      <c r="AL13" s="419"/>
      <c r="AM13" s="419"/>
      <c r="AN13" s="419"/>
      <c r="CV13" s="1"/>
      <c r="CW13" s="1"/>
      <c r="CX13" s="1"/>
      <c r="CY13" s="1"/>
      <c r="CZ13" s="1"/>
      <c r="DA13" s="1"/>
      <c r="DB13" s="1"/>
    </row>
    <row r="14" spans="2:106" x14ac:dyDescent="0.25">
      <c r="B14" s="14" t="s">
        <v>22</v>
      </c>
      <c r="C14" s="111" t="s">
        <v>581</v>
      </c>
      <c r="D14" s="315">
        <v>4.0562660463586173</v>
      </c>
      <c r="E14" s="316">
        <v>47.28933824683137</v>
      </c>
      <c r="I14" s="432" t="s">
        <v>1228</v>
      </c>
      <c r="J14" s="433" t="s">
        <v>1242</v>
      </c>
      <c r="K14" s="431">
        <f>7+(20-7)/2</f>
        <v>13.5</v>
      </c>
      <c r="L14" s="434"/>
      <c r="M14" s="434" t="str">
        <f>+'5. ANH'!J22</f>
        <v>Heavy Oil</v>
      </c>
      <c r="N14" s="435">
        <f t="shared" si="0"/>
        <v>3.793589041095891</v>
      </c>
      <c r="O14" s="435">
        <f t="shared" si="1"/>
        <v>3.793589041095891</v>
      </c>
      <c r="P14" s="435">
        <f t="shared" si="2"/>
        <v>0</v>
      </c>
      <c r="Q14" s="436">
        <v>3.7935616438356163</v>
      </c>
      <c r="R14" s="436">
        <v>0</v>
      </c>
      <c r="S14" s="436">
        <v>0</v>
      </c>
      <c r="T14" s="436">
        <v>0.87139726027397268</v>
      </c>
      <c r="U14" s="436">
        <v>2.9221917808219184</v>
      </c>
      <c r="V14" s="436">
        <v>0</v>
      </c>
      <c r="W14" s="436">
        <v>0</v>
      </c>
      <c r="X14" s="436">
        <v>0</v>
      </c>
      <c r="Y14" s="436">
        <v>69090.784575342463</v>
      </c>
      <c r="Z14" s="437">
        <f t="shared" si="3"/>
        <v>3.793589041095891</v>
      </c>
      <c r="AA14" s="1"/>
      <c r="AB14" s="386">
        <f t="shared" si="4"/>
        <v>69090.784575342463</v>
      </c>
      <c r="AC14" s="205">
        <f t="shared" si="5"/>
        <v>69744.851651393474</v>
      </c>
      <c r="AD14" s="529">
        <v>69000</v>
      </c>
      <c r="AE14" s="322">
        <f t="shared" si="6"/>
        <v>-1.3139896427643461E-3</v>
      </c>
      <c r="AF14" s="322">
        <f t="shared" si="7"/>
        <v>-1.06796650040418E-2</v>
      </c>
      <c r="AI14" s="386"/>
      <c r="AJ14" s="386"/>
      <c r="AK14" s="386"/>
      <c r="AL14" s="419"/>
      <c r="AM14" s="419"/>
      <c r="AN14" s="419"/>
      <c r="CV14" s="1"/>
      <c r="CW14" s="1"/>
      <c r="CX14" s="1"/>
      <c r="CY14" s="1"/>
      <c r="CZ14" s="1"/>
      <c r="DA14" s="1"/>
      <c r="DB14" s="1"/>
    </row>
    <row r="15" spans="2:106" x14ac:dyDescent="0.25">
      <c r="B15" s="14" t="s">
        <v>26</v>
      </c>
      <c r="C15" s="116" t="s">
        <v>586</v>
      </c>
      <c r="D15" s="222">
        <v>5.4608206169323079</v>
      </c>
      <c r="E15" s="317">
        <v>78.281203343664757</v>
      </c>
      <c r="I15" s="432" t="s">
        <v>1228</v>
      </c>
      <c r="J15" s="433" t="s">
        <v>1243</v>
      </c>
      <c r="K15" s="431">
        <v>8</v>
      </c>
      <c r="L15" s="434"/>
      <c r="M15" s="434" t="str">
        <f>+'5. ANH'!J23</f>
        <v>Heavy Oil</v>
      </c>
      <c r="N15" s="435">
        <f t="shared" si="0"/>
        <v>0.58205479452054798</v>
      </c>
      <c r="O15" s="435">
        <f t="shared" si="1"/>
        <v>0.58205479452054798</v>
      </c>
      <c r="P15" s="435">
        <f t="shared" si="2"/>
        <v>0</v>
      </c>
      <c r="Q15" s="436">
        <v>0.58205479452054798</v>
      </c>
      <c r="R15" s="436">
        <v>0</v>
      </c>
      <c r="S15" s="436">
        <v>0</v>
      </c>
      <c r="T15" s="436">
        <v>0</v>
      </c>
      <c r="U15" s="436">
        <v>0.58205479452054798</v>
      </c>
      <c r="V15" s="436">
        <v>0</v>
      </c>
      <c r="W15" s="436">
        <v>0</v>
      </c>
      <c r="X15" s="436">
        <v>0</v>
      </c>
      <c r="Y15" s="436">
        <v>19756.607616438356</v>
      </c>
      <c r="Z15" s="437">
        <f t="shared" si="3"/>
        <v>0.58205479452054798</v>
      </c>
      <c r="AA15" s="1"/>
      <c r="AB15" s="386">
        <f t="shared" si="4"/>
        <v>19756.607616438356</v>
      </c>
      <c r="AC15" s="205">
        <f t="shared" si="5"/>
        <v>19856.961891355691</v>
      </c>
      <c r="AD15" s="529">
        <v>19000</v>
      </c>
      <c r="AE15" s="322">
        <f t="shared" si="6"/>
        <v>-3.8296433837600001E-2</v>
      </c>
      <c r="AF15" s="322">
        <f t="shared" si="7"/>
        <v>-4.3156747544988328E-2</v>
      </c>
      <c r="AI15" s="386"/>
      <c r="AJ15" s="386"/>
      <c r="AK15" s="386"/>
      <c r="AL15" s="419"/>
      <c r="AM15" s="419"/>
      <c r="AN15" s="419"/>
      <c r="CV15" s="1"/>
      <c r="CW15" s="1"/>
      <c r="CX15" s="1"/>
      <c r="CY15" s="1"/>
      <c r="CZ15" s="1"/>
      <c r="DA15" s="1"/>
      <c r="DB15" s="1"/>
    </row>
    <row r="16" spans="2:106" x14ac:dyDescent="0.25">
      <c r="B16" s="14" t="s">
        <v>102</v>
      </c>
      <c r="C16" s="116" t="s">
        <v>604</v>
      </c>
      <c r="D16" s="222">
        <v>4.7615165047769556</v>
      </c>
      <c r="E16" s="317">
        <v>56.337812381502502</v>
      </c>
      <c r="I16" s="432" t="s">
        <v>1228</v>
      </c>
      <c r="J16" s="433" t="s">
        <v>1245</v>
      </c>
      <c r="K16" s="431">
        <v>13.5</v>
      </c>
      <c r="L16" s="434"/>
      <c r="M16" s="434" t="str">
        <f>+'5. ANH'!J24</f>
        <v>Heavy Oil</v>
      </c>
      <c r="N16" s="435">
        <f t="shared" si="0"/>
        <v>1.1906575342465753</v>
      </c>
      <c r="O16" s="435">
        <f t="shared" si="1"/>
        <v>1.5506849315068495E-2</v>
      </c>
      <c r="P16" s="435">
        <f t="shared" si="2"/>
        <v>0.64550684931506841</v>
      </c>
      <c r="Q16" s="436">
        <v>1.1908493150684931</v>
      </c>
      <c r="R16" s="436">
        <v>0</v>
      </c>
      <c r="S16" s="436">
        <v>0</v>
      </c>
      <c r="T16" s="436">
        <v>1.5506849315068495E-2</v>
      </c>
      <c r="U16" s="436">
        <v>0</v>
      </c>
      <c r="V16" s="436">
        <v>1.1751506849315068</v>
      </c>
      <c r="W16" s="436">
        <v>0.52964383561643835</v>
      </c>
      <c r="X16" s="436">
        <v>0</v>
      </c>
      <c r="Y16" s="436">
        <v>3941.1335068493149</v>
      </c>
      <c r="Z16" s="437">
        <f t="shared" si="3"/>
        <v>1.1906575342465753</v>
      </c>
      <c r="AA16" s="1"/>
      <c r="AB16" s="386">
        <f t="shared" si="4"/>
        <v>4052.4277912139819</v>
      </c>
      <c r="AC16" s="205">
        <f t="shared" si="5"/>
        <v>4146.4192886159663</v>
      </c>
      <c r="AD16" s="529">
        <v>4210</v>
      </c>
      <c r="AE16" s="322">
        <f t="shared" si="6"/>
        <v>3.8883409379347471E-2</v>
      </c>
      <c r="AF16" s="322">
        <f t="shared" si="7"/>
        <v>1.5333883758112741E-2</v>
      </c>
      <c r="AI16" s="386"/>
      <c r="AJ16" s="386"/>
      <c r="AK16" s="386"/>
      <c r="AL16" s="419"/>
      <c r="AM16" s="419"/>
      <c r="AN16" s="419"/>
      <c r="CV16" s="1"/>
      <c r="CW16" s="1"/>
      <c r="CX16" s="1"/>
      <c r="CY16" s="1"/>
      <c r="CZ16" s="1"/>
      <c r="DA16" s="1"/>
      <c r="DB16" s="1"/>
    </row>
    <row r="17" spans="2:106" x14ac:dyDescent="0.25">
      <c r="B17" s="14" t="s">
        <v>107</v>
      </c>
      <c r="C17" s="117" t="s">
        <v>108</v>
      </c>
      <c r="D17" s="318">
        <v>4.1867999999999999</v>
      </c>
      <c r="E17" s="319">
        <v>40.784041574326501</v>
      </c>
      <c r="I17" s="432" t="s">
        <v>1247</v>
      </c>
      <c r="J17" s="433" t="s">
        <v>1246</v>
      </c>
      <c r="K17" s="431">
        <v>35</v>
      </c>
      <c r="L17" s="434"/>
      <c r="M17" s="434" t="str">
        <f>+'5. ANH'!J25</f>
        <v>Light Oil</v>
      </c>
      <c r="N17" s="435">
        <f t="shared" si="0"/>
        <v>3.4626301369863017</v>
      </c>
      <c r="O17" s="435">
        <f t="shared" si="1"/>
        <v>3.4626301369863017</v>
      </c>
      <c r="P17" s="435">
        <f t="shared" si="2"/>
        <v>0</v>
      </c>
      <c r="Q17" s="436">
        <v>3.4626301369863017</v>
      </c>
      <c r="R17" s="436">
        <v>0</v>
      </c>
      <c r="S17" s="436">
        <v>0</v>
      </c>
      <c r="T17" s="436">
        <v>0</v>
      </c>
      <c r="U17" s="436">
        <v>3.4626301369863017</v>
      </c>
      <c r="V17" s="436">
        <v>0</v>
      </c>
      <c r="W17" s="436">
        <v>0</v>
      </c>
      <c r="X17" s="436">
        <v>0</v>
      </c>
      <c r="Y17" s="436">
        <v>1962.0646849315069</v>
      </c>
      <c r="Z17" s="437">
        <f t="shared" si="3"/>
        <v>3.4626301369863017</v>
      </c>
      <c r="AA17" s="1"/>
      <c r="AB17" s="386">
        <f t="shared" si="4"/>
        <v>1962.0646849315069</v>
      </c>
      <c r="AC17" s="205">
        <f t="shared" si="5"/>
        <v>2559.0698809636278</v>
      </c>
      <c r="AD17" s="529">
        <v>2100</v>
      </c>
      <c r="AE17" s="322">
        <f t="shared" si="6"/>
        <v>7.030110481464999E-2</v>
      </c>
      <c r="AF17" s="536">
        <f t="shared" si="7"/>
        <v>-0.17938934937984705</v>
      </c>
      <c r="AI17" s="386"/>
      <c r="AJ17" s="386"/>
      <c r="AK17" s="386"/>
      <c r="AL17" s="419"/>
      <c r="AM17" s="419"/>
      <c r="AN17" s="419"/>
      <c r="CV17" s="1"/>
      <c r="CW17" s="1"/>
      <c r="CX17" s="1"/>
      <c r="CY17" s="1"/>
      <c r="CZ17" s="1"/>
      <c r="DA17" s="1"/>
      <c r="DB17" s="1"/>
    </row>
    <row r="18" spans="2:106" x14ac:dyDescent="0.25">
      <c r="B18" s="70" t="s">
        <v>600</v>
      </c>
      <c r="I18" s="432" t="s">
        <v>1249</v>
      </c>
      <c r="J18" s="433" t="s">
        <v>1250</v>
      </c>
      <c r="K18" s="431">
        <v>21</v>
      </c>
      <c r="L18" s="434"/>
      <c r="M18" s="434" t="str">
        <f>+'5. ANH'!J26</f>
        <v>Medium Oil</v>
      </c>
      <c r="N18" s="435">
        <f t="shared" si="0"/>
        <v>1.1893972602739726</v>
      </c>
      <c r="O18" s="435">
        <f t="shared" si="1"/>
        <v>1.1893972602739726</v>
      </c>
      <c r="P18" s="435">
        <f t="shared" si="2"/>
        <v>0</v>
      </c>
      <c r="Q18" s="436">
        <v>1.1894794520547947</v>
      </c>
      <c r="R18" s="436">
        <v>0</v>
      </c>
      <c r="S18" s="436">
        <v>0</v>
      </c>
      <c r="T18" s="436">
        <v>0.95542465753424666</v>
      </c>
      <c r="U18" s="436">
        <v>0.23397260273972598</v>
      </c>
      <c r="V18" s="436">
        <v>0</v>
      </c>
      <c r="W18" s="436">
        <v>0</v>
      </c>
      <c r="X18" s="436">
        <v>0</v>
      </c>
      <c r="Y18" s="436">
        <v>12119.3965753425</v>
      </c>
      <c r="Z18" s="437">
        <f t="shared" si="3"/>
        <v>1.1893972602739726</v>
      </c>
      <c r="AA18" s="1"/>
      <c r="AB18" s="386">
        <f t="shared" si="4"/>
        <v>12119.3965753425</v>
      </c>
      <c r="AC18" s="205">
        <f t="shared" si="5"/>
        <v>12324.465068493186</v>
      </c>
      <c r="AD18" s="529">
        <v>11750</v>
      </c>
      <c r="AE18" s="322">
        <f t="shared" si="6"/>
        <v>-3.0479782804867961E-2</v>
      </c>
      <c r="AF18" s="322">
        <f t="shared" si="7"/>
        <v>-4.6611764916416047E-2</v>
      </c>
      <c r="AI18" s="386"/>
      <c r="AJ18" s="386"/>
      <c r="AK18" s="386"/>
      <c r="AL18" s="419"/>
      <c r="AM18" s="419"/>
      <c r="AN18" s="419"/>
      <c r="CV18" s="1"/>
      <c r="CW18" s="1"/>
      <c r="CX18" s="1"/>
      <c r="CY18" s="1"/>
      <c r="CZ18" s="1"/>
      <c r="DA18" s="1"/>
      <c r="DB18" s="1"/>
    </row>
    <row r="19" spans="2:106" x14ac:dyDescent="0.25">
      <c r="I19" s="432" t="s">
        <v>1249</v>
      </c>
      <c r="J19" s="433" t="s">
        <v>1252</v>
      </c>
      <c r="K19" s="431">
        <v>12.5</v>
      </c>
      <c r="L19" s="434"/>
      <c r="M19" s="434" t="str">
        <f>+'5. ANH'!J27</f>
        <v>Heavy Oil</v>
      </c>
      <c r="N19" s="435">
        <f t="shared" si="0"/>
        <v>0.23824657534246574</v>
      </c>
      <c r="O19" s="435">
        <f t="shared" si="1"/>
        <v>0.23824657534246574</v>
      </c>
      <c r="P19" s="435">
        <f t="shared" si="2"/>
        <v>0</v>
      </c>
      <c r="Q19" s="436">
        <v>0.23827397260273972</v>
      </c>
      <c r="R19" s="436">
        <v>0</v>
      </c>
      <c r="S19" s="436">
        <v>0</v>
      </c>
      <c r="T19" s="436">
        <v>0.10038356164383562</v>
      </c>
      <c r="U19" s="436">
        <v>0.1378630136986301</v>
      </c>
      <c r="V19" s="436">
        <v>0</v>
      </c>
      <c r="W19" s="436">
        <v>0</v>
      </c>
      <c r="X19" s="436">
        <v>0</v>
      </c>
      <c r="Y19" s="436">
        <v>1476.5236986301368</v>
      </c>
      <c r="Z19" s="437">
        <f t="shared" si="3"/>
        <v>0.23824657534246574</v>
      </c>
      <c r="AA19" s="1"/>
      <c r="AB19" s="386">
        <f t="shared" si="4"/>
        <v>1476.5236986301368</v>
      </c>
      <c r="AC19" s="205">
        <f t="shared" si="5"/>
        <v>1517.6006943788377</v>
      </c>
      <c r="AD19" s="529">
        <v>1500</v>
      </c>
      <c r="AE19" s="322">
        <f t="shared" si="6"/>
        <v>1.5899711864864514E-2</v>
      </c>
      <c r="AF19" s="322">
        <f t="shared" si="7"/>
        <v>-1.1597711073822205E-2</v>
      </c>
      <c r="AI19" s="386"/>
      <c r="AJ19" s="386"/>
      <c r="AK19" s="386"/>
      <c r="AL19" s="419"/>
      <c r="AM19" s="419"/>
      <c r="AN19" s="419"/>
      <c r="CV19" s="1"/>
      <c r="CW19" s="1"/>
      <c r="CX19" s="1"/>
      <c r="CY19" s="1"/>
      <c r="CZ19" s="1"/>
      <c r="DA19" s="1"/>
      <c r="DB19" s="1"/>
    </row>
    <row r="20" spans="2:106" x14ac:dyDescent="0.25">
      <c r="C20" s="12" t="s">
        <v>1333</v>
      </c>
      <c r="D20" s="343">
        <v>6117863200</v>
      </c>
      <c r="E20" s="12" t="s">
        <v>1396</v>
      </c>
      <c r="I20" s="432" t="s">
        <v>1249</v>
      </c>
      <c r="J20" s="433" t="s">
        <v>1254</v>
      </c>
      <c r="K20" s="431">
        <v>21</v>
      </c>
      <c r="L20" s="434"/>
      <c r="M20" s="434" t="str">
        <f>+'5. ANH'!J28</f>
        <v>Medium Oil</v>
      </c>
      <c r="N20" s="435">
        <f t="shared" si="0"/>
        <v>5.057041095890412</v>
      </c>
      <c r="O20" s="435">
        <f t="shared" si="1"/>
        <v>2.6139452054794523</v>
      </c>
      <c r="P20" s="435">
        <f t="shared" si="2"/>
        <v>2.4430958904109596</v>
      </c>
      <c r="Q20" s="436">
        <v>5.0572054794520547</v>
      </c>
      <c r="R20" s="436">
        <v>0</v>
      </c>
      <c r="S20" s="436">
        <v>0</v>
      </c>
      <c r="T20" s="436">
        <v>2.4027123287671235</v>
      </c>
      <c r="U20" s="436">
        <v>0.21123287671232879</v>
      </c>
      <c r="V20" s="436">
        <v>0</v>
      </c>
      <c r="W20" s="436">
        <v>0</v>
      </c>
      <c r="X20" s="436">
        <v>2.4430958904109596</v>
      </c>
      <c r="Y20" s="436">
        <v>17849.99879452055</v>
      </c>
      <c r="Z20" s="437">
        <f t="shared" si="3"/>
        <v>5.057041095890412</v>
      </c>
      <c r="AA20" s="1"/>
      <c r="AB20" s="386">
        <f t="shared" si="4"/>
        <v>18271.22222390175</v>
      </c>
      <c r="AC20" s="205">
        <f t="shared" si="5"/>
        <v>18721.902431743034</v>
      </c>
      <c r="AD20" s="529">
        <v>18000</v>
      </c>
      <c r="AE20" s="322">
        <f t="shared" si="6"/>
        <v>-1.484422993591239E-2</v>
      </c>
      <c r="AF20" s="322">
        <f t="shared" si="7"/>
        <v>-3.8559245481327074E-2</v>
      </c>
      <c r="AI20" s="386"/>
      <c r="AJ20" s="386"/>
      <c r="AK20" s="386"/>
      <c r="AL20" s="419"/>
      <c r="AM20" s="419"/>
      <c r="AN20" s="419"/>
      <c r="CV20" s="1"/>
      <c r="CW20" s="1"/>
      <c r="CX20" s="1"/>
      <c r="CY20" s="1"/>
      <c r="CZ20" s="1"/>
      <c r="DA20" s="1"/>
      <c r="DB20" s="1"/>
    </row>
    <row r="21" spans="2:106" ht="15.75" customHeight="1" x14ac:dyDescent="0.25">
      <c r="C21" s="12" t="s">
        <v>1333</v>
      </c>
      <c r="D21" s="343">
        <f>+D20*1000/(1000000000000)</f>
        <v>6.1178632000000004</v>
      </c>
      <c r="E21" s="12" t="s">
        <v>1317</v>
      </c>
      <c r="I21" s="432" t="s">
        <v>1249</v>
      </c>
      <c r="J21" s="433" t="s">
        <v>1256</v>
      </c>
      <c r="K21" s="431">
        <f>20+(25-20)/2</f>
        <v>22.5</v>
      </c>
      <c r="L21" s="434"/>
      <c r="M21" s="434" t="str">
        <f>+'5. ANH'!J29</f>
        <v>Medium Oil</v>
      </c>
      <c r="N21" s="435">
        <f t="shared" si="0"/>
        <v>6.7767123287671236</v>
      </c>
      <c r="O21" s="435">
        <f t="shared" si="1"/>
        <v>3.0408493150684928</v>
      </c>
      <c r="P21" s="435">
        <f t="shared" si="2"/>
        <v>3.7358630136986304</v>
      </c>
      <c r="Q21" s="436">
        <v>6.7767123287671236</v>
      </c>
      <c r="R21" s="436">
        <v>0</v>
      </c>
      <c r="S21" s="436">
        <v>0</v>
      </c>
      <c r="T21" s="436">
        <v>1.396739726027397</v>
      </c>
      <c r="U21" s="436">
        <v>1.6441095890410957</v>
      </c>
      <c r="V21" s="436">
        <v>3.7358630136986304</v>
      </c>
      <c r="W21" s="436">
        <v>0</v>
      </c>
      <c r="X21" s="436">
        <v>0</v>
      </c>
      <c r="Y21" s="436">
        <v>42334.39687671233</v>
      </c>
      <c r="Z21" s="437">
        <f t="shared" si="3"/>
        <v>6.7767123287671236</v>
      </c>
      <c r="AA21" s="1"/>
      <c r="AB21" s="386">
        <f t="shared" si="4"/>
        <v>42978.51118941899</v>
      </c>
      <c r="AC21" s="205">
        <f t="shared" si="5"/>
        <v>43502.795554085969</v>
      </c>
      <c r="AD21" s="529">
        <v>42100</v>
      </c>
      <c r="AE21" s="322">
        <f t="shared" si="6"/>
        <v>-2.0440707812030345E-2</v>
      </c>
      <c r="AF21" s="322">
        <f t="shared" si="7"/>
        <v>-3.2246101341738088E-2</v>
      </c>
      <c r="AI21" s="386"/>
      <c r="AJ21" s="386"/>
      <c r="AK21" s="386"/>
      <c r="AL21" s="419"/>
      <c r="AM21" s="419"/>
      <c r="AN21" s="419"/>
      <c r="CV21" s="1"/>
      <c r="CW21" s="1"/>
      <c r="CX21" s="1"/>
      <c r="CY21" s="1"/>
      <c r="CZ21" s="1"/>
      <c r="DA21" s="1"/>
      <c r="DB21" s="1"/>
    </row>
    <row r="22" spans="2:106" ht="15.75" customHeight="1" x14ac:dyDescent="0.25">
      <c r="D22" s="12">
        <v>5800</v>
      </c>
      <c r="E22" s="12" t="s">
        <v>1397</v>
      </c>
      <c r="I22" s="432" t="s">
        <v>1258</v>
      </c>
      <c r="J22" s="433" t="s">
        <v>1259</v>
      </c>
      <c r="K22" s="431">
        <v>23</v>
      </c>
      <c r="L22" s="434"/>
      <c r="M22" s="434" t="str">
        <f>+'5. ANH'!J30</f>
        <v>Medium Oil</v>
      </c>
      <c r="N22" s="435">
        <f t="shared" si="0"/>
        <v>1.9274794520547947</v>
      </c>
      <c r="O22" s="435">
        <f t="shared" si="1"/>
        <v>0.33145205479452056</v>
      </c>
      <c r="P22" s="435">
        <f t="shared" si="2"/>
        <v>1.0367123287671232</v>
      </c>
      <c r="Q22" s="436">
        <v>1.9275342465753424</v>
      </c>
      <c r="R22" s="436">
        <v>0</v>
      </c>
      <c r="S22" s="436">
        <v>0</v>
      </c>
      <c r="T22" s="436">
        <v>0.10339726027397263</v>
      </c>
      <c r="U22" s="436">
        <v>0.22805479452054794</v>
      </c>
      <c r="V22" s="436">
        <v>1.5925479452054794</v>
      </c>
      <c r="W22" s="436">
        <v>0.55931506849315071</v>
      </c>
      <c r="X22" s="436">
        <v>3.4794520547945205E-3</v>
      </c>
      <c r="Y22" s="436">
        <v>4684.6815890410962</v>
      </c>
      <c r="Z22" s="437">
        <f t="shared" si="3"/>
        <v>1.9274794520547947</v>
      </c>
      <c r="AA22" s="1"/>
      <c r="AB22" s="386">
        <f t="shared" si="4"/>
        <v>4863.4250940009451</v>
      </c>
      <c r="AC22" s="205">
        <f t="shared" si="5"/>
        <v>5017.0056324988191</v>
      </c>
      <c r="AD22" s="529">
        <v>4850</v>
      </c>
      <c r="AE22" s="322">
        <f t="shared" si="6"/>
        <v>-2.7604196099380754E-3</v>
      </c>
      <c r="AF22" s="322">
        <f t="shared" si="7"/>
        <v>-3.3287910106578576E-2</v>
      </c>
      <c r="AI22" s="386"/>
      <c r="AJ22" s="386"/>
      <c r="AK22" s="386"/>
      <c r="AL22" s="419"/>
      <c r="AM22" s="419"/>
      <c r="AN22" s="419"/>
      <c r="CV22" s="1"/>
      <c r="CW22" s="1"/>
      <c r="CX22" s="1"/>
      <c r="CY22" s="1"/>
      <c r="CZ22" s="1"/>
      <c r="DA22" s="1"/>
      <c r="DB22" s="1"/>
    </row>
    <row r="23" spans="2:106" ht="15.75" customHeight="1" x14ac:dyDescent="0.25">
      <c r="I23" s="432" t="s">
        <v>1258</v>
      </c>
      <c r="J23" s="433" t="s">
        <v>1261</v>
      </c>
      <c r="K23" s="431">
        <v>25.5</v>
      </c>
      <c r="L23" s="434"/>
      <c r="M23" s="434" t="str">
        <f>+'5. ANH'!J31</f>
        <v>Medium Oil</v>
      </c>
      <c r="N23" s="435">
        <f t="shared" si="0"/>
        <v>0.8670410958904109</v>
      </c>
      <c r="O23" s="435">
        <f t="shared" si="1"/>
        <v>0.8670410958904109</v>
      </c>
      <c r="P23" s="435">
        <f t="shared" si="2"/>
        <v>0</v>
      </c>
      <c r="Q23" s="436">
        <v>0.86709589041095891</v>
      </c>
      <c r="R23" s="436">
        <v>0</v>
      </c>
      <c r="S23" s="436">
        <v>0</v>
      </c>
      <c r="T23" s="436">
        <v>0.45498630136986301</v>
      </c>
      <c r="U23" s="436">
        <v>0.41205479452054788</v>
      </c>
      <c r="V23" s="436">
        <v>0</v>
      </c>
      <c r="W23" s="436">
        <v>0</v>
      </c>
      <c r="X23" s="436">
        <v>0</v>
      </c>
      <c r="Y23" s="436">
        <v>4154.1152328767121</v>
      </c>
      <c r="Z23" s="437">
        <f t="shared" si="3"/>
        <v>0.8670410958904109</v>
      </c>
      <c r="AA23" s="1"/>
      <c r="AB23" s="386">
        <f t="shared" si="4"/>
        <v>4154.1152328767121</v>
      </c>
      <c r="AC23" s="205">
        <f t="shared" si="5"/>
        <v>4303.6050769957483</v>
      </c>
      <c r="AD23" s="529">
        <v>4000</v>
      </c>
      <c r="AE23" s="322">
        <f t="shared" si="6"/>
        <v>-3.7099412085877005E-2</v>
      </c>
      <c r="AF23" s="322">
        <f t="shared" si="7"/>
        <v>-7.0546686223283361E-2</v>
      </c>
      <c r="AI23" s="386"/>
      <c r="AJ23" s="386"/>
      <c r="AK23" s="386"/>
      <c r="AL23" s="419"/>
      <c r="AM23" s="419"/>
      <c r="AN23" s="419"/>
      <c r="CV23" s="1"/>
      <c r="CW23" s="1"/>
      <c r="CX23" s="1"/>
      <c r="CY23" s="1"/>
      <c r="CZ23" s="1"/>
      <c r="DA23" s="1"/>
      <c r="DB23" s="1"/>
    </row>
    <row r="24" spans="2:106" ht="15.75" customHeight="1" x14ac:dyDescent="0.25">
      <c r="I24" s="432" t="s">
        <v>1258</v>
      </c>
      <c r="J24" s="438" t="s">
        <v>1263</v>
      </c>
      <c r="K24" s="431">
        <v>21</v>
      </c>
      <c r="L24" s="434"/>
      <c r="M24" s="434" t="str">
        <f>+'5. ANH'!J32</f>
        <v>Medium Oil</v>
      </c>
      <c r="N24" s="435">
        <f t="shared" si="0"/>
        <v>1.1906575342465753</v>
      </c>
      <c r="O24" s="435">
        <f t="shared" si="1"/>
        <v>1.5506849315068495E-2</v>
      </c>
      <c r="P24" s="435">
        <f t="shared" si="2"/>
        <v>0.64550684931506841</v>
      </c>
      <c r="Q24" s="436">
        <v>1.1908493150684931</v>
      </c>
      <c r="R24" s="436">
        <v>0</v>
      </c>
      <c r="S24" s="436">
        <v>0</v>
      </c>
      <c r="T24" s="436">
        <v>0</v>
      </c>
      <c r="U24" s="436">
        <v>1.5506849315068495E-2</v>
      </c>
      <c r="V24" s="436">
        <v>1.1751506849315068</v>
      </c>
      <c r="W24" s="436">
        <v>0.52964383561643835</v>
      </c>
      <c r="X24" s="436">
        <v>0</v>
      </c>
      <c r="Y24" s="436">
        <v>3941.1335068493149</v>
      </c>
      <c r="Z24" s="437">
        <f t="shared" si="3"/>
        <v>1.1906575342465753</v>
      </c>
      <c r="AA24" s="1"/>
      <c r="AB24" s="386">
        <f t="shared" si="4"/>
        <v>4052.4277912139819</v>
      </c>
      <c r="AC24" s="205">
        <f t="shared" si="5"/>
        <v>4146.4192886159663</v>
      </c>
      <c r="AD24" s="529">
        <v>4000</v>
      </c>
      <c r="AE24" s="322">
        <f t="shared" si="6"/>
        <v>-1.2937378261902638E-2</v>
      </c>
      <c r="AF24" s="322">
        <f t="shared" si="7"/>
        <v>-3.5312224457850129E-2</v>
      </c>
      <c r="AI24" s="386"/>
      <c r="AJ24" s="386"/>
      <c r="AK24" s="386"/>
      <c r="AL24" s="419"/>
      <c r="AM24" s="419"/>
      <c r="AN24" s="419"/>
      <c r="CV24" s="1"/>
      <c r="CW24" s="1"/>
      <c r="CX24" s="1"/>
      <c r="CY24" s="1"/>
      <c r="CZ24" s="1"/>
      <c r="DA24" s="1"/>
      <c r="DB24" s="1"/>
    </row>
    <row r="25" spans="2:106" ht="15.75" customHeight="1" x14ac:dyDescent="0.25">
      <c r="I25" s="432" t="s">
        <v>1266</v>
      </c>
      <c r="J25" s="438" t="s">
        <v>1267</v>
      </c>
      <c r="K25" s="431" t="s">
        <v>1101</v>
      </c>
      <c r="L25" s="434" t="s">
        <v>7</v>
      </c>
      <c r="M25" s="434" t="s">
        <v>1398</v>
      </c>
      <c r="N25" s="435">
        <v>2.9418904109589041</v>
      </c>
      <c r="O25" s="435">
        <v>0</v>
      </c>
      <c r="P25" s="435">
        <v>2.9418904109589041</v>
      </c>
      <c r="Q25" s="436">
        <v>2.9418904109589041</v>
      </c>
      <c r="R25" s="436">
        <v>0</v>
      </c>
      <c r="S25" s="436">
        <v>0</v>
      </c>
      <c r="T25" s="436">
        <v>0</v>
      </c>
      <c r="U25" s="436">
        <v>0</v>
      </c>
      <c r="V25" s="436">
        <v>0</v>
      </c>
      <c r="W25" s="436">
        <v>0</v>
      </c>
      <c r="X25" s="436">
        <v>2.9418904109589041</v>
      </c>
      <c r="Y25" s="436">
        <v>0</v>
      </c>
      <c r="Z25" s="437">
        <f t="shared" si="3"/>
        <v>2.9418904109589041</v>
      </c>
      <c r="AA25" s="1"/>
      <c r="AB25" s="386">
        <f t="shared" si="4"/>
        <v>507.22248464808695</v>
      </c>
      <c r="AC25" s="205">
        <f t="shared" si="5"/>
        <v>507.22248464808695</v>
      </c>
      <c r="AD25" s="529">
        <v>468</v>
      </c>
      <c r="AE25" s="322">
        <f t="shared" si="6"/>
        <v>-7.7327969155980281E-2</v>
      </c>
      <c r="AF25" s="322">
        <f t="shared" si="7"/>
        <v>-7.7327969155980281E-2</v>
      </c>
      <c r="AI25" s="386"/>
      <c r="AJ25" s="386"/>
      <c r="AK25" s="386"/>
      <c r="AL25" s="419"/>
      <c r="AM25" s="419"/>
      <c r="AN25" s="419"/>
      <c r="CV25" s="1"/>
      <c r="CW25" s="1"/>
      <c r="CX25" s="1"/>
      <c r="CY25" s="1"/>
      <c r="CZ25" s="1"/>
      <c r="DA25" s="1"/>
      <c r="DB25" s="1"/>
    </row>
    <row r="26" spans="2:106" ht="15.75" customHeight="1" x14ac:dyDescent="0.25">
      <c r="I26" s="432" t="s">
        <v>1266</v>
      </c>
      <c r="J26" s="438" t="s">
        <v>1270</v>
      </c>
      <c r="K26" s="431" t="s">
        <v>1101</v>
      </c>
      <c r="L26" s="434" t="s">
        <v>7</v>
      </c>
      <c r="M26" s="434" t="s">
        <v>1398</v>
      </c>
      <c r="N26" s="435">
        <v>6.2215616438356163</v>
      </c>
      <c r="O26" s="435">
        <v>0.13172602739726028</v>
      </c>
      <c r="P26" s="435">
        <v>6.0898356164383562</v>
      </c>
      <c r="Q26" s="436">
        <v>6.2215890410958909</v>
      </c>
      <c r="R26" s="436">
        <v>0</v>
      </c>
      <c r="S26" s="436">
        <v>0</v>
      </c>
      <c r="T26" s="436">
        <v>1.1643835616438357E-2</v>
      </c>
      <c r="U26" s="436">
        <v>0.12008219178082191</v>
      </c>
      <c r="V26" s="436">
        <v>0</v>
      </c>
      <c r="W26" s="436">
        <v>0</v>
      </c>
      <c r="X26" s="436">
        <v>6.0898356164383562</v>
      </c>
      <c r="Y26" s="436">
        <v>6.111890410958905</v>
      </c>
      <c r="Z26" s="437">
        <f t="shared" si="3"/>
        <v>6.2215616438356163</v>
      </c>
      <c r="AA26" s="1"/>
      <c r="AB26" s="386">
        <f t="shared" si="4"/>
        <v>1056.083548417572</v>
      </c>
      <c r="AC26" s="205">
        <f t="shared" si="5"/>
        <v>1078.7949324515826</v>
      </c>
      <c r="AD26" s="529">
        <v>1017</v>
      </c>
      <c r="AE26" s="322">
        <f t="shared" si="6"/>
        <v>-3.700800800858469E-2</v>
      </c>
      <c r="AF26" s="322">
        <f t="shared" si="7"/>
        <v>-5.7281444872152268E-2</v>
      </c>
      <c r="AI26" s="386"/>
      <c r="AJ26" s="386"/>
      <c r="AK26" s="386"/>
      <c r="AL26" s="419"/>
      <c r="AM26" s="419"/>
      <c r="AN26" s="419"/>
      <c r="CV26" s="1"/>
      <c r="CW26" s="1"/>
      <c r="CX26" s="1"/>
      <c r="CY26" s="1"/>
      <c r="CZ26" s="1"/>
      <c r="DA26" s="1"/>
      <c r="DB26" s="1"/>
    </row>
    <row r="27" spans="2:106" ht="15.75" customHeight="1" x14ac:dyDescent="0.25">
      <c r="I27" s="432" t="s">
        <v>1266</v>
      </c>
      <c r="J27" s="438" t="s">
        <v>1271</v>
      </c>
      <c r="K27" s="431" t="s">
        <v>1101</v>
      </c>
      <c r="L27" s="434" t="s">
        <v>7</v>
      </c>
      <c r="M27" s="434" t="s">
        <v>1398</v>
      </c>
      <c r="N27" s="435">
        <v>28.099424657534254</v>
      </c>
      <c r="O27" s="435">
        <v>0.58819178082191781</v>
      </c>
      <c r="P27" s="435">
        <v>27.511232876712334</v>
      </c>
      <c r="Q27" s="436">
        <v>28.099315068493151</v>
      </c>
      <c r="R27" s="436">
        <v>0</v>
      </c>
      <c r="S27" s="436">
        <v>0</v>
      </c>
      <c r="T27" s="436">
        <v>5.0520547945205482E-2</v>
      </c>
      <c r="U27" s="436">
        <v>0.53767123287671237</v>
      </c>
      <c r="V27" s="436">
        <v>0</v>
      </c>
      <c r="W27" s="436">
        <v>0</v>
      </c>
      <c r="X27" s="436">
        <v>27.511232876712334</v>
      </c>
      <c r="Y27" s="436">
        <v>27.609561643835615</v>
      </c>
      <c r="Z27" s="437">
        <f t="shared" si="3"/>
        <v>28.099424657534254</v>
      </c>
      <c r="AA27" s="1"/>
      <c r="AB27" s="386">
        <f t="shared" si="4"/>
        <v>4770.9255748701007</v>
      </c>
      <c r="AC27" s="205">
        <f t="shared" si="5"/>
        <v>4872.3379508738799</v>
      </c>
      <c r="AD27" s="529">
        <v>4600</v>
      </c>
      <c r="AE27" s="322">
        <f t="shared" si="6"/>
        <v>-3.5826502046147422E-2</v>
      </c>
      <c r="AF27" s="322">
        <f t="shared" si="7"/>
        <v>-5.5894716996187553E-2</v>
      </c>
      <c r="AI27" s="386"/>
      <c r="AJ27" s="386"/>
      <c r="AK27" s="386"/>
      <c r="AL27" s="419"/>
      <c r="AM27" s="419"/>
      <c r="AN27" s="419"/>
      <c r="CV27" s="1"/>
      <c r="CW27" s="1"/>
      <c r="CX27" s="1"/>
      <c r="CY27" s="1"/>
      <c r="CZ27" s="1"/>
      <c r="DA27" s="1"/>
      <c r="DB27" s="1"/>
    </row>
    <row r="28" spans="2:106" ht="15.75" customHeight="1" x14ac:dyDescent="0.25">
      <c r="AA28" s="1"/>
      <c r="AB28" s="1"/>
      <c r="AC28" s="386"/>
      <c r="AD28" s="1"/>
      <c r="AE28" s="1"/>
      <c r="AF28" s="1"/>
      <c r="AH28" s="1"/>
      <c r="AI28" s="1"/>
      <c r="AJ28" s="1"/>
      <c r="AK28" s="1"/>
      <c r="AL28" s="1"/>
      <c r="AM28" s="1"/>
      <c r="AN28" s="1"/>
      <c r="CV28" s="1"/>
      <c r="CW28" s="1"/>
      <c r="CX28" s="1"/>
      <c r="CY28" s="1"/>
      <c r="CZ28" s="1"/>
      <c r="DA28" s="1"/>
      <c r="DB28" s="1"/>
    </row>
    <row r="29" spans="2:106" ht="15.75" customHeight="1" x14ac:dyDescent="0.25">
      <c r="AA29" s="419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CV29" s="1"/>
      <c r="CW29" s="1"/>
      <c r="CX29" s="1"/>
      <c r="CY29" s="1"/>
      <c r="CZ29" s="1"/>
      <c r="DA29" s="1"/>
      <c r="DB29" s="1"/>
    </row>
    <row r="30" spans="2:106" ht="15.75" customHeight="1" x14ac:dyDescent="0.25">
      <c r="Y30" s="205"/>
      <c r="Z30" s="231"/>
      <c r="AA30" s="419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CV30" s="1"/>
      <c r="CW30" s="1"/>
      <c r="CX30" s="1"/>
      <c r="CY30" s="1"/>
      <c r="CZ30" s="1"/>
      <c r="DA30" s="1"/>
      <c r="DB30" s="1"/>
    </row>
    <row r="31" spans="2:106" ht="49.5" customHeight="1" x14ac:dyDescent="0.25"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CV31" s="1"/>
      <c r="CW31" s="1"/>
      <c r="CX31" s="1"/>
      <c r="CY31" s="1"/>
      <c r="CZ31" s="1"/>
      <c r="DA31" s="1"/>
      <c r="DB31" s="1"/>
    </row>
    <row r="32" spans="2:106" ht="15.75" customHeight="1" x14ac:dyDescent="0.25">
      <c r="N32" s="23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CV32" s="1"/>
      <c r="CW32" s="1"/>
      <c r="CX32" s="1"/>
      <c r="CY32" s="1"/>
      <c r="CZ32" s="1"/>
      <c r="DA32" s="1"/>
      <c r="DB32" s="1"/>
    </row>
    <row r="33" spans="9:106" ht="15.75" customHeight="1" x14ac:dyDescent="0.25">
      <c r="N33" s="14" t="s">
        <v>59</v>
      </c>
      <c r="O33" s="14" t="s">
        <v>59</v>
      </c>
      <c r="P33" s="14" t="s">
        <v>59</v>
      </c>
      <c r="Q33" s="14" t="s">
        <v>59</v>
      </c>
      <c r="R33" s="14" t="s">
        <v>59</v>
      </c>
      <c r="S33" s="14" t="s">
        <v>59</v>
      </c>
      <c r="T33" s="14" t="s">
        <v>59</v>
      </c>
      <c r="U33" s="14" t="s">
        <v>59</v>
      </c>
      <c r="V33" s="14" t="s">
        <v>59</v>
      </c>
      <c r="W33" s="14" t="s">
        <v>59</v>
      </c>
      <c r="X33" s="14" t="s">
        <v>59</v>
      </c>
      <c r="Y33" s="14" t="s">
        <v>59</v>
      </c>
      <c r="Z33" s="14" t="s">
        <v>59</v>
      </c>
      <c r="AA33" s="856"/>
      <c r="AB33" s="809"/>
      <c r="AC33" s="809"/>
      <c r="AD33" s="809"/>
      <c r="AE33" s="809"/>
      <c r="AF33" s="809"/>
      <c r="AG33" s="809"/>
      <c r="AH33" s="809"/>
      <c r="AI33" s="809"/>
      <c r="AJ33" s="809"/>
      <c r="AK33" s="809"/>
      <c r="AL33" s="809"/>
      <c r="AM33" s="810"/>
      <c r="AN33" s="1"/>
      <c r="CV33" s="1"/>
      <c r="CW33" s="1"/>
      <c r="CX33" s="1"/>
      <c r="CY33" s="1"/>
      <c r="CZ33" s="1"/>
      <c r="DA33" s="1"/>
      <c r="DB33" s="1"/>
    </row>
    <row r="34" spans="9:106" ht="15.75" customHeight="1" x14ac:dyDescent="0.25">
      <c r="I34" s="428" t="s">
        <v>1204</v>
      </c>
      <c r="J34" s="428" t="s">
        <v>1205</v>
      </c>
      <c r="K34" s="428" t="s">
        <v>1206</v>
      </c>
      <c r="L34" s="429"/>
      <c r="M34" s="428" t="str">
        <f>+'5. ANH'!J12</f>
        <v>Type of Oil producing</v>
      </c>
      <c r="N34" s="430" t="s">
        <v>1399</v>
      </c>
      <c r="O34" s="430" t="s">
        <v>1400</v>
      </c>
      <c r="P34" s="430" t="s">
        <v>1401</v>
      </c>
      <c r="Q34" s="428" t="s">
        <v>1402</v>
      </c>
      <c r="R34" s="428" t="s">
        <v>1403</v>
      </c>
      <c r="S34" s="428" t="s">
        <v>1404</v>
      </c>
      <c r="T34" s="428" t="s">
        <v>1405</v>
      </c>
      <c r="U34" s="428" t="s">
        <v>1406</v>
      </c>
      <c r="V34" s="428" t="s">
        <v>1407</v>
      </c>
      <c r="W34" s="428" t="s">
        <v>1408</v>
      </c>
      <c r="X34" s="428" t="s">
        <v>1409</v>
      </c>
      <c r="Y34" s="428" t="s">
        <v>1410</v>
      </c>
      <c r="Z34" s="430" t="s">
        <v>1411</v>
      </c>
      <c r="AA34" s="426"/>
      <c r="AB34" s="426"/>
      <c r="AC34" s="426"/>
      <c r="AD34" s="426"/>
      <c r="AE34" s="426"/>
      <c r="AF34" s="426"/>
      <c r="AG34" s="426"/>
      <c r="AH34" s="426"/>
      <c r="AI34" s="426"/>
      <c r="AJ34" s="426"/>
      <c r="AK34" s="534"/>
      <c r="AL34" s="534"/>
      <c r="AM34" s="534"/>
      <c r="AN34" s="1"/>
      <c r="CV34" s="1"/>
      <c r="CW34" s="1"/>
      <c r="CX34" s="1"/>
      <c r="CY34" s="1"/>
      <c r="CZ34" s="1"/>
      <c r="DA34" s="1"/>
      <c r="DB34" s="1"/>
    </row>
    <row r="35" spans="9:106" ht="15.75" customHeight="1" x14ac:dyDescent="0.25">
      <c r="I35" s="432" t="s">
        <v>1224</v>
      </c>
      <c r="J35" s="433" t="s">
        <v>1225</v>
      </c>
      <c r="K35" s="431" t="s">
        <v>1101</v>
      </c>
      <c r="L35" s="434" t="s">
        <v>7</v>
      </c>
      <c r="M35" s="434" t="str">
        <f>+'5. ANH'!J13</f>
        <v>Doesn't Apply</v>
      </c>
      <c r="N35" s="435">
        <f t="shared" ref="N35:X35" si="8">+N5*365*$D$7/1000</f>
        <v>60.04622961587031</v>
      </c>
      <c r="O35" s="435">
        <f t="shared" si="8"/>
        <v>2.4898308957132613</v>
      </c>
      <c r="P35" s="435">
        <f t="shared" si="8"/>
        <v>57.556398720157048</v>
      </c>
      <c r="Q35" s="436">
        <f t="shared" si="8"/>
        <v>60.04621952029688</v>
      </c>
      <c r="R35" s="436">
        <f t="shared" si="8"/>
        <v>0</v>
      </c>
      <c r="S35" s="436">
        <f t="shared" si="8"/>
        <v>0</v>
      </c>
      <c r="T35" s="436">
        <f t="shared" si="8"/>
        <v>2.4069462377542221</v>
      </c>
      <c r="U35" s="436">
        <f t="shared" si="8"/>
        <v>8.2884657959038696E-2</v>
      </c>
      <c r="V35" s="436">
        <f t="shared" si="8"/>
        <v>4.8961411123406373</v>
      </c>
      <c r="W35" s="436">
        <f t="shared" si="8"/>
        <v>0</v>
      </c>
      <c r="X35" s="436">
        <f t="shared" si="8"/>
        <v>52.660257607816412</v>
      </c>
      <c r="Y35" s="436">
        <f t="shared" ref="Y35:Y57" si="9">+Y5*365*(0.001)*$D$8/1000</f>
        <v>0</v>
      </c>
      <c r="Z35" s="437">
        <f t="shared" ref="Z35:Z57" si="10">+N35-S35</f>
        <v>60.04622961587031</v>
      </c>
      <c r="AA35" s="370"/>
      <c r="AB35" s="370"/>
      <c r="AC35" s="370"/>
      <c r="AD35" s="370"/>
      <c r="AE35" s="370"/>
      <c r="AF35" s="370"/>
      <c r="AG35" s="370"/>
      <c r="AH35" s="370"/>
      <c r="AI35" s="370"/>
      <c r="AJ35" s="370"/>
      <c r="AK35" s="370"/>
      <c r="AL35" s="370"/>
      <c r="AM35" s="370"/>
      <c r="AN35" s="1"/>
      <c r="CV35" s="1"/>
      <c r="CW35" s="1"/>
      <c r="CX35" s="1"/>
      <c r="CY35" s="1"/>
      <c r="CZ35" s="1"/>
      <c r="DA35" s="1"/>
      <c r="DB35" s="1"/>
    </row>
    <row r="36" spans="9:106" ht="15.75" customHeight="1" x14ac:dyDescent="0.25">
      <c r="I36" s="432" t="s">
        <v>1224</v>
      </c>
      <c r="J36" s="433" t="s">
        <v>1226</v>
      </c>
      <c r="K36" s="431" t="s">
        <v>1101</v>
      </c>
      <c r="L36" s="434" t="s">
        <v>7</v>
      </c>
      <c r="M36" s="434" t="str">
        <f>+'5. ANH'!J14</f>
        <v>Doesn't Apply</v>
      </c>
      <c r="N36" s="435">
        <f t="shared" ref="N36:X36" si="11">+N6*365*$D$7/1000</f>
        <v>8.539502325113304</v>
      </c>
      <c r="O36" s="435">
        <f t="shared" si="11"/>
        <v>5.3052238437849987E-2</v>
      </c>
      <c r="P36" s="435">
        <f t="shared" si="11"/>
        <v>8.4864500866754558</v>
      </c>
      <c r="Q36" s="436">
        <f t="shared" si="11"/>
        <v>8.5394619428195373</v>
      </c>
      <c r="R36" s="436">
        <f t="shared" si="11"/>
        <v>0</v>
      </c>
      <c r="S36" s="436">
        <f t="shared" si="11"/>
        <v>0</v>
      </c>
      <c r="T36" s="436">
        <f t="shared" si="11"/>
        <v>4.3098003024011712E-2</v>
      </c>
      <c r="U36" s="436">
        <f t="shared" si="11"/>
        <v>9.9542354138382663E-3</v>
      </c>
      <c r="V36" s="436">
        <f t="shared" si="11"/>
        <v>0.72254019124584645</v>
      </c>
      <c r="W36" s="436">
        <f t="shared" si="11"/>
        <v>0</v>
      </c>
      <c r="X36" s="436">
        <f t="shared" si="11"/>
        <v>7.7639098954296077</v>
      </c>
      <c r="Y36" s="436">
        <f t="shared" si="9"/>
        <v>0</v>
      </c>
      <c r="Z36" s="437">
        <f t="shared" si="10"/>
        <v>8.539502325113304</v>
      </c>
      <c r="AA36" s="370"/>
      <c r="AB36" s="370"/>
      <c r="AC36" s="370"/>
      <c r="AD36" s="370"/>
      <c r="AE36" s="370"/>
      <c r="AF36" s="370"/>
      <c r="AG36" s="370"/>
      <c r="AH36" s="370"/>
      <c r="AI36" s="370"/>
      <c r="AJ36" s="370"/>
      <c r="AK36" s="370"/>
      <c r="AL36" s="370"/>
      <c r="AM36" s="370"/>
      <c r="AN36" s="1"/>
      <c r="CV36" s="1"/>
      <c r="CW36" s="1"/>
      <c r="CX36" s="1"/>
      <c r="CY36" s="1"/>
      <c r="CZ36" s="1"/>
      <c r="DA36" s="1"/>
      <c r="DB36" s="1"/>
    </row>
    <row r="37" spans="9:106" ht="15.75" customHeight="1" x14ac:dyDescent="0.25">
      <c r="I37" s="432" t="s">
        <v>1228</v>
      </c>
      <c r="J37" s="433" t="s">
        <v>1229</v>
      </c>
      <c r="K37" s="431" t="s">
        <v>1101</v>
      </c>
      <c r="L37" s="434" t="s">
        <v>7</v>
      </c>
      <c r="M37" s="434" t="str">
        <f>+'5. ANH'!J15</f>
        <v>Doesn't Apply</v>
      </c>
      <c r="N37" s="435">
        <f t="shared" ref="N37:X37" si="12">+N7*365*$D$7/1000</f>
        <v>13.106881088314344</v>
      </c>
      <c r="O37" s="435">
        <f t="shared" si="12"/>
        <v>0</v>
      </c>
      <c r="P37" s="435">
        <f t="shared" si="12"/>
        <v>11.790499076061607</v>
      </c>
      <c r="Q37" s="436">
        <f t="shared" si="12"/>
        <v>13.106881088314344</v>
      </c>
      <c r="R37" s="436">
        <f t="shared" si="12"/>
        <v>0</v>
      </c>
      <c r="S37" s="436">
        <f t="shared" si="12"/>
        <v>0</v>
      </c>
      <c r="T37" s="436">
        <f t="shared" si="12"/>
        <v>0</v>
      </c>
      <c r="U37" s="436">
        <f t="shared" si="12"/>
        <v>0</v>
      </c>
      <c r="V37" s="436">
        <f t="shared" si="12"/>
        <v>13.106881088314344</v>
      </c>
      <c r="W37" s="436">
        <f t="shared" si="12"/>
        <v>1.3163820122527377</v>
      </c>
      <c r="X37" s="436">
        <f t="shared" si="12"/>
        <v>0</v>
      </c>
      <c r="Y37" s="436">
        <f t="shared" si="9"/>
        <v>0</v>
      </c>
      <c r="Z37" s="437">
        <f t="shared" si="10"/>
        <v>13.106881088314344</v>
      </c>
      <c r="AA37" s="370"/>
      <c r="AB37" s="370"/>
      <c r="AC37" s="370"/>
      <c r="AD37" s="370"/>
      <c r="AE37" s="370"/>
      <c r="AF37" s="370"/>
      <c r="AG37" s="370"/>
      <c r="AH37" s="370"/>
      <c r="AI37" s="370"/>
      <c r="AJ37" s="370"/>
      <c r="AK37" s="370"/>
      <c r="AL37" s="370"/>
      <c r="AM37" s="370"/>
      <c r="AN37" s="1"/>
      <c r="CV37" s="1"/>
      <c r="CW37" s="1"/>
      <c r="CX37" s="1"/>
      <c r="CY37" s="1"/>
      <c r="CZ37" s="1"/>
      <c r="DA37" s="1"/>
      <c r="DB37" s="1"/>
    </row>
    <row r="38" spans="9:106" ht="15.75" customHeight="1" x14ac:dyDescent="0.25">
      <c r="I38" s="432" t="s">
        <v>1228</v>
      </c>
      <c r="J38" s="433" t="s">
        <v>1231</v>
      </c>
      <c r="K38" s="431">
        <v>48</v>
      </c>
      <c r="L38" s="434"/>
      <c r="M38" s="434" t="str">
        <f>+'5. ANH'!J16</f>
        <v>Light Oil</v>
      </c>
      <c r="N38" s="435">
        <f t="shared" ref="N38:X38" si="13">+N8*365*$D$7/1000</f>
        <v>239.32819800561739</v>
      </c>
      <c r="O38" s="435">
        <f t="shared" si="13"/>
        <v>160.99168674237271</v>
      </c>
      <c r="P38" s="435">
        <f t="shared" si="13"/>
        <v>75.291444019366878</v>
      </c>
      <c r="Q38" s="436">
        <f t="shared" si="13"/>
        <v>239.32817781447051</v>
      </c>
      <c r="R38" s="436">
        <f t="shared" si="13"/>
        <v>0</v>
      </c>
      <c r="S38" s="436">
        <f t="shared" si="13"/>
        <v>146.06287770612269</v>
      </c>
      <c r="T38" s="436">
        <f t="shared" si="13"/>
        <v>14.103990590462988</v>
      </c>
      <c r="U38" s="436">
        <f t="shared" si="13"/>
        <v>0.82481844578701846</v>
      </c>
      <c r="V38" s="436">
        <f t="shared" si="13"/>
        <v>6.0840367613967006</v>
      </c>
      <c r="W38" s="436">
        <f t="shared" si="13"/>
        <v>3.0450672438778423</v>
      </c>
      <c r="X38" s="436">
        <f t="shared" si="13"/>
        <v>72.252474501848027</v>
      </c>
      <c r="Y38" s="436">
        <f t="shared" si="9"/>
        <v>22.733323234776581</v>
      </c>
      <c r="Z38" s="437">
        <f t="shared" si="10"/>
        <v>93.265320299494704</v>
      </c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1"/>
      <c r="CV38" s="1"/>
      <c r="CW38" s="1"/>
      <c r="CX38" s="1"/>
      <c r="CY38" s="1"/>
      <c r="CZ38" s="1"/>
      <c r="DA38" s="1"/>
      <c r="DB38" s="1"/>
    </row>
    <row r="39" spans="9:106" ht="15.75" customHeight="1" x14ac:dyDescent="0.25">
      <c r="I39" s="432" t="s">
        <v>1228</v>
      </c>
      <c r="J39" s="433" t="s">
        <v>1233</v>
      </c>
      <c r="K39" s="431">
        <v>52</v>
      </c>
      <c r="L39" s="434"/>
      <c r="M39" s="434" t="str">
        <f>+'5. ANH'!J17</f>
        <v>Light Oil</v>
      </c>
      <c r="N39" s="435">
        <f t="shared" ref="N39:X39" si="14">+N9*365*$D$7/1000</f>
        <v>102.2089585250658</v>
      </c>
      <c r="O39" s="435">
        <f t="shared" si="14"/>
        <v>30.216717619832895</v>
      </c>
      <c r="P39" s="435">
        <f t="shared" si="14"/>
        <v>60.807849771910249</v>
      </c>
      <c r="Q39" s="436">
        <f t="shared" si="14"/>
        <v>102.20910995866744</v>
      </c>
      <c r="R39" s="436">
        <f t="shared" si="14"/>
        <v>0</v>
      </c>
      <c r="S39" s="436">
        <f t="shared" si="14"/>
        <v>18.608807085043786</v>
      </c>
      <c r="T39" s="436">
        <f t="shared" si="14"/>
        <v>11.187076555858232</v>
      </c>
      <c r="U39" s="436">
        <f t="shared" si="14"/>
        <v>0.42083397893088031</v>
      </c>
      <c r="V39" s="436">
        <f t="shared" si="14"/>
        <v>11.193699252036202</v>
      </c>
      <c r="W39" s="436">
        <f t="shared" si="14"/>
        <v>11.184391133322654</v>
      </c>
      <c r="X39" s="436">
        <f t="shared" si="14"/>
        <v>60.798541653196693</v>
      </c>
      <c r="Y39" s="436">
        <f t="shared" si="9"/>
        <v>7.0712088472532377</v>
      </c>
      <c r="Z39" s="437">
        <f t="shared" si="10"/>
        <v>83.600151440022017</v>
      </c>
      <c r="AA39" s="370"/>
      <c r="AB39" s="370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1"/>
      <c r="CV39" s="1"/>
      <c r="CW39" s="1"/>
      <c r="CX39" s="1"/>
      <c r="CY39" s="1"/>
      <c r="CZ39" s="1"/>
      <c r="DA39" s="1"/>
      <c r="DB39" s="1"/>
    </row>
    <row r="40" spans="9:106" ht="15.75" customHeight="1" x14ac:dyDescent="0.25">
      <c r="I40" s="432" t="s">
        <v>1228</v>
      </c>
      <c r="J40" s="433" t="s">
        <v>1235</v>
      </c>
      <c r="K40" s="431">
        <v>46</v>
      </c>
      <c r="L40" s="434"/>
      <c r="M40" s="434" t="str">
        <f>+'5. ANH'!J18</f>
        <v>Light Oil</v>
      </c>
      <c r="N40" s="435">
        <f t="shared" ref="N40:X40" si="15">+N10*365*$D$7/1000</f>
        <v>160.44027661654269</v>
      </c>
      <c r="O40" s="435">
        <f t="shared" si="15"/>
        <v>86.793482275469458</v>
      </c>
      <c r="P40" s="435">
        <f t="shared" si="15"/>
        <v>73.646794341073218</v>
      </c>
      <c r="Q40" s="436">
        <f t="shared" si="15"/>
        <v>160.44018575638168</v>
      </c>
      <c r="R40" s="436">
        <f t="shared" si="15"/>
        <v>0</v>
      </c>
      <c r="S40" s="436">
        <f t="shared" si="15"/>
        <v>82.998717747786728</v>
      </c>
      <c r="T40" s="436">
        <f t="shared" si="15"/>
        <v>3.345117782148316</v>
      </c>
      <c r="U40" s="436">
        <f t="shared" si="15"/>
        <v>0.44964674553442446</v>
      </c>
      <c r="V40" s="436">
        <f t="shared" si="15"/>
        <v>52.360166687252182</v>
      </c>
      <c r="W40" s="436">
        <f t="shared" si="15"/>
        <v>0</v>
      </c>
      <c r="X40" s="436">
        <f t="shared" si="15"/>
        <v>21.286627653821029</v>
      </c>
      <c r="Y40" s="436">
        <f t="shared" si="9"/>
        <v>60.007782289723188</v>
      </c>
      <c r="Z40" s="437">
        <f t="shared" si="10"/>
        <v>77.441558868755962</v>
      </c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1"/>
      <c r="CV40" s="1"/>
      <c r="CW40" s="1"/>
      <c r="CX40" s="1"/>
      <c r="CY40" s="1"/>
      <c r="CZ40" s="1"/>
      <c r="DA40" s="1"/>
      <c r="DB40" s="1"/>
    </row>
    <row r="41" spans="9:106" ht="15.75" customHeight="1" x14ac:dyDescent="0.25">
      <c r="I41" s="432" t="s">
        <v>1228</v>
      </c>
      <c r="J41" s="433" t="s">
        <v>1236</v>
      </c>
      <c r="K41" s="431">
        <f>44+((47-44)/2)</f>
        <v>45.5</v>
      </c>
      <c r="L41" s="434"/>
      <c r="M41" s="434" t="str">
        <f>+'5. ANH'!J19</f>
        <v>Light Oil</v>
      </c>
      <c r="N41" s="435">
        <f t="shared" ref="N41:X41" si="16">+N11*365*$D$7/1000</f>
        <v>61.393403127121232</v>
      </c>
      <c r="O41" s="435">
        <f t="shared" si="16"/>
        <v>61.393403127121232</v>
      </c>
      <c r="P41" s="435">
        <f t="shared" si="16"/>
        <v>0</v>
      </c>
      <c r="Q41" s="436">
        <f t="shared" si="16"/>
        <v>61.3933728404009</v>
      </c>
      <c r="R41" s="436">
        <f t="shared" si="16"/>
        <v>0</v>
      </c>
      <c r="S41" s="436">
        <f t="shared" si="16"/>
        <v>59.623921683216899</v>
      </c>
      <c r="T41" s="436">
        <f t="shared" si="16"/>
        <v>0.2018105131061125</v>
      </c>
      <c r="U41" s="436">
        <f t="shared" si="16"/>
        <v>1.5676709307982222</v>
      </c>
      <c r="V41" s="436">
        <f t="shared" si="16"/>
        <v>0</v>
      </c>
      <c r="W41" s="436">
        <f t="shared" si="16"/>
        <v>0</v>
      </c>
      <c r="X41" s="436">
        <f t="shared" si="16"/>
        <v>0</v>
      </c>
      <c r="Y41" s="436">
        <f t="shared" si="9"/>
        <v>17.796808939248596</v>
      </c>
      <c r="Z41" s="437">
        <f t="shared" si="10"/>
        <v>1.7694814439043327</v>
      </c>
      <c r="AA41" s="370"/>
      <c r="AB41" s="370"/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1"/>
      <c r="CV41" s="1"/>
      <c r="CW41" s="1"/>
      <c r="CX41" s="1"/>
      <c r="CY41" s="1"/>
      <c r="CZ41" s="1"/>
      <c r="DA41" s="1"/>
      <c r="DB41" s="1"/>
    </row>
    <row r="42" spans="9:106" ht="15.75" customHeight="1" x14ac:dyDescent="0.25">
      <c r="I42" s="432" t="s">
        <v>1228</v>
      </c>
      <c r="J42" s="433" t="s">
        <v>1238</v>
      </c>
      <c r="K42" s="431">
        <f>11.3+(14.4-11.3)/2</f>
        <v>12.850000000000001</v>
      </c>
      <c r="L42" s="434"/>
      <c r="M42" s="434" t="str">
        <f>+'5. ANH'!J20</f>
        <v>Heavy Oil</v>
      </c>
      <c r="N42" s="435">
        <f t="shared" ref="N42:X42" si="17">+N12*365*$D$7/1000</f>
        <v>0</v>
      </c>
      <c r="O42" s="435">
        <f t="shared" si="17"/>
        <v>0</v>
      </c>
      <c r="P42" s="435">
        <f t="shared" si="17"/>
        <v>0</v>
      </c>
      <c r="Q42" s="436">
        <f t="shared" si="17"/>
        <v>0</v>
      </c>
      <c r="R42" s="436">
        <f t="shared" si="17"/>
        <v>0</v>
      </c>
      <c r="S42" s="436">
        <f t="shared" si="17"/>
        <v>0</v>
      </c>
      <c r="T42" s="436">
        <f t="shared" si="17"/>
        <v>0</v>
      </c>
      <c r="U42" s="436">
        <f t="shared" si="17"/>
        <v>0</v>
      </c>
      <c r="V42" s="436">
        <f t="shared" si="17"/>
        <v>0</v>
      </c>
      <c r="W42" s="436">
        <f t="shared" si="17"/>
        <v>0</v>
      </c>
      <c r="X42" s="436">
        <f t="shared" si="17"/>
        <v>0</v>
      </c>
      <c r="Y42" s="436">
        <f t="shared" si="9"/>
        <v>265.08224689210181</v>
      </c>
      <c r="Z42" s="437">
        <f t="shared" si="10"/>
        <v>0</v>
      </c>
      <c r="AA42" s="370"/>
      <c r="AB42" s="370"/>
      <c r="AC42" s="370"/>
      <c r="AD42" s="370"/>
      <c r="AE42" s="370"/>
      <c r="AF42" s="370"/>
      <c r="AG42" s="370"/>
      <c r="AH42" s="370"/>
      <c r="AI42" s="370"/>
      <c r="AJ42" s="370"/>
      <c r="AK42" s="370"/>
      <c r="AL42" s="370"/>
      <c r="AM42" s="370"/>
      <c r="AN42" s="1"/>
      <c r="CV42" s="1"/>
      <c r="CW42" s="1"/>
      <c r="CX42" s="1"/>
      <c r="CY42" s="1"/>
      <c r="CZ42" s="1"/>
      <c r="DA42" s="1"/>
      <c r="DB42" s="1"/>
    </row>
    <row r="43" spans="9:106" ht="15.75" customHeight="1" x14ac:dyDescent="0.25">
      <c r="I43" s="432" t="s">
        <v>1228</v>
      </c>
      <c r="J43" s="433" t="s">
        <v>1240</v>
      </c>
      <c r="K43" s="431">
        <v>13.7</v>
      </c>
      <c r="L43" s="434"/>
      <c r="M43" s="434" t="str">
        <f>+'5. ANH'!J21</f>
        <v>Heavy Oil</v>
      </c>
      <c r="N43" s="435">
        <f t="shared" ref="N43:X43" si="18">+N13*365*$D$7/1000</f>
        <v>0</v>
      </c>
      <c r="O43" s="435">
        <f t="shared" si="18"/>
        <v>0</v>
      </c>
      <c r="P43" s="435">
        <f t="shared" si="18"/>
        <v>0</v>
      </c>
      <c r="Q43" s="436">
        <f t="shared" si="18"/>
        <v>0</v>
      </c>
      <c r="R43" s="436">
        <f t="shared" si="18"/>
        <v>0</v>
      </c>
      <c r="S43" s="436">
        <f t="shared" si="18"/>
        <v>0</v>
      </c>
      <c r="T43" s="436">
        <f t="shared" si="18"/>
        <v>0</v>
      </c>
      <c r="U43" s="436">
        <f t="shared" si="18"/>
        <v>0</v>
      </c>
      <c r="V43" s="436">
        <f t="shared" si="18"/>
        <v>0</v>
      </c>
      <c r="W43" s="436">
        <f t="shared" si="18"/>
        <v>0</v>
      </c>
      <c r="X43" s="436">
        <f t="shared" si="18"/>
        <v>0</v>
      </c>
      <c r="Y43" s="436">
        <f t="shared" si="9"/>
        <v>253.41187670697005</v>
      </c>
      <c r="Z43" s="437">
        <f t="shared" si="10"/>
        <v>0</v>
      </c>
      <c r="AA43" s="370"/>
      <c r="AB43" s="370"/>
      <c r="AC43" s="370"/>
      <c r="AD43" s="370"/>
      <c r="AE43" s="370"/>
      <c r="AF43" s="370"/>
      <c r="AG43" s="370"/>
      <c r="AH43" s="370"/>
      <c r="AI43" s="370"/>
      <c r="AJ43" s="370"/>
      <c r="AK43" s="370"/>
      <c r="AL43" s="370"/>
      <c r="AM43" s="370"/>
      <c r="AN43" s="1"/>
      <c r="CV43" s="1"/>
      <c r="CW43" s="1"/>
      <c r="CX43" s="1"/>
      <c r="CY43" s="1"/>
      <c r="CZ43" s="1"/>
      <c r="DA43" s="1"/>
      <c r="DB43" s="1"/>
    </row>
    <row r="44" spans="9:106" ht="15.75" customHeight="1" x14ac:dyDescent="0.25">
      <c r="I44" s="432" t="s">
        <v>1228</v>
      </c>
      <c r="J44" s="433" t="s">
        <v>1242</v>
      </c>
      <c r="K44" s="431">
        <f>7+(20-7)/2</f>
        <v>13.5</v>
      </c>
      <c r="L44" s="434"/>
      <c r="M44" s="434" t="str">
        <f>+'5. ANH'!J22</f>
        <v>Heavy Oil</v>
      </c>
      <c r="N44" s="435">
        <f t="shared" ref="N44:X44" si="19">+N14*365*$D$7/1000</f>
        <v>1.3978936722236606</v>
      </c>
      <c r="O44" s="435">
        <f t="shared" si="19"/>
        <v>1.3978936722236606</v>
      </c>
      <c r="P44" s="435">
        <f t="shared" si="19"/>
        <v>0</v>
      </c>
      <c r="Q44" s="436">
        <f t="shared" si="19"/>
        <v>1.3978835766502182</v>
      </c>
      <c r="R44" s="436">
        <f t="shared" si="19"/>
        <v>0</v>
      </c>
      <c r="S44" s="436">
        <f t="shared" si="19"/>
        <v>0</v>
      </c>
      <c r="T44" s="436">
        <f t="shared" si="19"/>
        <v>0.32109980889709927</v>
      </c>
      <c r="U44" s="436">
        <f t="shared" si="19"/>
        <v>1.0767938633265612</v>
      </c>
      <c r="V44" s="436">
        <f t="shared" si="19"/>
        <v>0</v>
      </c>
      <c r="W44" s="436">
        <f t="shared" si="19"/>
        <v>0</v>
      </c>
      <c r="X44" s="436">
        <f t="shared" si="19"/>
        <v>0</v>
      </c>
      <c r="Y44" s="436">
        <f t="shared" si="9"/>
        <v>153.50718826671843</v>
      </c>
      <c r="Z44" s="437">
        <f t="shared" si="10"/>
        <v>1.3978936722236606</v>
      </c>
      <c r="AA44" s="370"/>
      <c r="AB44" s="370"/>
      <c r="AC44" s="370"/>
      <c r="AD44" s="370"/>
      <c r="AE44" s="370"/>
      <c r="AF44" s="370"/>
      <c r="AG44" s="370"/>
      <c r="AH44" s="370"/>
      <c r="AI44" s="370"/>
      <c r="AJ44" s="370"/>
      <c r="AK44" s="370"/>
      <c r="AL44" s="370"/>
      <c r="AM44" s="370"/>
      <c r="AN44" s="1"/>
      <c r="CV44" s="1"/>
      <c r="CW44" s="1"/>
      <c r="CX44" s="1"/>
      <c r="CY44" s="1"/>
      <c r="CZ44" s="1"/>
      <c r="DA44" s="1"/>
      <c r="DB44" s="1"/>
    </row>
    <row r="45" spans="9:106" ht="15.75" customHeight="1" x14ac:dyDescent="0.25">
      <c r="I45" s="432" t="s">
        <v>1228</v>
      </c>
      <c r="J45" s="433" t="s">
        <v>1243</v>
      </c>
      <c r="K45" s="431">
        <v>8</v>
      </c>
      <c r="L45" s="434"/>
      <c r="M45" s="434" t="str">
        <f>+'5. ANH'!J23</f>
        <v>Heavy Oil</v>
      </c>
      <c r="N45" s="435">
        <f t="shared" ref="N45:X45" si="20">+N15*365*$D$7/1000</f>
        <v>0.21448045777585595</v>
      </c>
      <c r="O45" s="435">
        <f t="shared" si="20"/>
        <v>0.21448045777585595</v>
      </c>
      <c r="P45" s="435">
        <f t="shared" si="20"/>
        <v>0</v>
      </c>
      <c r="Q45" s="436">
        <f t="shared" si="20"/>
        <v>0.21448045777585595</v>
      </c>
      <c r="R45" s="436">
        <f t="shared" si="20"/>
        <v>0</v>
      </c>
      <c r="S45" s="436">
        <f t="shared" si="20"/>
        <v>0</v>
      </c>
      <c r="T45" s="436">
        <f t="shared" si="20"/>
        <v>0</v>
      </c>
      <c r="U45" s="436">
        <f t="shared" si="20"/>
        <v>0.21448045777585595</v>
      </c>
      <c r="V45" s="436">
        <f t="shared" si="20"/>
        <v>0</v>
      </c>
      <c r="W45" s="436">
        <f t="shared" si="20"/>
        <v>0</v>
      </c>
      <c r="X45" s="436">
        <f t="shared" si="20"/>
        <v>0</v>
      </c>
      <c r="Y45" s="436">
        <f t="shared" si="9"/>
        <v>43.895597705669182</v>
      </c>
      <c r="Z45" s="437">
        <f t="shared" si="10"/>
        <v>0.21448045777585595</v>
      </c>
      <c r="AA45" s="370"/>
      <c r="AB45" s="370"/>
      <c r="AC45" s="370"/>
      <c r="AD45" s="370"/>
      <c r="AE45" s="370"/>
      <c r="AF45" s="370"/>
      <c r="AG45" s="370"/>
      <c r="AH45" s="370"/>
      <c r="AI45" s="370"/>
      <c r="AJ45" s="370"/>
      <c r="AK45" s="370"/>
      <c r="AL45" s="370"/>
      <c r="AM45" s="370"/>
      <c r="AN45" s="1"/>
      <c r="CV45" s="1"/>
      <c r="CW45" s="1"/>
      <c r="CX45" s="1"/>
      <c r="CY45" s="1"/>
      <c r="CZ45" s="1"/>
      <c r="DA45" s="1"/>
      <c r="DB45" s="1"/>
    </row>
    <row r="46" spans="9:106" ht="15.75" customHeight="1" x14ac:dyDescent="0.25">
      <c r="I46" s="432" t="s">
        <v>1228</v>
      </c>
      <c r="J46" s="433" t="s">
        <v>1245</v>
      </c>
      <c r="K46" s="431">
        <v>13.5</v>
      </c>
      <c r="L46" s="434"/>
      <c r="M46" s="434" t="str">
        <f>+'5. ANH'!J24</f>
        <v>Heavy Oil</v>
      </c>
      <c r="N46" s="435">
        <f t="shared" ref="N46:X46" si="21">+N16*365*$D$7/1000</f>
        <v>0.43874352621703561</v>
      </c>
      <c r="O46" s="435">
        <f t="shared" si="21"/>
        <v>5.7140945681870784E-3</v>
      </c>
      <c r="P46" s="435">
        <f t="shared" si="21"/>
        <v>0.23786180586758957</v>
      </c>
      <c r="Q46" s="436">
        <f t="shared" si="21"/>
        <v>0.4388141952311298</v>
      </c>
      <c r="R46" s="436">
        <f t="shared" si="21"/>
        <v>0</v>
      </c>
      <c r="S46" s="436">
        <f t="shared" si="21"/>
        <v>0</v>
      </c>
      <c r="T46" s="436">
        <f t="shared" si="21"/>
        <v>5.7140945681870784E-3</v>
      </c>
      <c r="U46" s="436">
        <f t="shared" si="21"/>
        <v>0</v>
      </c>
      <c r="V46" s="436">
        <f t="shared" si="21"/>
        <v>0.4330294316488485</v>
      </c>
      <c r="W46" s="436">
        <f t="shared" si="21"/>
        <v>0.19516762578125896</v>
      </c>
      <c r="X46" s="436">
        <f t="shared" si="21"/>
        <v>0</v>
      </c>
      <c r="Y46" s="436">
        <f t="shared" si="9"/>
        <v>8.7564836170076354</v>
      </c>
      <c r="Z46" s="437">
        <f t="shared" si="10"/>
        <v>0.43874352621703561</v>
      </c>
      <c r="AA46" s="370"/>
      <c r="AB46" s="370"/>
      <c r="AC46" s="370"/>
      <c r="AD46" s="370"/>
      <c r="AE46" s="370"/>
      <c r="AF46" s="370"/>
      <c r="AG46" s="370"/>
      <c r="AH46" s="370"/>
      <c r="AI46" s="370"/>
      <c r="AJ46" s="370"/>
      <c r="AK46" s="370"/>
      <c r="AL46" s="370"/>
      <c r="AM46" s="370"/>
      <c r="AN46" s="1"/>
      <c r="CV46" s="1"/>
      <c r="CW46" s="1"/>
      <c r="CX46" s="1"/>
      <c r="CY46" s="1"/>
      <c r="CZ46" s="1"/>
      <c r="DA46" s="1"/>
      <c r="DB46" s="1"/>
    </row>
    <row r="47" spans="9:106" ht="15.75" customHeight="1" x14ac:dyDescent="0.25">
      <c r="I47" s="432" t="s">
        <v>1247</v>
      </c>
      <c r="J47" s="433" t="s">
        <v>1246</v>
      </c>
      <c r="K47" s="431">
        <v>35</v>
      </c>
      <c r="L47" s="434"/>
      <c r="M47" s="434" t="str">
        <f>+'5. ANH'!J25</f>
        <v>Light Oil</v>
      </c>
      <c r="N47" s="435">
        <f t="shared" ref="N47:X47" si="22">+N17*365*$D$7/1000</f>
        <v>1.2759391450439788</v>
      </c>
      <c r="O47" s="435">
        <f t="shared" si="22"/>
        <v>1.2759391450439788</v>
      </c>
      <c r="P47" s="435">
        <f t="shared" si="22"/>
        <v>0</v>
      </c>
      <c r="Q47" s="436">
        <f t="shared" si="22"/>
        <v>1.2759391450439788</v>
      </c>
      <c r="R47" s="436">
        <f t="shared" si="22"/>
        <v>0</v>
      </c>
      <c r="S47" s="436">
        <f t="shared" si="22"/>
        <v>0</v>
      </c>
      <c r="T47" s="436">
        <f t="shared" si="22"/>
        <v>0</v>
      </c>
      <c r="U47" s="436">
        <f t="shared" si="22"/>
        <v>1.2759391450439788</v>
      </c>
      <c r="V47" s="436">
        <f t="shared" si="22"/>
        <v>0</v>
      </c>
      <c r="W47" s="436">
        <f t="shared" si="22"/>
        <v>0</v>
      </c>
      <c r="X47" s="436">
        <f t="shared" si="22"/>
        <v>0</v>
      </c>
      <c r="Y47" s="436">
        <f t="shared" si="9"/>
        <v>4.3593517548323124</v>
      </c>
      <c r="Z47" s="437">
        <f t="shared" si="10"/>
        <v>1.2759391450439788</v>
      </c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1"/>
      <c r="CV47" s="1"/>
      <c r="CW47" s="1"/>
      <c r="CX47" s="1"/>
      <c r="CY47" s="1"/>
      <c r="CZ47" s="1"/>
      <c r="DA47" s="1"/>
      <c r="DB47" s="1"/>
    </row>
    <row r="48" spans="9:106" ht="15.75" customHeight="1" x14ac:dyDescent="0.25">
      <c r="I48" s="432" t="s">
        <v>1249</v>
      </c>
      <c r="J48" s="433" t="s">
        <v>1250</v>
      </c>
      <c r="K48" s="431">
        <v>21</v>
      </c>
      <c r="L48" s="434"/>
      <c r="M48" s="434" t="str">
        <f>+'5. ANH'!J26</f>
        <v>Medium Oil</v>
      </c>
      <c r="N48" s="435">
        <f t="shared" ref="N48:X48" si="23">+N18*365*$D$7/1000</f>
        <v>0.43827912983870243</v>
      </c>
      <c r="O48" s="435">
        <f t="shared" si="23"/>
        <v>0.43827912983870243</v>
      </c>
      <c r="P48" s="435">
        <f t="shared" si="23"/>
        <v>0</v>
      </c>
      <c r="Q48" s="436">
        <f t="shared" si="23"/>
        <v>0.43830941655902855</v>
      </c>
      <c r="R48" s="436">
        <f t="shared" si="23"/>
        <v>0</v>
      </c>
      <c r="S48" s="436">
        <f t="shared" si="23"/>
        <v>0</v>
      </c>
      <c r="T48" s="436">
        <f t="shared" si="23"/>
        <v>0.35206293264379496</v>
      </c>
      <c r="U48" s="436">
        <f t="shared" si="23"/>
        <v>8.621619719490746E-2</v>
      </c>
      <c r="V48" s="436">
        <f t="shared" si="23"/>
        <v>0</v>
      </c>
      <c r="W48" s="436">
        <f t="shared" si="23"/>
        <v>0</v>
      </c>
      <c r="X48" s="436">
        <f t="shared" si="23"/>
        <v>0</v>
      </c>
      <c r="Y48" s="436">
        <f t="shared" si="9"/>
        <v>26.927100382560717</v>
      </c>
      <c r="Z48" s="437">
        <f t="shared" si="10"/>
        <v>0.43827912983870243</v>
      </c>
      <c r="AA48" s="370"/>
      <c r="AB48" s="370"/>
      <c r="AC48" s="370"/>
      <c r="AD48" s="370"/>
      <c r="AE48" s="370"/>
      <c r="AF48" s="370"/>
      <c r="AG48" s="370"/>
      <c r="AH48" s="370"/>
      <c r="AI48" s="370"/>
      <c r="AJ48" s="370"/>
      <c r="AK48" s="370"/>
      <c r="AL48" s="370"/>
      <c r="AM48" s="370"/>
      <c r="AN48" s="1"/>
      <c r="CV48" s="1"/>
      <c r="CW48" s="1"/>
      <c r="CX48" s="1"/>
      <c r="CY48" s="1"/>
      <c r="CZ48" s="1"/>
      <c r="DA48" s="1"/>
      <c r="DB48" s="1"/>
    </row>
    <row r="49" spans="1:121" ht="15.75" customHeight="1" x14ac:dyDescent="0.25">
      <c r="I49" s="432" t="s">
        <v>1249</v>
      </c>
      <c r="J49" s="433" t="s">
        <v>1252</v>
      </c>
      <c r="K49" s="431">
        <v>12.5</v>
      </c>
      <c r="L49" s="434"/>
      <c r="M49" s="434" t="str">
        <f>+'5. ANH'!J27</f>
        <v>Heavy Oil</v>
      </c>
      <c r="N49" s="435">
        <f t="shared" ref="N49:X49" si="24">+N19*365*$D$7/1000</f>
        <v>8.7791106651863626E-2</v>
      </c>
      <c r="O49" s="435">
        <f t="shared" si="24"/>
        <v>8.7791106651863626E-2</v>
      </c>
      <c r="P49" s="435">
        <f t="shared" si="24"/>
        <v>0</v>
      </c>
      <c r="Q49" s="436">
        <f t="shared" si="24"/>
        <v>8.7801202225305658E-2</v>
      </c>
      <c r="R49" s="436">
        <f t="shared" si="24"/>
        <v>0</v>
      </c>
      <c r="S49" s="436">
        <f t="shared" si="24"/>
        <v>0</v>
      </c>
      <c r="T49" s="436">
        <f t="shared" si="24"/>
        <v>3.6990181091585597E-2</v>
      </c>
      <c r="U49" s="436">
        <f t="shared" si="24"/>
        <v>5.0800925560278022E-2</v>
      </c>
      <c r="V49" s="436">
        <f t="shared" si="24"/>
        <v>0</v>
      </c>
      <c r="W49" s="436">
        <f t="shared" si="24"/>
        <v>0</v>
      </c>
      <c r="X49" s="436">
        <f t="shared" si="24"/>
        <v>0</v>
      </c>
      <c r="Y49" s="436">
        <f t="shared" si="9"/>
        <v>3.2805677744000978</v>
      </c>
      <c r="Z49" s="437">
        <f t="shared" si="10"/>
        <v>8.7791106651863626E-2</v>
      </c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1"/>
      <c r="CV49" s="1"/>
      <c r="CW49" s="1"/>
      <c r="CX49" s="1"/>
      <c r="CY49" s="1"/>
      <c r="CZ49" s="1"/>
      <c r="DA49" s="1"/>
      <c r="DB49" s="1"/>
    </row>
    <row r="50" spans="1:121" ht="15.75" customHeight="1" x14ac:dyDescent="0.25">
      <c r="I50" s="432" t="s">
        <v>1249</v>
      </c>
      <c r="J50" s="433" t="s">
        <v>1254</v>
      </c>
      <c r="K50" s="431">
        <v>21</v>
      </c>
      <c r="L50" s="434"/>
      <c r="M50" s="434" t="str">
        <f>+'5. ANH'!J28</f>
        <v>Medium Oil</v>
      </c>
      <c r="N50" s="435">
        <f t="shared" ref="N50:X50" si="25">+N20*365*$D$7/1000</f>
        <v>1.8634611370761611</v>
      </c>
      <c r="O50" s="435">
        <f t="shared" si="25"/>
        <v>0.96320856653031961</v>
      </c>
      <c r="P50" s="435">
        <f t="shared" si="25"/>
        <v>0.90025257054584151</v>
      </c>
      <c r="Q50" s="436">
        <f t="shared" si="25"/>
        <v>1.8635217105168129</v>
      </c>
      <c r="R50" s="436">
        <f t="shared" si="25"/>
        <v>0</v>
      </c>
      <c r="S50" s="436">
        <f t="shared" si="25"/>
        <v>0</v>
      </c>
      <c r="T50" s="436">
        <f t="shared" si="25"/>
        <v>0.8853716952922942</v>
      </c>
      <c r="U50" s="436">
        <f t="shared" si="25"/>
        <v>7.7836871238025379E-2</v>
      </c>
      <c r="V50" s="436">
        <f t="shared" si="25"/>
        <v>0</v>
      </c>
      <c r="W50" s="436">
        <f t="shared" si="25"/>
        <v>0</v>
      </c>
      <c r="X50" s="436">
        <f t="shared" si="25"/>
        <v>0.90025257054584151</v>
      </c>
      <c r="Y50" s="436">
        <f t="shared" si="9"/>
        <v>39.659458817161386</v>
      </c>
      <c r="Z50" s="437">
        <f t="shared" si="10"/>
        <v>1.8634611370761611</v>
      </c>
      <c r="AA50" s="370"/>
      <c r="AB50" s="370"/>
      <c r="AC50" s="370"/>
      <c r="AD50" s="370"/>
      <c r="AE50" s="370"/>
      <c r="AF50" s="370"/>
      <c r="AG50" s="370"/>
      <c r="AH50" s="370"/>
      <c r="AI50" s="370"/>
      <c r="AJ50" s="370"/>
      <c r="AK50" s="370"/>
      <c r="AL50" s="370"/>
      <c r="AM50" s="370"/>
      <c r="AN50" s="1"/>
      <c r="CV50" s="1"/>
      <c r="CW50" s="1"/>
      <c r="CX50" s="1"/>
      <c r="CY50" s="1"/>
      <c r="CZ50" s="1"/>
      <c r="DA50" s="1"/>
      <c r="DB50" s="1"/>
    </row>
    <row r="51" spans="1:121" ht="15.75" customHeight="1" x14ac:dyDescent="0.25">
      <c r="I51" s="432" t="s">
        <v>1249</v>
      </c>
      <c r="J51" s="433" t="s">
        <v>1256</v>
      </c>
      <c r="K51" s="431">
        <f>20+(25-20)/2</f>
        <v>22.5</v>
      </c>
      <c r="L51" s="434"/>
      <c r="M51" s="434" t="str">
        <f>+'5. ANH'!J29</f>
        <v>Medium Oil</v>
      </c>
      <c r="N51" s="435">
        <f t="shared" ref="N51:X51" si="26">+N21*365*$D$7/1000</f>
        <v>2.497140090885289</v>
      </c>
      <c r="O51" s="435">
        <f t="shared" si="26"/>
        <v>1.1205177919039784</v>
      </c>
      <c r="P51" s="435">
        <f t="shared" si="26"/>
        <v>1.3766222989813104</v>
      </c>
      <c r="Q51" s="436">
        <f t="shared" si="26"/>
        <v>2.497140090885289</v>
      </c>
      <c r="R51" s="436">
        <f t="shared" si="26"/>
        <v>0</v>
      </c>
      <c r="S51" s="436">
        <f t="shared" si="26"/>
        <v>0</v>
      </c>
      <c r="T51" s="436">
        <f t="shared" si="26"/>
        <v>0.51468242964795996</v>
      </c>
      <c r="U51" s="436">
        <f t="shared" si="26"/>
        <v>0.60583536225601842</v>
      </c>
      <c r="V51" s="436">
        <f t="shared" si="26"/>
        <v>1.3766222989813104</v>
      </c>
      <c r="W51" s="436">
        <f t="shared" si="26"/>
        <v>0</v>
      </c>
      <c r="X51" s="436">
        <f t="shared" si="26"/>
        <v>0</v>
      </c>
      <c r="Y51" s="436">
        <f t="shared" si="9"/>
        <v>94.059349180277351</v>
      </c>
      <c r="Z51" s="437">
        <f t="shared" si="10"/>
        <v>2.497140090885289</v>
      </c>
      <c r="AA51" s="370"/>
      <c r="AB51" s="370"/>
      <c r="AC51" s="370"/>
      <c r="AD51" s="370"/>
      <c r="AE51" s="370"/>
      <c r="AF51" s="370"/>
      <c r="AG51" s="370"/>
      <c r="AH51" s="370"/>
      <c r="AI51" s="370"/>
      <c r="AJ51" s="370"/>
      <c r="AK51" s="370"/>
      <c r="AL51" s="370"/>
      <c r="AM51" s="370"/>
      <c r="AN51" s="1"/>
      <c r="CV51" s="1"/>
      <c r="CW51" s="1"/>
      <c r="CX51" s="1"/>
      <c r="CY51" s="1"/>
      <c r="CZ51" s="1"/>
      <c r="DA51" s="1"/>
      <c r="DB51" s="1"/>
    </row>
    <row r="52" spans="1:121" ht="15.75" customHeight="1" x14ac:dyDescent="0.25">
      <c r="I52" s="432" t="s">
        <v>1258</v>
      </c>
      <c r="J52" s="433" t="s">
        <v>1259</v>
      </c>
      <c r="K52" s="431">
        <v>23</v>
      </c>
      <c r="L52" s="434"/>
      <c r="M52" s="434" t="str">
        <f>+'5. ANH'!J30</f>
        <v>Medium Oil</v>
      </c>
      <c r="N52" s="435">
        <f t="shared" ref="N52:X52" si="27">+N22*365*$D$7/1000</f>
        <v>0.71025387836690013</v>
      </c>
      <c r="O52" s="435">
        <f t="shared" si="27"/>
        <v>0.12213624750163826</v>
      </c>
      <c r="P52" s="435">
        <f t="shared" si="27"/>
        <v>0.38201649904628793</v>
      </c>
      <c r="Q52" s="436">
        <f t="shared" si="27"/>
        <v>0.71027406951378402</v>
      </c>
      <c r="R52" s="436">
        <f t="shared" si="27"/>
        <v>0</v>
      </c>
      <c r="S52" s="436">
        <f t="shared" si="27"/>
        <v>0</v>
      </c>
      <c r="T52" s="436">
        <f t="shared" si="27"/>
        <v>3.8100694170208539E-2</v>
      </c>
      <c r="U52" s="436">
        <f t="shared" si="27"/>
        <v>8.403555333142973E-2</v>
      </c>
      <c r="V52" s="436">
        <f t="shared" si="27"/>
        <v>0.58683549303812432</v>
      </c>
      <c r="W52" s="436">
        <f t="shared" si="27"/>
        <v>0.2061011318189738</v>
      </c>
      <c r="X52" s="436">
        <f t="shared" si="27"/>
        <v>1.2821378271373829E-3</v>
      </c>
      <c r="Y52" s="436">
        <f t="shared" si="9"/>
        <v>10.408512554584734</v>
      </c>
      <c r="Z52" s="437">
        <f t="shared" si="10"/>
        <v>0.71025387836690013</v>
      </c>
      <c r="AA52" s="370"/>
      <c r="AB52" s="370"/>
      <c r="AC52" s="370"/>
      <c r="AD52" s="370"/>
      <c r="AE52" s="370"/>
      <c r="AF52" s="370"/>
      <c r="AG52" s="370"/>
      <c r="AH52" s="370"/>
      <c r="AI52" s="370"/>
      <c r="AJ52" s="370"/>
      <c r="AK52" s="370"/>
      <c r="AL52" s="370"/>
      <c r="AM52" s="370"/>
      <c r="AN52" s="1"/>
      <c r="CV52" s="1"/>
      <c r="CW52" s="1"/>
      <c r="CX52" s="1"/>
      <c r="CY52" s="1"/>
      <c r="CZ52" s="1"/>
      <c r="DA52" s="1"/>
      <c r="DB52" s="1"/>
    </row>
    <row r="53" spans="1:121" ht="15.75" customHeight="1" x14ac:dyDescent="0.25">
      <c r="I53" s="432" t="s">
        <v>1258</v>
      </c>
      <c r="J53" s="433" t="s">
        <v>1261</v>
      </c>
      <c r="K53" s="431">
        <v>25.5</v>
      </c>
      <c r="L53" s="434"/>
      <c r="M53" s="434" t="str">
        <f>+'5. ANH'!J31</f>
        <v>Medium Oil</v>
      </c>
      <c r="N53" s="435">
        <f t="shared" ref="N53:X53" si="28">+N23*365*$D$7/1000</f>
        <v>0.31949461271981699</v>
      </c>
      <c r="O53" s="435">
        <f t="shared" si="28"/>
        <v>0.31949461271981699</v>
      </c>
      <c r="P53" s="435">
        <f t="shared" si="28"/>
        <v>0</v>
      </c>
      <c r="Q53" s="436">
        <f t="shared" si="28"/>
        <v>0.31951480386670106</v>
      </c>
      <c r="R53" s="436">
        <f t="shared" si="28"/>
        <v>0</v>
      </c>
      <c r="S53" s="436">
        <f t="shared" si="28"/>
        <v>0</v>
      </c>
      <c r="T53" s="436">
        <f t="shared" si="28"/>
        <v>0.16765718815173636</v>
      </c>
      <c r="U53" s="436">
        <f t="shared" si="28"/>
        <v>0.15183742456808058</v>
      </c>
      <c r="V53" s="436">
        <f t="shared" si="28"/>
        <v>0</v>
      </c>
      <c r="W53" s="436">
        <f t="shared" si="28"/>
        <v>0</v>
      </c>
      <c r="X53" s="436">
        <f t="shared" si="28"/>
        <v>0</v>
      </c>
      <c r="Y53" s="436">
        <f t="shared" si="9"/>
        <v>9.2296903712167389</v>
      </c>
      <c r="Z53" s="437">
        <f t="shared" si="10"/>
        <v>0.31949461271981699</v>
      </c>
      <c r="AA53" s="370"/>
      <c r="AB53" s="370"/>
      <c r="AC53" s="370"/>
      <c r="AD53" s="370"/>
      <c r="AE53" s="370"/>
      <c r="AF53" s="370"/>
      <c r="AG53" s="370"/>
      <c r="AH53" s="370"/>
      <c r="AI53" s="370"/>
      <c r="AJ53" s="370"/>
      <c r="AK53" s="370"/>
      <c r="AL53" s="370"/>
      <c r="AM53" s="370"/>
      <c r="AN53" s="1"/>
      <c r="CV53" s="1"/>
      <c r="CW53" s="1"/>
      <c r="CX53" s="1"/>
      <c r="CY53" s="1"/>
      <c r="CZ53" s="1"/>
      <c r="DA53" s="1"/>
      <c r="DB53" s="1"/>
    </row>
    <row r="54" spans="1:121" ht="15.75" customHeight="1" x14ac:dyDescent="0.25">
      <c r="I54" s="432" t="s">
        <v>1258</v>
      </c>
      <c r="J54" s="438" t="s">
        <v>1263</v>
      </c>
      <c r="K54" s="431">
        <v>21</v>
      </c>
      <c r="L54" s="434"/>
      <c r="M54" s="434" t="str">
        <f>+'5. ANH'!J32</f>
        <v>Medium Oil</v>
      </c>
      <c r="N54" s="435">
        <f t="shared" ref="N54:X54" si="29">+N24*365*$D$7/1000</f>
        <v>0.43874352621703561</v>
      </c>
      <c r="O54" s="435">
        <f t="shared" si="29"/>
        <v>5.7140945681870784E-3</v>
      </c>
      <c r="P54" s="435">
        <f t="shared" si="29"/>
        <v>0.23786180586758957</v>
      </c>
      <c r="Q54" s="436">
        <f t="shared" si="29"/>
        <v>0.4388141952311298</v>
      </c>
      <c r="R54" s="436">
        <f t="shared" si="29"/>
        <v>0</v>
      </c>
      <c r="S54" s="436">
        <f t="shared" si="29"/>
        <v>0</v>
      </c>
      <c r="T54" s="436">
        <f t="shared" si="29"/>
        <v>0</v>
      </c>
      <c r="U54" s="436">
        <f t="shared" si="29"/>
        <v>5.7140945681870784E-3</v>
      </c>
      <c r="V54" s="436">
        <f t="shared" si="29"/>
        <v>0.4330294316488485</v>
      </c>
      <c r="W54" s="436">
        <f t="shared" si="29"/>
        <v>0.19516762578125896</v>
      </c>
      <c r="X54" s="436">
        <f t="shared" si="29"/>
        <v>0</v>
      </c>
      <c r="Y54" s="436">
        <f t="shared" si="9"/>
        <v>8.7564836170076354</v>
      </c>
      <c r="Z54" s="437">
        <f t="shared" si="10"/>
        <v>0.43874352621703561</v>
      </c>
      <c r="AA54" s="370"/>
      <c r="AB54" s="370"/>
      <c r="AC54" s="370"/>
      <c r="AD54" s="370"/>
      <c r="AE54" s="370"/>
      <c r="AF54" s="370"/>
      <c r="AG54" s="370"/>
      <c r="AH54" s="370"/>
      <c r="AI54" s="370"/>
      <c r="AJ54" s="370"/>
      <c r="AK54" s="370"/>
      <c r="AL54" s="370"/>
      <c r="AM54" s="370"/>
      <c r="AN54" s="1"/>
      <c r="CV54" s="1"/>
      <c r="CW54" s="1"/>
      <c r="CX54" s="1"/>
      <c r="CY54" s="1"/>
      <c r="CZ54" s="1"/>
      <c r="DA54" s="1"/>
      <c r="DB54" s="1"/>
    </row>
    <row r="55" spans="1:121" ht="15.75" customHeight="1" x14ac:dyDescent="0.25">
      <c r="I55" s="432" t="s">
        <v>1266</v>
      </c>
      <c r="J55" s="440" t="s">
        <v>1267</v>
      </c>
      <c r="K55" s="431" t="s">
        <v>1101</v>
      </c>
      <c r="L55" s="434" t="s">
        <v>7</v>
      </c>
      <c r="M55" s="434" t="s">
        <v>1398</v>
      </c>
      <c r="N55" s="435">
        <f t="shared" ref="N55:X55" si="30">+N25*365*$D$7/1000</f>
        <v>1.0840525806313783</v>
      </c>
      <c r="O55" s="435">
        <f t="shared" si="30"/>
        <v>0</v>
      </c>
      <c r="P55" s="435">
        <f t="shared" si="30"/>
        <v>1.0840525806313783</v>
      </c>
      <c r="Q55" s="436">
        <f t="shared" si="30"/>
        <v>1.0840525806313783</v>
      </c>
      <c r="R55" s="436">
        <f t="shared" si="30"/>
        <v>0</v>
      </c>
      <c r="S55" s="436">
        <f t="shared" si="30"/>
        <v>0</v>
      </c>
      <c r="T55" s="436">
        <f t="shared" si="30"/>
        <v>0</v>
      </c>
      <c r="U55" s="436">
        <f t="shared" si="30"/>
        <v>0</v>
      </c>
      <c r="V55" s="436">
        <f t="shared" si="30"/>
        <v>0</v>
      </c>
      <c r="W55" s="436">
        <f t="shared" si="30"/>
        <v>0</v>
      </c>
      <c r="X55" s="436">
        <f t="shared" si="30"/>
        <v>1.0840525806313783</v>
      </c>
      <c r="Y55" s="436">
        <f t="shared" si="9"/>
        <v>0</v>
      </c>
      <c r="Z55" s="437">
        <f t="shared" si="10"/>
        <v>1.0840525806313783</v>
      </c>
      <c r="AA55" s="370"/>
      <c r="AB55" s="370"/>
      <c r="AC55" s="370"/>
      <c r="AD55" s="370"/>
      <c r="AE55" s="370"/>
      <c r="AF55" s="370"/>
      <c r="AG55" s="370"/>
      <c r="AH55" s="370"/>
      <c r="AI55" s="370"/>
      <c r="AJ55" s="370"/>
      <c r="AK55" s="370"/>
      <c r="AL55" s="370"/>
      <c r="AM55" s="370"/>
      <c r="AN55" s="1"/>
      <c r="CV55" s="1"/>
      <c r="CW55" s="1"/>
      <c r="CX55" s="1"/>
      <c r="CY55" s="1"/>
      <c r="CZ55" s="1"/>
      <c r="DA55" s="1"/>
      <c r="DB55" s="1"/>
    </row>
    <row r="56" spans="1:121" ht="15.75" customHeight="1" x14ac:dyDescent="0.25">
      <c r="I56" s="432" t="s">
        <v>1266</v>
      </c>
      <c r="J56" s="440" t="s">
        <v>1270</v>
      </c>
      <c r="K56" s="431" t="s">
        <v>1101</v>
      </c>
      <c r="L56" s="434" t="s">
        <v>7</v>
      </c>
      <c r="M56" s="434" t="s">
        <v>1398</v>
      </c>
      <c r="N56" s="435">
        <f t="shared" ref="N56:X56" si="31">+N26*365*$D$7/1000</f>
        <v>2.2925734862295029</v>
      </c>
      <c r="O56" s="435">
        <f t="shared" si="31"/>
        <v>4.8539517109264067E-2</v>
      </c>
      <c r="P56" s="435">
        <f t="shared" si="31"/>
        <v>2.2440339691202391</v>
      </c>
      <c r="Q56" s="436">
        <f t="shared" si="31"/>
        <v>2.292583581802945</v>
      </c>
      <c r="R56" s="436">
        <f t="shared" si="31"/>
        <v>0</v>
      </c>
      <c r="S56" s="436">
        <f t="shared" si="31"/>
        <v>0</v>
      </c>
      <c r="T56" s="436">
        <f t="shared" si="31"/>
        <v>4.2906187128613207E-3</v>
      </c>
      <c r="U56" s="436">
        <f t="shared" si="31"/>
        <v>4.4248898396402753E-2</v>
      </c>
      <c r="V56" s="436">
        <f t="shared" si="31"/>
        <v>0</v>
      </c>
      <c r="W56" s="436">
        <f t="shared" si="31"/>
        <v>0</v>
      </c>
      <c r="X56" s="436">
        <f t="shared" si="31"/>
        <v>2.2440339691202391</v>
      </c>
      <c r="Y56" s="537">
        <f t="shared" si="9"/>
        <v>1.3579511620070052E-2</v>
      </c>
      <c r="Z56" s="437">
        <f t="shared" si="10"/>
        <v>2.2925734862295029</v>
      </c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1"/>
      <c r="CV56" s="1"/>
      <c r="CW56" s="1"/>
      <c r="CX56" s="1"/>
      <c r="CY56" s="1"/>
      <c r="CZ56" s="1"/>
      <c r="DA56" s="1"/>
      <c r="DB56" s="1"/>
    </row>
    <row r="57" spans="1:121" ht="15.75" customHeight="1" x14ac:dyDescent="0.25">
      <c r="I57" s="432" t="s">
        <v>1266</v>
      </c>
      <c r="J57" s="440" t="s">
        <v>1271</v>
      </c>
      <c r="K57" s="431" t="s">
        <v>1101</v>
      </c>
      <c r="L57" s="434" t="s">
        <v>7</v>
      </c>
      <c r="M57" s="434" t="s">
        <v>1398</v>
      </c>
      <c r="N57" s="435">
        <f t="shared" ref="N57:X57" si="32">+N27*365*$D$7/1000</f>
        <v>10.354312893772342</v>
      </c>
      <c r="O57" s="435">
        <f t="shared" si="32"/>
        <v>0.21674186622686989</v>
      </c>
      <c r="P57" s="435">
        <f t="shared" si="32"/>
        <v>10.137571027545471</v>
      </c>
      <c r="Q57" s="436">
        <f t="shared" si="32"/>
        <v>10.35427251147857</v>
      </c>
      <c r="R57" s="436">
        <f t="shared" si="32"/>
        <v>0</v>
      </c>
      <c r="S57" s="436">
        <f t="shared" si="32"/>
        <v>0</v>
      </c>
      <c r="T57" s="436">
        <f t="shared" si="32"/>
        <v>1.8616237427097122E-2</v>
      </c>
      <c r="U57" s="436">
        <f t="shared" si="32"/>
        <v>0.19812562879977277</v>
      </c>
      <c r="V57" s="436">
        <f t="shared" si="32"/>
        <v>0</v>
      </c>
      <c r="W57" s="436">
        <f t="shared" si="32"/>
        <v>0</v>
      </c>
      <c r="X57" s="436">
        <f t="shared" si="32"/>
        <v>10.137571027545471</v>
      </c>
      <c r="Y57" s="537">
        <f t="shared" si="9"/>
        <v>6.1343436802343387E-2</v>
      </c>
      <c r="Z57" s="437">
        <f t="shared" si="10"/>
        <v>10.354312893772342</v>
      </c>
      <c r="AA57" s="370"/>
      <c r="AB57" s="370"/>
      <c r="AC57" s="370"/>
      <c r="AD57" s="370"/>
      <c r="AE57" s="370"/>
      <c r="AF57" s="370"/>
      <c r="AG57" s="370"/>
      <c r="AH57" s="370"/>
      <c r="AI57" s="370"/>
      <c r="AJ57" s="370"/>
      <c r="AK57" s="370"/>
      <c r="AL57" s="370"/>
      <c r="AM57" s="370"/>
      <c r="AN57" s="1"/>
      <c r="CV57" s="1"/>
      <c r="CW57" s="1"/>
      <c r="CX57" s="1"/>
      <c r="CY57" s="1"/>
      <c r="CZ57" s="1"/>
      <c r="DA57" s="1"/>
      <c r="DB57" s="1"/>
    </row>
    <row r="58" spans="1:121" ht="15.75" customHeight="1" x14ac:dyDescent="0.25">
      <c r="A58" s="1"/>
      <c r="B58" s="1"/>
      <c r="C58" s="1"/>
      <c r="D58" s="1"/>
      <c r="E58" s="1"/>
      <c r="F58" s="1"/>
      <c r="G58" s="1"/>
      <c r="H58" s="1"/>
      <c r="I58" s="538"/>
      <c r="J58" s="389"/>
      <c r="K58" s="243"/>
      <c r="L58" s="16"/>
      <c r="M58" s="16"/>
      <c r="N58" s="539"/>
      <c r="O58" s="539"/>
      <c r="P58" s="539"/>
      <c r="Q58" s="539"/>
      <c r="R58" s="539"/>
      <c r="S58" s="539"/>
      <c r="T58" s="539"/>
      <c r="U58" s="539"/>
      <c r="V58" s="539"/>
      <c r="W58" s="539"/>
      <c r="X58" s="539"/>
      <c r="Y58" s="539"/>
      <c r="Z58" s="540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</row>
    <row r="59" spans="1:121" ht="15.75" customHeight="1" x14ac:dyDescent="0.25">
      <c r="A59" s="1"/>
      <c r="B59" s="1"/>
      <c r="C59" s="1"/>
      <c r="D59" s="1"/>
      <c r="E59" s="1"/>
      <c r="F59" s="1"/>
      <c r="G59" s="1"/>
      <c r="H59" s="1"/>
      <c r="I59" s="538"/>
      <c r="J59" s="389"/>
      <c r="K59" s="243"/>
      <c r="L59" s="16"/>
      <c r="M59" s="16"/>
      <c r="N59" s="539"/>
      <c r="O59" s="539"/>
      <c r="P59" s="539"/>
      <c r="Q59" s="539"/>
      <c r="R59" s="539"/>
      <c r="S59" s="539"/>
      <c r="T59" s="539"/>
      <c r="U59" s="539"/>
      <c r="V59" s="539"/>
      <c r="W59" s="539"/>
      <c r="X59" s="539"/>
      <c r="Y59" s="539"/>
      <c r="Z59" s="540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</row>
    <row r="60" spans="1:121" ht="15.75" customHeight="1" x14ac:dyDescent="0.25">
      <c r="A60" s="1"/>
      <c r="B60" s="1"/>
      <c r="C60" s="1"/>
      <c r="D60" s="1"/>
      <c r="E60" s="1"/>
      <c r="F60" s="1"/>
      <c r="G60" s="1"/>
      <c r="H60" s="1"/>
      <c r="I60" s="538"/>
      <c r="J60" s="389"/>
      <c r="K60" s="243"/>
      <c r="L60" s="16"/>
      <c r="M60" s="16"/>
      <c r="N60" s="539"/>
      <c r="O60" s="539"/>
      <c r="P60" s="539"/>
      <c r="Q60" s="539"/>
      <c r="R60" s="539"/>
      <c r="S60" s="539"/>
      <c r="T60" s="539"/>
      <c r="U60" s="539"/>
      <c r="V60" s="539"/>
      <c r="W60" s="539"/>
      <c r="X60" s="539"/>
      <c r="Y60" s="539"/>
      <c r="Z60" s="540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</row>
    <row r="61" spans="1:121" ht="15.75" customHeight="1" x14ac:dyDescent="0.25">
      <c r="B61" s="1"/>
      <c r="C61" s="1"/>
      <c r="D61" s="1"/>
      <c r="E61" s="1"/>
      <c r="F61" s="1"/>
      <c r="G61" s="1"/>
      <c r="H61" s="1"/>
      <c r="I61" s="1"/>
      <c r="T61" s="205">
        <f>+SUM(T35:T57)</f>
        <v>33.632625562956704</v>
      </c>
      <c r="CV61" s="1"/>
      <c r="CW61" s="1"/>
      <c r="CX61" s="1"/>
      <c r="CY61" s="1"/>
      <c r="CZ61" s="1"/>
      <c r="DA61" s="1"/>
      <c r="DB61" s="1"/>
    </row>
    <row r="62" spans="1:121" ht="15.75" customHeight="1" x14ac:dyDescent="0.25">
      <c r="B62" s="1"/>
      <c r="C62" s="1"/>
      <c r="D62" s="1"/>
      <c r="E62" s="1"/>
      <c r="F62" s="1"/>
      <c r="G62" s="1"/>
      <c r="H62" s="1"/>
      <c r="I62" s="1"/>
      <c r="CV62" s="1"/>
      <c r="CW62" s="1"/>
      <c r="CX62" s="1"/>
      <c r="CY62" s="1"/>
      <c r="CZ62" s="1"/>
      <c r="DA62" s="1"/>
      <c r="DB62" s="1"/>
    </row>
    <row r="63" spans="1:121" ht="15.75" customHeight="1" x14ac:dyDescent="0.25">
      <c r="B63" s="1"/>
      <c r="C63" s="1"/>
      <c r="D63" s="1"/>
      <c r="E63" s="1"/>
      <c r="F63" s="1"/>
      <c r="G63" s="1"/>
      <c r="H63" s="1"/>
      <c r="I63" s="1"/>
      <c r="Y63" s="205"/>
      <c r="BL63" s="488"/>
      <c r="BM63" s="12" t="s">
        <v>1412</v>
      </c>
      <c r="CV63" s="1"/>
      <c r="CW63" s="1"/>
      <c r="CX63" s="1"/>
      <c r="CY63" s="1"/>
      <c r="CZ63" s="1"/>
      <c r="DA63" s="1"/>
      <c r="DB63" s="1"/>
    </row>
    <row r="64" spans="1:121" ht="15.75" customHeight="1" x14ac:dyDescent="0.25">
      <c r="N64" s="205"/>
      <c r="R64" s="857" t="s">
        <v>1413</v>
      </c>
      <c r="S64" s="809"/>
      <c r="T64" s="809"/>
      <c r="U64" s="809"/>
      <c r="V64" s="810"/>
      <c r="W64" s="858" t="s">
        <v>1414</v>
      </c>
      <c r="X64" s="809"/>
      <c r="Y64" s="809"/>
      <c r="Z64" s="810"/>
      <c r="AA64" s="541" t="s">
        <v>1415</v>
      </c>
      <c r="AB64" s="12" t="s">
        <v>1416</v>
      </c>
      <c r="CV64" s="1"/>
      <c r="CW64" s="1"/>
      <c r="CX64" s="1"/>
      <c r="CY64" s="1"/>
      <c r="CZ64" s="1"/>
      <c r="DA64" s="1"/>
      <c r="DB64" s="1"/>
    </row>
    <row r="65" spans="1:121" ht="15.75" customHeight="1" x14ac:dyDescent="0.25">
      <c r="N65" s="14" t="str">
        <f t="shared" ref="N65:O65" si="33">Y33</f>
        <v>PJ</v>
      </c>
      <c r="O65" s="14" t="str">
        <f t="shared" si="33"/>
        <v>PJ</v>
      </c>
      <c r="P65" s="542" t="s">
        <v>1417</v>
      </c>
      <c r="Q65" s="542" t="s">
        <v>59</v>
      </c>
      <c r="R65" s="543" t="str">
        <f t="shared" ref="R65:V65" si="34">T33</f>
        <v>PJ</v>
      </c>
      <c r="S65" s="543" t="str">
        <f t="shared" si="34"/>
        <v>PJ</v>
      </c>
      <c r="T65" s="543" t="str">
        <f t="shared" si="34"/>
        <v>PJ</v>
      </c>
      <c r="U65" s="543" t="str">
        <f t="shared" si="34"/>
        <v>PJ</v>
      </c>
      <c r="V65" s="543" t="str">
        <f t="shared" si="34"/>
        <v>PJ</v>
      </c>
      <c r="W65" s="544" t="s">
        <v>1417</v>
      </c>
      <c r="X65" s="544" t="s">
        <v>1417</v>
      </c>
      <c r="Y65" s="544" t="s">
        <v>1417</v>
      </c>
      <c r="Z65" s="544" t="s">
        <v>1417</v>
      </c>
      <c r="AA65" s="263" t="s">
        <v>1417</v>
      </c>
      <c r="AB65" s="439" t="s">
        <v>59</v>
      </c>
      <c r="AC65" s="439" t="s">
        <v>1418</v>
      </c>
      <c r="AD65" s="542" t="s">
        <v>59</v>
      </c>
      <c r="AE65" s="542" t="s">
        <v>1418</v>
      </c>
      <c r="AF65" s="542" t="s">
        <v>59</v>
      </c>
      <c r="AG65" s="542" t="s">
        <v>1418</v>
      </c>
      <c r="AH65" s="14" t="s">
        <v>59</v>
      </c>
      <c r="AI65" s="859" t="s">
        <v>1419</v>
      </c>
      <c r="AJ65" s="841"/>
      <c r="AK65" s="841"/>
      <c r="AL65" s="841"/>
      <c r="AM65" s="841"/>
      <c r="AN65" s="841"/>
      <c r="AO65" s="841"/>
      <c r="AP65" s="841"/>
      <c r="AQ65" s="841"/>
      <c r="AR65" s="841"/>
      <c r="AS65" s="841"/>
      <c r="AT65" s="841"/>
      <c r="AU65" s="841"/>
      <c r="AV65" s="824"/>
      <c r="AW65" s="859" t="s">
        <v>1420</v>
      </c>
      <c r="AX65" s="841"/>
      <c r="AY65" s="841"/>
      <c r="AZ65" s="841"/>
      <c r="BA65" s="841"/>
      <c r="BB65" s="841"/>
      <c r="BC65" s="841"/>
      <c r="BD65" s="841"/>
      <c r="BE65" s="841"/>
      <c r="BF65" s="841"/>
      <c r="BG65" s="841"/>
      <c r="BH65" s="841"/>
      <c r="BI65" s="841"/>
      <c r="BJ65" s="824"/>
      <c r="BK65" s="859" t="s">
        <v>1421</v>
      </c>
      <c r="BL65" s="841"/>
      <c r="BM65" s="841"/>
      <c r="BN65" s="841"/>
      <c r="BO65" s="841"/>
      <c r="BP65" s="841"/>
      <c r="BQ65" s="841"/>
      <c r="BR65" s="841"/>
      <c r="BS65" s="841"/>
      <c r="BT65" s="841"/>
      <c r="BU65" s="841"/>
      <c r="BV65" s="841"/>
      <c r="BW65" s="841"/>
      <c r="BX65" s="824"/>
      <c r="BY65" s="545"/>
      <c r="BZ65" s="545"/>
      <c r="CA65" s="545"/>
      <c r="CB65" s="546" t="s">
        <v>1419</v>
      </c>
      <c r="CC65" s="547"/>
      <c r="CD65" s="547"/>
      <c r="CE65" s="547"/>
      <c r="CF65" s="547"/>
      <c r="CG65" s="547"/>
      <c r="CH65" s="547"/>
      <c r="CI65" s="547"/>
      <c r="CJ65" s="547"/>
      <c r="CK65" s="547"/>
      <c r="CL65" s="547"/>
      <c r="CM65" s="547"/>
      <c r="CN65" s="547"/>
      <c r="CO65" s="548"/>
      <c r="CP65" s="546" t="s">
        <v>1420</v>
      </c>
      <c r="CQ65" s="547"/>
      <c r="CR65" s="547"/>
      <c r="CS65" s="547"/>
      <c r="CT65" s="547"/>
      <c r="CU65" s="547"/>
      <c r="CV65" s="547"/>
      <c r="CW65" s="547"/>
      <c r="CX65" s="547"/>
      <c r="CY65" s="547"/>
      <c r="CZ65" s="547"/>
      <c r="DA65" s="547"/>
      <c r="DB65" s="547"/>
      <c r="DC65" s="548"/>
      <c r="DD65" s="546" t="s">
        <v>1421</v>
      </c>
      <c r="DE65" s="547"/>
      <c r="DF65" s="547"/>
      <c r="DG65" s="547"/>
      <c r="DH65" s="547"/>
      <c r="DI65" s="547"/>
      <c r="DJ65" s="547"/>
      <c r="DK65" s="547"/>
      <c r="DL65" s="547"/>
      <c r="DM65" s="547"/>
      <c r="DN65" s="547"/>
      <c r="DO65" s="547"/>
      <c r="DP65" s="547"/>
      <c r="DQ65" s="548"/>
    </row>
    <row r="66" spans="1:121" ht="15.75" customHeight="1" x14ac:dyDescent="0.25">
      <c r="A66" s="5"/>
      <c r="B66" s="5"/>
      <c r="C66" s="5"/>
      <c r="D66" s="5"/>
      <c r="E66" s="5"/>
      <c r="F66" s="5"/>
      <c r="G66" s="5"/>
      <c r="H66" s="5"/>
      <c r="I66" s="428" t="s">
        <v>1204</v>
      </c>
      <c r="J66" s="428" t="s">
        <v>1205</v>
      </c>
      <c r="K66" s="428" t="s">
        <v>1206</v>
      </c>
      <c r="L66" s="429"/>
      <c r="M66" s="428" t="str">
        <f t="shared" ref="M66:M86" si="35">M34</f>
        <v>Type of Oil producing</v>
      </c>
      <c r="N66" s="428" t="s">
        <v>1422</v>
      </c>
      <c r="O66" s="428" t="s">
        <v>1423</v>
      </c>
      <c r="P66" s="549" t="s">
        <v>1424</v>
      </c>
      <c r="Q66" s="549" t="s">
        <v>1425</v>
      </c>
      <c r="R66" s="430" t="s">
        <v>1426</v>
      </c>
      <c r="S66" s="430" t="s">
        <v>1427</v>
      </c>
      <c r="T66" s="430" t="s">
        <v>1428</v>
      </c>
      <c r="U66" s="430" t="s">
        <v>1429</v>
      </c>
      <c r="V66" s="430" t="s">
        <v>1430</v>
      </c>
      <c r="W66" s="550" t="s">
        <v>1431</v>
      </c>
      <c r="X66" s="550" t="s">
        <v>1432</v>
      </c>
      <c r="Y66" s="550" t="s">
        <v>1433</v>
      </c>
      <c r="Z66" s="550" t="s">
        <v>1434</v>
      </c>
      <c r="AA66" s="551" t="s">
        <v>1435</v>
      </c>
      <c r="AB66" s="552" t="s">
        <v>1436</v>
      </c>
      <c r="AC66" s="552" t="s">
        <v>1437</v>
      </c>
      <c r="AD66" s="549" t="s">
        <v>1438</v>
      </c>
      <c r="AE66" s="549" t="s">
        <v>1439</v>
      </c>
      <c r="AF66" s="549" t="s">
        <v>1440</v>
      </c>
      <c r="AG66" s="549" t="s">
        <v>1441</v>
      </c>
      <c r="AH66" s="553" t="s">
        <v>1442</v>
      </c>
      <c r="AI66" s="554">
        <v>2019</v>
      </c>
      <c r="AJ66" s="527">
        <v>2020</v>
      </c>
      <c r="AK66" s="527">
        <v>2023</v>
      </c>
      <c r="AL66" s="527">
        <v>2025</v>
      </c>
      <c r="AM66" s="527">
        <v>2027</v>
      </c>
      <c r="AN66" s="527">
        <v>2030</v>
      </c>
      <c r="AO66" s="527">
        <v>2033</v>
      </c>
      <c r="AP66" s="527">
        <v>2035</v>
      </c>
      <c r="AQ66" s="527">
        <v>2037</v>
      </c>
      <c r="AR66" s="527">
        <v>2040</v>
      </c>
      <c r="AS66" s="527">
        <v>2043</v>
      </c>
      <c r="AT66" s="527">
        <v>2045</v>
      </c>
      <c r="AU66" s="527">
        <v>2047</v>
      </c>
      <c r="AV66" s="555">
        <v>2050</v>
      </c>
      <c r="AW66" s="554">
        <v>2019</v>
      </c>
      <c r="AX66" s="527">
        <v>2020</v>
      </c>
      <c r="AY66" s="527">
        <v>2023</v>
      </c>
      <c r="AZ66" s="527">
        <v>2025</v>
      </c>
      <c r="BA66" s="527">
        <v>2027</v>
      </c>
      <c r="BB66" s="527">
        <v>2030</v>
      </c>
      <c r="BC66" s="527">
        <v>2033</v>
      </c>
      <c r="BD66" s="527">
        <v>2035</v>
      </c>
      <c r="BE66" s="527">
        <v>2037</v>
      </c>
      <c r="BF66" s="527">
        <v>2040</v>
      </c>
      <c r="BG66" s="527">
        <v>2043</v>
      </c>
      <c r="BH66" s="527">
        <v>2045</v>
      </c>
      <c r="BI66" s="527">
        <v>2047</v>
      </c>
      <c r="BJ66" s="555">
        <v>2050</v>
      </c>
      <c r="BK66" s="554">
        <v>2019</v>
      </c>
      <c r="BL66" s="527">
        <v>2020</v>
      </c>
      <c r="BM66" s="527">
        <v>2023</v>
      </c>
      <c r="BN66" s="527">
        <v>2025</v>
      </c>
      <c r="BO66" s="527">
        <v>2027</v>
      </c>
      <c r="BP66" s="527">
        <v>2030</v>
      </c>
      <c r="BQ66" s="527">
        <v>2033</v>
      </c>
      <c r="BR66" s="527">
        <v>2035</v>
      </c>
      <c r="BS66" s="527">
        <v>2037</v>
      </c>
      <c r="BT66" s="527">
        <v>2040</v>
      </c>
      <c r="BU66" s="527">
        <v>2043</v>
      </c>
      <c r="BV66" s="527">
        <v>2045</v>
      </c>
      <c r="BW66" s="527">
        <v>2047</v>
      </c>
      <c r="BX66" s="555">
        <v>2050</v>
      </c>
      <c r="BY66" s="426"/>
      <c r="BZ66" s="426"/>
      <c r="CA66" s="426"/>
      <c r="CB66" s="554">
        <v>2019</v>
      </c>
      <c r="CC66" s="527">
        <v>2020</v>
      </c>
      <c r="CD66" s="527">
        <v>2023</v>
      </c>
      <c r="CE66" s="527">
        <v>2025</v>
      </c>
      <c r="CF66" s="527">
        <v>2027</v>
      </c>
      <c r="CG66" s="527">
        <v>2030</v>
      </c>
      <c r="CH66" s="527">
        <v>2033</v>
      </c>
      <c r="CI66" s="527">
        <v>2035</v>
      </c>
      <c r="CJ66" s="527">
        <v>2037</v>
      </c>
      <c r="CK66" s="527">
        <v>2040</v>
      </c>
      <c r="CL66" s="527">
        <v>2043</v>
      </c>
      <c r="CM66" s="527">
        <v>2045</v>
      </c>
      <c r="CN66" s="527">
        <v>2047</v>
      </c>
      <c r="CO66" s="555">
        <v>2050</v>
      </c>
      <c r="CP66" s="554">
        <v>2019</v>
      </c>
      <c r="CQ66" s="527">
        <v>2020</v>
      </c>
      <c r="CR66" s="527">
        <v>2023</v>
      </c>
      <c r="CS66" s="527">
        <v>2025</v>
      </c>
      <c r="CT66" s="527">
        <v>2027</v>
      </c>
      <c r="CU66" s="527">
        <v>2030</v>
      </c>
      <c r="CV66" s="527">
        <v>2033</v>
      </c>
      <c r="CW66" s="527">
        <v>2035</v>
      </c>
      <c r="CX66" s="527">
        <v>2037</v>
      </c>
      <c r="CY66" s="527">
        <v>2040</v>
      </c>
      <c r="CZ66" s="527">
        <v>2043</v>
      </c>
      <c r="DA66" s="527">
        <v>2045</v>
      </c>
      <c r="DB66" s="527">
        <v>2047</v>
      </c>
      <c r="DC66" s="555">
        <v>2050</v>
      </c>
      <c r="DD66" s="554">
        <v>2019</v>
      </c>
      <c r="DE66" s="527">
        <v>2020</v>
      </c>
      <c r="DF66" s="527">
        <v>2023</v>
      </c>
      <c r="DG66" s="527">
        <v>2025</v>
      </c>
      <c r="DH66" s="527">
        <v>2027</v>
      </c>
      <c r="DI66" s="527">
        <v>2030</v>
      </c>
      <c r="DJ66" s="527">
        <v>2033</v>
      </c>
      <c r="DK66" s="527">
        <v>2035</v>
      </c>
      <c r="DL66" s="527">
        <v>2037</v>
      </c>
      <c r="DM66" s="527">
        <v>2040</v>
      </c>
      <c r="DN66" s="527">
        <v>2043</v>
      </c>
      <c r="DO66" s="527">
        <v>2045</v>
      </c>
      <c r="DP66" s="527">
        <v>2047</v>
      </c>
      <c r="DQ66" s="555">
        <v>2050</v>
      </c>
    </row>
    <row r="67" spans="1:121" ht="15.75" customHeight="1" x14ac:dyDescent="0.25">
      <c r="I67" s="432" t="s">
        <v>1224</v>
      </c>
      <c r="J67" s="433" t="s">
        <v>1225</v>
      </c>
      <c r="K67" s="431" t="s">
        <v>1101</v>
      </c>
      <c r="L67" s="434" t="s">
        <v>7</v>
      </c>
      <c r="M67" s="434" t="str">
        <f t="shared" si="35"/>
        <v>Doesn't Apply</v>
      </c>
      <c r="N67" s="436">
        <f t="shared" ref="N67:O67" si="36">Y35</f>
        <v>0</v>
      </c>
      <c r="O67" s="556">
        <f t="shared" si="36"/>
        <v>60.04622961587031</v>
      </c>
      <c r="P67" s="557">
        <f t="shared" ref="P67:P89" si="37">+O67/(N67+O67)</f>
        <v>1</v>
      </c>
      <c r="Q67" s="558">
        <f t="shared" ref="Q67:Q89" si="38">+V67+T67-U67</f>
        <v>57.556398720157048</v>
      </c>
      <c r="R67" s="435">
        <f t="shared" ref="R67:V67" si="39">T35</f>
        <v>2.4069462377542221</v>
      </c>
      <c r="S67" s="435">
        <f t="shared" si="39"/>
        <v>8.2884657959038696E-2</v>
      </c>
      <c r="T67" s="435">
        <f t="shared" si="39"/>
        <v>4.8961411123406373</v>
      </c>
      <c r="U67" s="435">
        <f t="shared" si="39"/>
        <v>0</v>
      </c>
      <c r="V67" s="435">
        <f t="shared" si="39"/>
        <v>52.660257607816412</v>
      </c>
      <c r="W67" s="559">
        <f t="shared" ref="W67:Y67" si="40">+IF($O67=0,"-",R67/$O67)</f>
        <v>4.0084885481603369E-2</v>
      </c>
      <c r="X67" s="559">
        <f t="shared" si="40"/>
        <v>1.3803474171362818E-3</v>
      </c>
      <c r="Y67" s="559">
        <f t="shared" si="40"/>
        <v>8.1539526189444198E-2</v>
      </c>
      <c r="Z67" s="559">
        <f t="shared" ref="Z67:Z89" si="41">+IF($O67=0,"-",V67/$O67)</f>
        <v>0.87699524091181613</v>
      </c>
      <c r="AA67" s="560">
        <f t="shared" ref="AA67:AA89" si="42">+IF($T67=0,"-",U67/$T67)</f>
        <v>0</v>
      </c>
      <c r="AB67" s="561">
        <f>+'5. GlobalData'!M6*1000*$D$21/1000</f>
        <v>175.46031657600003</v>
      </c>
      <c r="AC67" s="562">
        <f t="shared" ref="AC67:AC89" si="43">+AB67/(Q67+N67)</f>
        <v>3.0484936597423249</v>
      </c>
      <c r="AD67" s="563">
        <f t="shared" ref="AD67:AD89" si="44">+AB67*(N67/(N67+O67))</f>
        <v>0</v>
      </c>
      <c r="AE67" s="564" t="str">
        <f t="shared" ref="AE67:AE89" si="45">+IF(N67=0,"-",AD67/N67)</f>
        <v>-</v>
      </c>
      <c r="AF67" s="563">
        <f t="shared" ref="AF67:AF89" si="46">+AB67*(O67/(O67+N67))</f>
        <v>175.46031657600003</v>
      </c>
      <c r="AG67" s="565">
        <f t="shared" ref="AG67:AG89" si="47">+IF(O67=0,"-",AF67/O67)</f>
        <v>2.9220871601507783</v>
      </c>
      <c r="AH67" s="402">
        <f t="shared" ref="AH67:AH89" si="48">+N67+O67</f>
        <v>60.04622961587031</v>
      </c>
      <c r="AI67" s="566">
        <v>1</v>
      </c>
      <c r="AJ67" s="567">
        <v>0.82105610703186049</v>
      </c>
      <c r="AK67" s="567">
        <v>0.65141290382779549</v>
      </c>
      <c r="AL67" s="567">
        <v>0.53831743502508556</v>
      </c>
      <c r="AM67" s="567">
        <v>0.42181118695405573</v>
      </c>
      <c r="AN67" s="567">
        <v>0.24705181484752231</v>
      </c>
      <c r="AO67" s="567">
        <v>7.2292442740975987E-2</v>
      </c>
      <c r="AP67" s="567">
        <v>0</v>
      </c>
      <c r="AQ67" s="567">
        <v>0</v>
      </c>
      <c r="AR67" s="567">
        <v>0</v>
      </c>
      <c r="AS67" s="567">
        <v>0</v>
      </c>
      <c r="AT67" s="567">
        <v>0</v>
      </c>
      <c r="AU67" s="567">
        <v>0</v>
      </c>
      <c r="AV67" s="568">
        <v>0</v>
      </c>
      <c r="AW67" s="569">
        <f t="shared" ref="AW67:BJ67" si="49">+IF(AI67="","",AI67*$AH67)</f>
        <v>60.04622961587031</v>
      </c>
      <c r="AX67" s="570">
        <f t="shared" si="49"/>
        <v>49.301323530347688</v>
      </c>
      <c r="AY67" s="570">
        <f t="shared" si="49"/>
        <v>39.114888797984648</v>
      </c>
      <c r="AZ67" s="570">
        <f t="shared" si="49"/>
        <v>32.323932309742631</v>
      </c>
      <c r="BA67" s="570">
        <f t="shared" si="49"/>
        <v>25.328171386386028</v>
      </c>
      <c r="BB67" s="570">
        <f t="shared" si="49"/>
        <v>14.834530001351803</v>
      </c>
      <c r="BC67" s="570">
        <f t="shared" si="49"/>
        <v>4.3408886163168008</v>
      </c>
      <c r="BD67" s="570">
        <f t="shared" si="49"/>
        <v>0</v>
      </c>
      <c r="BE67" s="570">
        <f t="shared" si="49"/>
        <v>0</v>
      </c>
      <c r="BF67" s="570">
        <f t="shared" si="49"/>
        <v>0</v>
      </c>
      <c r="BG67" s="570">
        <f t="shared" si="49"/>
        <v>0</v>
      </c>
      <c r="BH67" s="570">
        <f t="shared" si="49"/>
        <v>0</v>
      </c>
      <c r="BI67" s="570">
        <f t="shared" si="49"/>
        <v>0</v>
      </c>
      <c r="BJ67" s="571">
        <f t="shared" si="49"/>
        <v>0</v>
      </c>
      <c r="BK67" s="569">
        <v>60.04622961587031</v>
      </c>
      <c r="BL67" s="570">
        <v>49.301323530347688</v>
      </c>
      <c r="BM67" s="572">
        <v>39.114888797984648</v>
      </c>
      <c r="BN67" s="570">
        <v>32.323932309742631</v>
      </c>
      <c r="BO67" s="570">
        <v>25.328171386386028</v>
      </c>
      <c r="BP67" s="573">
        <v>14.834530001351803</v>
      </c>
      <c r="BQ67" s="573">
        <v>4.3408886163168008</v>
      </c>
      <c r="BR67" s="573">
        <v>0</v>
      </c>
      <c r="BS67" s="573">
        <v>0</v>
      </c>
      <c r="BT67" s="573">
        <v>0</v>
      </c>
      <c r="BU67" s="573">
        <v>0</v>
      </c>
      <c r="BV67" s="573">
        <v>0</v>
      </c>
      <c r="BW67" s="573">
        <v>0</v>
      </c>
      <c r="BX67" s="574">
        <v>0</v>
      </c>
      <c r="BY67" s="400"/>
      <c r="BZ67" s="400"/>
      <c r="CA67" s="400"/>
      <c r="CB67" s="566" t="str">
        <f>+IF('5. GlobalData'!BF117="","",'5. GlobalData'!BF117)</f>
        <v/>
      </c>
      <c r="CC67" s="567" t="str">
        <f>+IF('5. GlobalData'!BG117="","",'5. GlobalData'!BG117)</f>
        <v/>
      </c>
      <c r="CD67" s="567" t="str">
        <f>+IF('5. GlobalData'!BH117="","",'5. GlobalData'!BH117)</f>
        <v/>
      </c>
      <c r="CE67" s="567" t="str">
        <f>+IF('5. GlobalData'!BI117="","",'5. GlobalData'!BI117)</f>
        <v/>
      </c>
      <c r="CF67" s="567" t="str">
        <f>+IF('5. GlobalData'!BJ117="","",'5. GlobalData'!BJ117)</f>
        <v/>
      </c>
      <c r="CG67" s="567" t="str">
        <f>+IF('5. GlobalData'!BK117="","",'5. GlobalData'!BK117)</f>
        <v/>
      </c>
      <c r="CH67" s="567" t="str">
        <f>+IF('5. GlobalData'!BL117="","",'5. GlobalData'!BL117)</f>
        <v/>
      </c>
      <c r="CI67" s="567" t="str">
        <f>+IF('5. GlobalData'!BM117="","",'5. GlobalData'!BM117)</f>
        <v/>
      </c>
      <c r="CJ67" s="567" t="str">
        <f>+IF('5. GlobalData'!BN117="","",'5. GlobalData'!BN117)</f>
        <v/>
      </c>
      <c r="CK67" s="567" t="str">
        <f>+IF('5. GlobalData'!BO117="","",'5. GlobalData'!BO117)</f>
        <v/>
      </c>
      <c r="CL67" s="567" t="str">
        <f>+IF('5. GlobalData'!BP117="","",'5. GlobalData'!BP117)</f>
        <v/>
      </c>
      <c r="CM67" s="567" t="str">
        <f>+IF('5. GlobalData'!BQ117="","",'5. GlobalData'!BQ117)</f>
        <v/>
      </c>
      <c r="CN67" s="567" t="str">
        <f>+IF('5. GlobalData'!BR117="","",'5. GlobalData'!BR117)</f>
        <v/>
      </c>
      <c r="CO67" s="568" t="str">
        <f>+IF('5. GlobalData'!BS117="","",'5. GlobalData'!BS117)</f>
        <v/>
      </c>
      <c r="CP67" s="569" t="str">
        <f t="shared" ref="CP67:DC67" si="50">+IF(CB67="","",CB67*$AH67)</f>
        <v/>
      </c>
      <c r="CQ67" s="570" t="str">
        <f t="shared" si="50"/>
        <v/>
      </c>
      <c r="CR67" s="570" t="str">
        <f t="shared" si="50"/>
        <v/>
      </c>
      <c r="CS67" s="570" t="str">
        <f t="shared" si="50"/>
        <v/>
      </c>
      <c r="CT67" s="570" t="str">
        <f t="shared" si="50"/>
        <v/>
      </c>
      <c r="CU67" s="570" t="str">
        <f t="shared" si="50"/>
        <v/>
      </c>
      <c r="CV67" s="570" t="str">
        <f t="shared" si="50"/>
        <v/>
      </c>
      <c r="CW67" s="570" t="str">
        <f t="shared" si="50"/>
        <v/>
      </c>
      <c r="CX67" s="570" t="str">
        <f t="shared" si="50"/>
        <v/>
      </c>
      <c r="CY67" s="570" t="str">
        <f t="shared" si="50"/>
        <v/>
      </c>
      <c r="CZ67" s="570" t="str">
        <f t="shared" si="50"/>
        <v/>
      </c>
      <c r="DA67" s="570" t="str">
        <f t="shared" si="50"/>
        <v/>
      </c>
      <c r="DB67" s="570" t="str">
        <f t="shared" si="50"/>
        <v/>
      </c>
      <c r="DC67" s="571" t="str">
        <f t="shared" si="50"/>
        <v/>
      </c>
      <c r="DD67" s="569">
        <v>60.04622961587031</v>
      </c>
      <c r="DE67" s="570">
        <v>42.664606901262424</v>
      </c>
      <c r="DF67" s="572">
        <f>+DE67+(DG67-DE67)*(2023-2020)/(2025-2020)</f>
        <v>33.849422998255946</v>
      </c>
      <c r="DG67" s="570">
        <v>27.972633729584967</v>
      </c>
      <c r="DH67" s="570">
        <v>21.918609853603293</v>
      </c>
      <c r="DI67" s="573" t="s">
        <v>1443</v>
      </c>
      <c r="DJ67" s="573" t="s">
        <v>1443</v>
      </c>
      <c r="DK67" s="573" t="s">
        <v>1443</v>
      </c>
      <c r="DL67" s="573" t="s">
        <v>1443</v>
      </c>
      <c r="DM67" s="573" t="s">
        <v>1443</v>
      </c>
      <c r="DN67" s="573" t="s">
        <v>1443</v>
      </c>
      <c r="DO67" s="573" t="s">
        <v>1443</v>
      </c>
      <c r="DP67" s="573" t="s">
        <v>1443</v>
      </c>
      <c r="DQ67" s="574" t="s">
        <v>1443</v>
      </c>
    </row>
    <row r="68" spans="1:121" ht="15.75" customHeight="1" x14ac:dyDescent="0.25">
      <c r="I68" s="432" t="s">
        <v>1224</v>
      </c>
      <c r="J68" s="433" t="s">
        <v>1226</v>
      </c>
      <c r="K68" s="431" t="s">
        <v>1101</v>
      </c>
      <c r="L68" s="434" t="s">
        <v>7</v>
      </c>
      <c r="M68" s="434" t="str">
        <f t="shared" si="35"/>
        <v>Doesn't Apply</v>
      </c>
      <c r="N68" s="436">
        <f t="shared" ref="N68:O68" si="51">Y36</f>
        <v>0</v>
      </c>
      <c r="O68" s="556">
        <f t="shared" si="51"/>
        <v>8.539502325113304</v>
      </c>
      <c r="P68" s="557">
        <f t="shared" si="37"/>
        <v>1</v>
      </c>
      <c r="Q68" s="558">
        <f t="shared" si="38"/>
        <v>8.486450086675454</v>
      </c>
      <c r="R68" s="435">
        <f t="shared" ref="R68:V68" si="52">T36</f>
        <v>4.3098003024011712E-2</v>
      </c>
      <c r="S68" s="435">
        <f t="shared" si="52"/>
        <v>9.9542354138382663E-3</v>
      </c>
      <c r="T68" s="435">
        <f t="shared" si="52"/>
        <v>0.72254019124584645</v>
      </c>
      <c r="U68" s="435">
        <f t="shared" si="52"/>
        <v>0</v>
      </c>
      <c r="V68" s="435">
        <f t="shared" si="52"/>
        <v>7.7639098954296077</v>
      </c>
      <c r="W68" s="559">
        <f t="shared" ref="W68:Y68" si="53">+IF($O68=0,"-",R68/$O68)</f>
        <v>5.046898681351419E-3</v>
      </c>
      <c r="X68" s="559">
        <f t="shared" si="53"/>
        <v>1.1656692667632936E-3</v>
      </c>
      <c r="Y68" s="559">
        <f t="shared" si="53"/>
        <v>8.4611510570232168E-2</v>
      </c>
      <c r="Z68" s="559">
        <f t="shared" si="41"/>
        <v>0.90917592148165316</v>
      </c>
      <c r="AA68" s="560">
        <f t="shared" si="42"/>
        <v>0</v>
      </c>
      <c r="AB68" s="561">
        <f>+'5. GlobalData'!M7*1000*$D$21/1000</f>
        <v>91.278518944000012</v>
      </c>
      <c r="AC68" s="562">
        <f t="shared" si="43"/>
        <v>10.755795180757158</v>
      </c>
      <c r="AD68" s="563">
        <f t="shared" si="44"/>
        <v>0</v>
      </c>
      <c r="AE68" s="564" t="str">
        <f t="shared" si="45"/>
        <v>-</v>
      </c>
      <c r="AF68" s="563">
        <f t="shared" si="46"/>
        <v>91.278518944000012</v>
      </c>
      <c r="AG68" s="565">
        <f t="shared" si="47"/>
        <v>10.688974072360699</v>
      </c>
      <c r="AH68" s="402">
        <f t="shared" si="48"/>
        <v>8.539502325113304</v>
      </c>
      <c r="AI68" s="566">
        <v>1</v>
      </c>
      <c r="AJ68" s="567">
        <v>0.71685328526162295</v>
      </c>
      <c r="AK68" s="567">
        <v>1.0757259540778876</v>
      </c>
      <c r="AL68" s="567">
        <v>0.77263629352239904</v>
      </c>
      <c r="AM68" s="567">
        <v>0.67891132441900459</v>
      </c>
      <c r="AN68" s="567">
        <v>0.61682447940381147</v>
      </c>
      <c r="AO68" s="567">
        <v>0.42940427627605338</v>
      </c>
      <c r="AP68" s="567">
        <v>0.33576851240974936</v>
      </c>
      <c r="AQ68" s="567">
        <v>0.27368166739455629</v>
      </c>
      <c r="AR68" s="567">
        <v>0.1805513998717613</v>
      </c>
      <c r="AS68" s="567">
        <v>8.7421132348974542E-2</v>
      </c>
      <c r="AT68" s="567">
        <v>2.5334287333775622E-2</v>
      </c>
      <c r="AU68" s="567">
        <v>0</v>
      </c>
      <c r="AV68" s="568">
        <v>0</v>
      </c>
      <c r="AW68" s="569">
        <f t="shared" ref="AW68:BJ68" si="54">+IF(AI68="","",AI68*$AH68)</f>
        <v>8.539502325113304</v>
      </c>
      <c r="AX68" s="570">
        <f t="shared" si="54"/>
        <v>6.1215702962567402</v>
      </c>
      <c r="AY68" s="570">
        <f t="shared" si="54"/>
        <v>9.1861642860328487</v>
      </c>
      <c r="AZ68" s="570">
        <f t="shared" si="54"/>
        <v>6.5979294250014515</v>
      </c>
      <c r="BA68" s="570">
        <f t="shared" si="54"/>
        <v>5.7975648334218421</v>
      </c>
      <c r="BB68" s="570">
        <f t="shared" si="54"/>
        <v>5.2673740760556509</v>
      </c>
      <c r="BC68" s="570">
        <f t="shared" si="54"/>
        <v>3.6668988156729534</v>
      </c>
      <c r="BD68" s="570">
        <f t="shared" si="54"/>
        <v>2.86729599242289</v>
      </c>
      <c r="BE68" s="570">
        <f t="shared" si="54"/>
        <v>2.3371052350566992</v>
      </c>
      <c r="BF68" s="570">
        <f t="shared" si="54"/>
        <v>1.5418190990073675</v>
      </c>
      <c r="BG68" s="570">
        <f t="shared" si="54"/>
        <v>0.74653296295810601</v>
      </c>
      <c r="BH68" s="570">
        <f t="shared" si="54"/>
        <v>0.21634220559186546</v>
      </c>
      <c r="BI68" s="570">
        <f t="shared" si="54"/>
        <v>0</v>
      </c>
      <c r="BJ68" s="571">
        <f t="shared" si="54"/>
        <v>0</v>
      </c>
      <c r="BK68" s="569">
        <v>8.539502325113304</v>
      </c>
      <c r="BL68" s="570">
        <v>6.1215702962567402</v>
      </c>
      <c r="BM68" s="570">
        <v>9.1861642860328487</v>
      </c>
      <c r="BN68" s="570">
        <v>6.5979294250014515</v>
      </c>
      <c r="BO68" s="570">
        <v>5.7975648334218421</v>
      </c>
      <c r="BP68" s="570">
        <v>5.2673740760556509</v>
      </c>
      <c r="BQ68" s="570">
        <v>3.6668988156729534</v>
      </c>
      <c r="BR68" s="570">
        <v>2.86729599242289</v>
      </c>
      <c r="BS68" s="570">
        <v>2.3371052350566992</v>
      </c>
      <c r="BT68" s="573">
        <v>1.5418190990073675</v>
      </c>
      <c r="BU68" s="573">
        <v>0.74653296295810601</v>
      </c>
      <c r="BV68" s="573">
        <v>0.21634220559186546</v>
      </c>
      <c r="BW68" s="573">
        <v>0</v>
      </c>
      <c r="BX68" s="574">
        <v>0</v>
      </c>
      <c r="BY68" s="400"/>
      <c r="BZ68" s="400"/>
      <c r="CA68" s="400"/>
      <c r="CB68" s="566" t="str">
        <f>+IF('5. GlobalData'!BF118="","",'5. GlobalData'!BF118)</f>
        <v/>
      </c>
      <c r="CC68" s="567" t="str">
        <f>+IF('5. GlobalData'!BG118="","",'5. GlobalData'!BG118)</f>
        <v/>
      </c>
      <c r="CD68" s="567" t="str">
        <f>+IF('5. GlobalData'!BH118="","",'5. GlobalData'!BH118)</f>
        <v/>
      </c>
      <c r="CE68" s="567" t="str">
        <f>+IF('5. GlobalData'!BI118="","",'5. GlobalData'!BI118)</f>
        <v/>
      </c>
      <c r="CF68" s="567" t="str">
        <f>+IF('5. GlobalData'!BJ118="","",'5. GlobalData'!BJ118)</f>
        <v/>
      </c>
      <c r="CG68" s="567" t="str">
        <f>+IF('5. GlobalData'!BK118="","",'5. GlobalData'!BK118)</f>
        <v/>
      </c>
      <c r="CH68" s="567" t="str">
        <f>+IF('5. GlobalData'!BL118="","",'5. GlobalData'!BL118)</f>
        <v/>
      </c>
      <c r="CI68" s="567" t="str">
        <f>+IF('5. GlobalData'!BM118="","",'5. GlobalData'!BM118)</f>
        <v/>
      </c>
      <c r="CJ68" s="567" t="str">
        <f>+IF('5. GlobalData'!BN118="","",'5. GlobalData'!BN118)</f>
        <v/>
      </c>
      <c r="CK68" s="567" t="str">
        <f>+IF('5. GlobalData'!BO118="","",'5. GlobalData'!BO118)</f>
        <v/>
      </c>
      <c r="CL68" s="567" t="str">
        <f>+IF('5. GlobalData'!BP118="","",'5. GlobalData'!BP118)</f>
        <v/>
      </c>
      <c r="CM68" s="567" t="str">
        <f>+IF('5. GlobalData'!BQ118="","",'5. GlobalData'!BQ118)</f>
        <v/>
      </c>
      <c r="CN68" s="567" t="str">
        <f>+IF('5. GlobalData'!BR118="","",'5. GlobalData'!BR118)</f>
        <v/>
      </c>
      <c r="CO68" s="568" t="str">
        <f>+IF('5. GlobalData'!BS118="","",'5. GlobalData'!BS118)</f>
        <v/>
      </c>
      <c r="CP68" s="569" t="str">
        <f t="shared" ref="CP68:DC68" si="55">+IF(CB68="","",CB68*$AH68)</f>
        <v/>
      </c>
      <c r="CQ68" s="570" t="str">
        <f t="shared" si="55"/>
        <v/>
      </c>
      <c r="CR68" s="570" t="str">
        <f t="shared" si="55"/>
        <v/>
      </c>
      <c r="CS68" s="570" t="str">
        <f t="shared" si="55"/>
        <v/>
      </c>
      <c r="CT68" s="570" t="str">
        <f t="shared" si="55"/>
        <v/>
      </c>
      <c r="CU68" s="570" t="str">
        <f t="shared" si="55"/>
        <v/>
      </c>
      <c r="CV68" s="570" t="str">
        <f t="shared" si="55"/>
        <v/>
      </c>
      <c r="CW68" s="570" t="str">
        <f t="shared" si="55"/>
        <v/>
      </c>
      <c r="CX68" s="570" t="str">
        <f t="shared" si="55"/>
        <v/>
      </c>
      <c r="CY68" s="570" t="str">
        <f t="shared" si="55"/>
        <v/>
      </c>
      <c r="CZ68" s="570" t="str">
        <f t="shared" si="55"/>
        <v/>
      </c>
      <c r="DA68" s="570" t="str">
        <f t="shared" si="55"/>
        <v/>
      </c>
      <c r="DB68" s="570" t="str">
        <f t="shared" si="55"/>
        <v/>
      </c>
      <c r="DC68" s="571" t="str">
        <f t="shared" si="55"/>
        <v/>
      </c>
      <c r="DD68" s="569">
        <v>8.539502325113304</v>
      </c>
      <c r="DE68" s="570">
        <v>6.1215702962567402</v>
      </c>
      <c r="DF68" s="570">
        <v>9.1861642860328487</v>
      </c>
      <c r="DG68" s="570">
        <v>6.5979294250014515</v>
      </c>
      <c r="DH68" s="570">
        <v>5.7975648334218421</v>
      </c>
      <c r="DI68" s="570">
        <v>5.2673740760556509</v>
      </c>
      <c r="DJ68" s="570">
        <v>3.6668988156729534</v>
      </c>
      <c r="DK68" s="570">
        <v>2.86729599242289</v>
      </c>
      <c r="DL68" s="570">
        <v>2.3371052350566992</v>
      </c>
      <c r="DM68" s="573" t="s">
        <v>1443</v>
      </c>
      <c r="DN68" s="573" t="s">
        <v>1443</v>
      </c>
      <c r="DO68" s="573" t="s">
        <v>1443</v>
      </c>
      <c r="DP68" s="573" t="s">
        <v>1443</v>
      </c>
      <c r="DQ68" s="574" t="s">
        <v>1443</v>
      </c>
    </row>
    <row r="69" spans="1:121" ht="15.75" customHeight="1" x14ac:dyDescent="0.25">
      <c r="I69" s="432" t="s">
        <v>1228</v>
      </c>
      <c r="J69" s="433" t="s">
        <v>1229</v>
      </c>
      <c r="K69" s="431" t="s">
        <v>1101</v>
      </c>
      <c r="L69" s="434" t="s">
        <v>7</v>
      </c>
      <c r="M69" s="434" t="str">
        <f t="shared" si="35"/>
        <v>Doesn't Apply</v>
      </c>
      <c r="N69" s="436">
        <f t="shared" ref="N69:O69" si="56">Y37</f>
        <v>0</v>
      </c>
      <c r="O69" s="556">
        <f t="shared" si="56"/>
        <v>13.106881088314344</v>
      </c>
      <c r="P69" s="557">
        <f t="shared" si="37"/>
        <v>1</v>
      </c>
      <c r="Q69" s="558">
        <f t="shared" si="38"/>
        <v>11.790499076061606</v>
      </c>
      <c r="R69" s="435">
        <f t="shared" ref="R69:V69" si="57">T37</f>
        <v>0</v>
      </c>
      <c r="S69" s="435">
        <f t="shared" si="57"/>
        <v>0</v>
      </c>
      <c r="T69" s="435">
        <f t="shared" si="57"/>
        <v>13.106881088314344</v>
      </c>
      <c r="U69" s="435">
        <f t="shared" si="57"/>
        <v>1.3163820122527377</v>
      </c>
      <c r="V69" s="435">
        <f t="shared" si="57"/>
        <v>0</v>
      </c>
      <c r="W69" s="559">
        <f t="shared" ref="W69:Y69" si="58">+IF($O69=0,"-",R69/$O69)</f>
        <v>0</v>
      </c>
      <c r="X69" s="559">
        <f t="shared" si="58"/>
        <v>0</v>
      </c>
      <c r="Y69" s="559">
        <f t="shared" si="58"/>
        <v>1</v>
      </c>
      <c r="Z69" s="559">
        <f t="shared" si="41"/>
        <v>0</v>
      </c>
      <c r="AA69" s="560">
        <f t="shared" si="42"/>
        <v>0.10043442092614846</v>
      </c>
      <c r="AB69" s="561">
        <f>+'5. GlobalData'!M8*1000*$D$21/1000</f>
        <v>23.492594688000001</v>
      </c>
      <c r="AC69" s="562">
        <f t="shared" si="43"/>
        <v>1.9925021440099429</v>
      </c>
      <c r="AD69" s="563">
        <f t="shared" si="44"/>
        <v>0</v>
      </c>
      <c r="AE69" s="564" t="str">
        <f t="shared" si="45"/>
        <v>-</v>
      </c>
      <c r="AF69" s="563">
        <f t="shared" si="46"/>
        <v>23.492594688000001</v>
      </c>
      <c r="AG69" s="565">
        <f t="shared" si="47"/>
        <v>1.7923863449821951</v>
      </c>
      <c r="AH69" s="402">
        <f t="shared" si="48"/>
        <v>13.106881088314344</v>
      </c>
      <c r="AI69" s="566">
        <v>1</v>
      </c>
      <c r="AJ69" s="567">
        <v>0.95820762096323608</v>
      </c>
      <c r="AK69" s="567">
        <v>0.30506201810258143</v>
      </c>
      <c r="AL69" s="567">
        <v>0.16426416359369764</v>
      </c>
      <c r="AM69" s="567">
        <v>8.2132081796848902E-2</v>
      </c>
      <c r="AN69" s="567">
        <v>0</v>
      </c>
      <c r="AO69" s="567">
        <v>0</v>
      </c>
      <c r="AP69" s="567">
        <v>0</v>
      </c>
      <c r="AQ69" s="567">
        <v>0</v>
      </c>
      <c r="AR69" s="567">
        <v>0</v>
      </c>
      <c r="AS69" s="567">
        <v>0</v>
      </c>
      <c r="AT69" s="567">
        <v>0</v>
      </c>
      <c r="AU69" s="567">
        <v>0</v>
      </c>
      <c r="AV69" s="568">
        <v>0</v>
      </c>
      <c r="AW69" s="569">
        <f t="shared" ref="AW69:BJ69" si="59">+IF(AI69="","",AI69*$AH69)</f>
        <v>13.106881088314344</v>
      </c>
      <c r="AX69" s="570">
        <f t="shared" si="59"/>
        <v>12.559113345881718</v>
      </c>
      <c r="AY69" s="570">
        <f t="shared" si="59"/>
        <v>3.9984115958317328</v>
      </c>
      <c r="AZ69" s="570">
        <f t="shared" si="59"/>
        <v>2.1529908592940092</v>
      </c>
      <c r="BA69" s="570">
        <f t="shared" si="59"/>
        <v>1.0764954296470057</v>
      </c>
      <c r="BB69" s="570">
        <f t="shared" si="59"/>
        <v>0</v>
      </c>
      <c r="BC69" s="570">
        <f t="shared" si="59"/>
        <v>0</v>
      </c>
      <c r="BD69" s="570">
        <f t="shared" si="59"/>
        <v>0</v>
      </c>
      <c r="BE69" s="570">
        <f t="shared" si="59"/>
        <v>0</v>
      </c>
      <c r="BF69" s="570">
        <f t="shared" si="59"/>
        <v>0</v>
      </c>
      <c r="BG69" s="570">
        <f t="shared" si="59"/>
        <v>0</v>
      </c>
      <c r="BH69" s="570">
        <f t="shared" si="59"/>
        <v>0</v>
      </c>
      <c r="BI69" s="570">
        <f t="shared" si="59"/>
        <v>0</v>
      </c>
      <c r="BJ69" s="571">
        <f t="shared" si="59"/>
        <v>0</v>
      </c>
      <c r="BK69" s="569">
        <v>13.106881088314344</v>
      </c>
      <c r="BL69" s="570">
        <v>12.559113345881718</v>
      </c>
      <c r="BM69" s="570">
        <v>3.9984115958317328</v>
      </c>
      <c r="BN69" s="570">
        <v>2.1529908592940092</v>
      </c>
      <c r="BO69" s="570">
        <v>1.0764954296470057</v>
      </c>
      <c r="BP69" s="573">
        <v>0</v>
      </c>
      <c r="BQ69" s="573">
        <v>0</v>
      </c>
      <c r="BR69" s="573">
        <v>0</v>
      </c>
      <c r="BS69" s="573">
        <v>0</v>
      </c>
      <c r="BT69" s="573">
        <v>0</v>
      </c>
      <c r="BU69" s="573">
        <v>0</v>
      </c>
      <c r="BV69" s="573">
        <v>0</v>
      </c>
      <c r="BW69" s="573">
        <v>0</v>
      </c>
      <c r="BX69" s="574">
        <v>0</v>
      </c>
      <c r="BY69" s="400"/>
      <c r="BZ69" s="400"/>
      <c r="CA69" s="400"/>
      <c r="CB69" s="566" t="str">
        <f>+IF('5. GlobalData'!BF119="","",'5. GlobalData'!BF119)</f>
        <v/>
      </c>
      <c r="CC69" s="567" t="str">
        <f>+IF('5. GlobalData'!BG119="","",'5. GlobalData'!BG119)</f>
        <v/>
      </c>
      <c r="CD69" s="567" t="str">
        <f>+IF('5. GlobalData'!BH119="","",'5. GlobalData'!BH119)</f>
        <v/>
      </c>
      <c r="CE69" s="567" t="str">
        <f>+IF('5. GlobalData'!BI119="","",'5. GlobalData'!BI119)</f>
        <v/>
      </c>
      <c r="CF69" s="567" t="str">
        <f>+IF('5. GlobalData'!BJ119="","",'5. GlobalData'!BJ119)</f>
        <v/>
      </c>
      <c r="CG69" s="567" t="str">
        <f>+IF('5. GlobalData'!BK119="","",'5. GlobalData'!BK119)</f>
        <v/>
      </c>
      <c r="CH69" s="567" t="str">
        <f>+IF('5. GlobalData'!BL119="","",'5. GlobalData'!BL119)</f>
        <v/>
      </c>
      <c r="CI69" s="567" t="str">
        <f>+IF('5. GlobalData'!BM119="","",'5. GlobalData'!BM119)</f>
        <v/>
      </c>
      <c r="CJ69" s="567" t="str">
        <f>+IF('5. GlobalData'!BN119="","",'5. GlobalData'!BN119)</f>
        <v/>
      </c>
      <c r="CK69" s="567" t="str">
        <f>+IF('5. GlobalData'!BO119="","",'5. GlobalData'!BO119)</f>
        <v/>
      </c>
      <c r="CL69" s="567" t="str">
        <f>+IF('5. GlobalData'!BP119="","",'5. GlobalData'!BP119)</f>
        <v/>
      </c>
      <c r="CM69" s="567" t="str">
        <f>+IF('5. GlobalData'!BQ119="","",'5. GlobalData'!BQ119)</f>
        <v/>
      </c>
      <c r="CN69" s="567" t="str">
        <f>+IF('5. GlobalData'!BR119="","",'5. GlobalData'!BR119)</f>
        <v/>
      </c>
      <c r="CO69" s="568" t="str">
        <f>+IF('5. GlobalData'!BS119="","",'5. GlobalData'!BS119)</f>
        <v/>
      </c>
      <c r="CP69" s="569" t="str">
        <f t="shared" ref="CP69:DC69" si="60">+IF(CB69="","",CB69*$AH69)</f>
        <v/>
      </c>
      <c r="CQ69" s="570" t="str">
        <f t="shared" si="60"/>
        <v/>
      </c>
      <c r="CR69" s="570" t="str">
        <f t="shared" si="60"/>
        <v/>
      </c>
      <c r="CS69" s="570" t="str">
        <f t="shared" si="60"/>
        <v/>
      </c>
      <c r="CT69" s="570" t="str">
        <f t="shared" si="60"/>
        <v/>
      </c>
      <c r="CU69" s="570" t="str">
        <f t="shared" si="60"/>
        <v/>
      </c>
      <c r="CV69" s="570" t="str">
        <f t="shared" si="60"/>
        <v/>
      </c>
      <c r="CW69" s="570" t="str">
        <f t="shared" si="60"/>
        <v/>
      </c>
      <c r="CX69" s="570" t="str">
        <f t="shared" si="60"/>
        <v/>
      </c>
      <c r="CY69" s="570" t="str">
        <f t="shared" si="60"/>
        <v/>
      </c>
      <c r="CZ69" s="570" t="str">
        <f t="shared" si="60"/>
        <v/>
      </c>
      <c r="DA69" s="570" t="str">
        <f t="shared" si="60"/>
        <v/>
      </c>
      <c r="DB69" s="570" t="str">
        <f t="shared" si="60"/>
        <v/>
      </c>
      <c r="DC69" s="571" t="str">
        <f t="shared" si="60"/>
        <v/>
      </c>
      <c r="DD69" s="569">
        <v>13.106881088314344</v>
      </c>
      <c r="DE69" s="570">
        <v>12.559113345881718</v>
      </c>
      <c r="DF69" s="570">
        <v>3.9984115958317328</v>
      </c>
      <c r="DG69" s="570">
        <v>2.1529908592940092</v>
      </c>
      <c r="DH69" s="570">
        <v>1.0764954296470057</v>
      </c>
      <c r="DI69" s="573" t="s">
        <v>1443</v>
      </c>
      <c r="DJ69" s="573" t="s">
        <v>1443</v>
      </c>
      <c r="DK69" s="573" t="s">
        <v>1443</v>
      </c>
      <c r="DL69" s="573" t="s">
        <v>1443</v>
      </c>
      <c r="DM69" s="573" t="s">
        <v>1443</v>
      </c>
      <c r="DN69" s="573" t="s">
        <v>1443</v>
      </c>
      <c r="DO69" s="573" t="s">
        <v>1443</v>
      </c>
      <c r="DP69" s="573" t="s">
        <v>1443</v>
      </c>
      <c r="DQ69" s="574" t="s">
        <v>1443</v>
      </c>
    </row>
    <row r="70" spans="1:121" ht="15.75" customHeight="1" x14ac:dyDescent="0.25">
      <c r="I70" s="431" t="s">
        <v>1228</v>
      </c>
      <c r="J70" s="434" t="s">
        <v>1231</v>
      </c>
      <c r="K70" s="431">
        <v>48</v>
      </c>
      <c r="L70" s="434"/>
      <c r="M70" s="434" t="str">
        <f t="shared" si="35"/>
        <v>Light Oil</v>
      </c>
      <c r="N70" s="575">
        <f t="shared" ref="N70:O70" si="61">Y38</f>
        <v>22.733323234776581</v>
      </c>
      <c r="O70" s="576">
        <f t="shared" si="61"/>
        <v>93.265320299494704</v>
      </c>
      <c r="P70" s="577">
        <f t="shared" si="37"/>
        <v>0.80402078384597564</v>
      </c>
      <c r="Q70" s="578">
        <f t="shared" si="38"/>
        <v>75.291444019366892</v>
      </c>
      <c r="R70" s="579">
        <f t="shared" ref="R70:V70" si="62">T38</f>
        <v>14.103990590462988</v>
      </c>
      <c r="S70" s="579">
        <f t="shared" si="62"/>
        <v>0.82481844578701846</v>
      </c>
      <c r="T70" s="579">
        <f t="shared" si="62"/>
        <v>6.0840367613967006</v>
      </c>
      <c r="U70" s="579">
        <f t="shared" si="62"/>
        <v>3.0450672438778423</v>
      </c>
      <c r="V70" s="579">
        <f t="shared" si="62"/>
        <v>72.252474501848027</v>
      </c>
      <c r="W70" s="580">
        <f t="shared" ref="W70:Y70" si="63">+IF($O70=0,"-",R70/$O70)</f>
        <v>0.15122438378136788</v>
      </c>
      <c r="X70" s="580">
        <f t="shared" si="63"/>
        <v>8.8437850547057762E-3</v>
      </c>
      <c r="Y70" s="580">
        <f t="shared" si="63"/>
        <v>6.5233644637251759E-2</v>
      </c>
      <c r="Z70" s="580">
        <f t="shared" si="41"/>
        <v>0.77469818652667488</v>
      </c>
      <c r="AA70" s="581">
        <f t="shared" si="42"/>
        <v>0.50050112504231359</v>
      </c>
      <c r="AB70" s="561">
        <f>+'5. GlobalData'!M9*1000*$D$21/1000</f>
        <v>1074.662101981407</v>
      </c>
      <c r="AC70" s="562">
        <f t="shared" si="43"/>
        <v>10.963169126382001</v>
      </c>
      <c r="AD70" s="563">
        <f t="shared" si="44"/>
        <v>210.61143637675241</v>
      </c>
      <c r="AE70" s="582">
        <f t="shared" si="45"/>
        <v>9.2644368006243347</v>
      </c>
      <c r="AF70" s="563">
        <f t="shared" si="46"/>
        <v>864.05066560465468</v>
      </c>
      <c r="AG70" s="565">
        <f t="shared" si="47"/>
        <v>9.2644368006243365</v>
      </c>
      <c r="AH70" s="402">
        <f t="shared" si="48"/>
        <v>115.99864353427128</v>
      </c>
      <c r="AI70" s="566">
        <v>1</v>
      </c>
      <c r="AJ70" s="567">
        <v>1.1460583239097806</v>
      </c>
      <c r="AK70" s="567">
        <v>1.0267765189182025</v>
      </c>
      <c r="AL70" s="567">
        <v>0.79637254256474788</v>
      </c>
      <c r="AM70" s="567">
        <v>0.6671995559556464</v>
      </c>
      <c r="AN70" s="567">
        <v>0.47344007604199378</v>
      </c>
      <c r="AO70" s="567">
        <v>0.35327754723604365</v>
      </c>
      <c r="AP70" s="567">
        <v>0.27316919469874357</v>
      </c>
      <c r="AQ70" s="567">
        <v>0.20255695994008427</v>
      </c>
      <c r="AR70" s="567">
        <v>0.10260539330343703</v>
      </c>
      <c r="AS70" s="567">
        <v>8.2721426420613448E-2</v>
      </c>
      <c r="AT70" s="567">
        <v>6.9465448498731056E-2</v>
      </c>
      <c r="AU70" s="567">
        <v>6.2248018561534842E-2</v>
      </c>
      <c r="AV70" s="568">
        <v>5.1421873655740524E-2</v>
      </c>
      <c r="AW70" s="569">
        <f t="shared" ref="AW70:BJ70" si="64">+IF(AI70="","",AI70*$AH70)</f>
        <v>115.99864353427128</v>
      </c>
      <c r="AX70" s="570">
        <f t="shared" si="64"/>
        <v>132.94121098469506</v>
      </c>
      <c r="AY70" s="570">
        <f t="shared" si="64"/>
        <v>119.10468340735252</v>
      </c>
      <c r="AZ70" s="570">
        <f t="shared" si="64"/>
        <v>92.378134685449467</v>
      </c>
      <c r="BA70" s="570">
        <f t="shared" si="64"/>
        <v>77.394243457523118</v>
      </c>
      <c r="BB70" s="570">
        <f t="shared" si="64"/>
        <v>54.918406615633529</v>
      </c>
      <c r="BC70" s="570">
        <f t="shared" si="64"/>
        <v>40.979716270495516</v>
      </c>
      <c r="BD70" s="570">
        <f t="shared" si="64"/>
        <v>31.687256040403504</v>
      </c>
      <c r="BE70" s="570">
        <f t="shared" si="64"/>
        <v>23.496332591475504</v>
      </c>
      <c r="BF70" s="570">
        <f t="shared" si="64"/>
        <v>11.902086442499098</v>
      </c>
      <c r="BG70" s="570">
        <f t="shared" si="64"/>
        <v>9.595573256011189</v>
      </c>
      <c r="BH70" s="570">
        <f t="shared" si="64"/>
        <v>8.0578977983525846</v>
      </c>
      <c r="BI70" s="570">
        <f t="shared" si="64"/>
        <v>7.2206857158341826</v>
      </c>
      <c r="BJ70" s="571">
        <f t="shared" si="64"/>
        <v>5.9648675920565806</v>
      </c>
      <c r="BK70" s="569">
        <v>115.99864353427128</v>
      </c>
      <c r="BL70" s="570">
        <v>132.94121098469506</v>
      </c>
      <c r="BM70" s="570">
        <v>119.10468340735252</v>
      </c>
      <c r="BN70" s="570">
        <v>92.378134685449467</v>
      </c>
      <c r="BO70" s="572">
        <v>77.394243457523118</v>
      </c>
      <c r="BP70" s="570">
        <v>54.918406615633529</v>
      </c>
      <c r="BQ70" s="572">
        <v>40.979716270495516</v>
      </c>
      <c r="BR70" s="570">
        <v>31.687256040403504</v>
      </c>
      <c r="BS70" s="572">
        <v>23.496332591475504</v>
      </c>
      <c r="BT70" s="570">
        <v>11.902086442499098</v>
      </c>
      <c r="BU70" s="572">
        <v>9.595573256011189</v>
      </c>
      <c r="BV70" s="570">
        <v>8.0578977983525846</v>
      </c>
      <c r="BW70" s="572">
        <v>7.2206857158341826</v>
      </c>
      <c r="BX70" s="571">
        <v>5.9648675920565806</v>
      </c>
      <c r="BY70" s="400"/>
      <c r="BZ70" s="400"/>
      <c r="CA70" s="400"/>
      <c r="CB70" s="566" t="str">
        <f>+IF('5. GlobalData'!BF120="","",'5. GlobalData'!BF120)</f>
        <v/>
      </c>
      <c r="CC70" s="567" t="str">
        <f>+IF('5. GlobalData'!BG120="","",'5. GlobalData'!BG120)</f>
        <v/>
      </c>
      <c r="CD70" s="567" t="str">
        <f>+IF('5. GlobalData'!BH120="","",'5. GlobalData'!BH120)</f>
        <v/>
      </c>
      <c r="CE70" s="567" t="str">
        <f>+IF('5. GlobalData'!BI120="","",'5. GlobalData'!BI120)</f>
        <v/>
      </c>
      <c r="CF70" s="567" t="str">
        <f>+IF('5. GlobalData'!BJ120="","",'5. GlobalData'!BJ120)</f>
        <v/>
      </c>
      <c r="CG70" s="567" t="str">
        <f>+IF('5. GlobalData'!BK120="","",'5. GlobalData'!BK120)</f>
        <v/>
      </c>
      <c r="CH70" s="567" t="str">
        <f>+IF('5. GlobalData'!BL120="","",'5. GlobalData'!BL120)</f>
        <v/>
      </c>
      <c r="CI70" s="567" t="str">
        <f>+IF('5. GlobalData'!BM120="","",'5. GlobalData'!BM120)</f>
        <v/>
      </c>
      <c r="CJ70" s="567" t="str">
        <f>+IF('5. GlobalData'!BN120="","",'5. GlobalData'!BN120)</f>
        <v/>
      </c>
      <c r="CK70" s="567" t="str">
        <f>+IF('5. GlobalData'!BO120="","",'5. GlobalData'!BO120)</f>
        <v/>
      </c>
      <c r="CL70" s="567" t="str">
        <f>+IF('5. GlobalData'!BP120="","",'5. GlobalData'!BP120)</f>
        <v/>
      </c>
      <c r="CM70" s="567" t="str">
        <f>+IF('5. GlobalData'!BQ120="","",'5. GlobalData'!BQ120)</f>
        <v/>
      </c>
      <c r="CN70" s="567" t="str">
        <f>+IF('5. GlobalData'!BR120="","",'5. GlobalData'!BR120)</f>
        <v/>
      </c>
      <c r="CO70" s="568" t="str">
        <f>+IF('5. GlobalData'!BS120="","",'5. GlobalData'!BS120)</f>
        <v/>
      </c>
      <c r="CP70" s="569" t="str">
        <f t="shared" ref="CP70:DC70" si="65">+IF(CB70="","",CB70*$AH70)</f>
        <v/>
      </c>
      <c r="CQ70" s="570" t="str">
        <f t="shared" si="65"/>
        <v/>
      </c>
      <c r="CR70" s="570" t="str">
        <f t="shared" si="65"/>
        <v/>
      </c>
      <c r="CS70" s="570" t="str">
        <f t="shared" si="65"/>
        <v/>
      </c>
      <c r="CT70" s="570" t="str">
        <f t="shared" si="65"/>
        <v/>
      </c>
      <c r="CU70" s="570" t="str">
        <f t="shared" si="65"/>
        <v/>
      </c>
      <c r="CV70" s="570" t="str">
        <f t="shared" si="65"/>
        <v/>
      </c>
      <c r="CW70" s="570" t="str">
        <f t="shared" si="65"/>
        <v/>
      </c>
      <c r="CX70" s="570" t="str">
        <f t="shared" si="65"/>
        <v/>
      </c>
      <c r="CY70" s="570" t="str">
        <f t="shared" si="65"/>
        <v/>
      </c>
      <c r="CZ70" s="570" t="str">
        <f t="shared" si="65"/>
        <v/>
      </c>
      <c r="DA70" s="570" t="str">
        <f t="shared" si="65"/>
        <v/>
      </c>
      <c r="DB70" s="570" t="str">
        <f t="shared" si="65"/>
        <v/>
      </c>
      <c r="DC70" s="571" t="str">
        <f t="shared" si="65"/>
        <v/>
      </c>
      <c r="DD70" s="569">
        <v>115.99864353427128</v>
      </c>
      <c r="DE70" s="570">
        <v>132.94121098469506</v>
      </c>
      <c r="DF70" s="570">
        <v>119.10468340735252</v>
      </c>
      <c r="DG70" s="570">
        <v>92.378134685449467</v>
      </c>
      <c r="DH70" s="572">
        <f>+DG70+(DI70-DG70)*(2027-2025)/(2030-2025)</f>
        <v>77.394243457523089</v>
      </c>
      <c r="DI70" s="570">
        <v>54.918406615633529</v>
      </c>
      <c r="DJ70" s="572">
        <f>+DI70+(DK70-DI70)*(2033-2030)/(2035-2030)</f>
        <v>40.979716270495516</v>
      </c>
      <c r="DK70" s="570">
        <v>31.687256040403504</v>
      </c>
      <c r="DL70" s="572">
        <f>+DK70+(DM70-DK70)*(2037-2035)/(2040-2035)</f>
        <v>23.773188201241741</v>
      </c>
      <c r="DM70" s="570">
        <v>11.902086442499098</v>
      </c>
      <c r="DN70" s="572">
        <f>+DM70+(DO70-DM70)*(2043-2040)/(2045-2040)</f>
        <v>9.595573256011189</v>
      </c>
      <c r="DO70" s="570">
        <v>8.0578977983525846</v>
      </c>
      <c r="DP70" s="572">
        <f>+DO70+(DQ70-DO70)*(2047-2045)/(2050-2045)</f>
        <v>7.2206857158341826</v>
      </c>
      <c r="DQ70" s="571">
        <v>5.9648675920565806</v>
      </c>
    </row>
    <row r="71" spans="1:121" ht="15.75" customHeight="1" x14ac:dyDescent="0.25">
      <c r="I71" s="431" t="s">
        <v>1228</v>
      </c>
      <c r="J71" s="434" t="s">
        <v>1233</v>
      </c>
      <c r="K71" s="431">
        <v>52</v>
      </c>
      <c r="L71" s="434"/>
      <c r="M71" s="434" t="str">
        <f t="shared" si="35"/>
        <v>Light Oil</v>
      </c>
      <c r="N71" s="575">
        <f t="shared" ref="N71:O71" si="66">Y39</f>
        <v>7.0712088472532377</v>
      </c>
      <c r="O71" s="576">
        <f t="shared" si="66"/>
        <v>83.600151440022017</v>
      </c>
      <c r="P71" s="577">
        <f t="shared" si="37"/>
        <v>0.92201276318289005</v>
      </c>
      <c r="Q71" s="578">
        <f t="shared" si="38"/>
        <v>60.807849771910234</v>
      </c>
      <c r="R71" s="579">
        <f t="shared" ref="R71:V71" si="67">T39</f>
        <v>11.187076555858232</v>
      </c>
      <c r="S71" s="579">
        <f t="shared" si="67"/>
        <v>0.42083397893088031</v>
      </c>
      <c r="T71" s="579">
        <f t="shared" si="67"/>
        <v>11.193699252036202</v>
      </c>
      <c r="U71" s="579">
        <f t="shared" si="67"/>
        <v>11.184391133322654</v>
      </c>
      <c r="V71" s="579">
        <f t="shared" si="67"/>
        <v>60.798541653196693</v>
      </c>
      <c r="W71" s="580">
        <f t="shared" ref="W71:Y71" si="68">+IF($O71=0,"-",R71/$O71)</f>
        <v>0.13381646280729853</v>
      </c>
      <c r="X71" s="580">
        <f t="shared" si="68"/>
        <v>5.0338901506991034E-3</v>
      </c>
      <c r="Y71" s="580">
        <f t="shared" si="68"/>
        <v>0.13389568151759862</v>
      </c>
      <c r="Z71" s="580">
        <f t="shared" si="41"/>
        <v>0.72725396552440358</v>
      </c>
      <c r="AA71" s="581">
        <f t="shared" si="42"/>
        <v>0.99916845016969213</v>
      </c>
      <c r="AB71" s="561">
        <f>+'5. GlobalData'!M10*1000*$D$21/1000</f>
        <v>170.99427644000002</v>
      </c>
      <c r="AC71" s="562">
        <f t="shared" si="43"/>
        <v>2.519102060612922</v>
      </c>
      <c r="AD71" s="563">
        <f t="shared" si="44"/>
        <v>13.335371131096654</v>
      </c>
      <c r="AE71" s="582">
        <f t="shared" si="45"/>
        <v>1.8858686568530199</v>
      </c>
      <c r="AF71" s="563">
        <f t="shared" si="46"/>
        <v>157.65890530890337</v>
      </c>
      <c r="AG71" s="565">
        <f t="shared" si="47"/>
        <v>1.8858686568530199</v>
      </c>
      <c r="AH71" s="402">
        <f t="shared" si="48"/>
        <v>90.671360287275249</v>
      </c>
      <c r="AI71" s="566">
        <v>1</v>
      </c>
      <c r="AJ71" s="567">
        <v>0.86406008870132311</v>
      </c>
      <c r="AK71" s="567">
        <v>0.61897237008422135</v>
      </c>
      <c r="AL71" s="567">
        <v>0.45558055767282019</v>
      </c>
      <c r="AM71" s="567">
        <v>0.44541727468556247</v>
      </c>
      <c r="AN71" s="567">
        <v>0.19955654101995188</v>
      </c>
      <c r="AO71" s="567">
        <v>4.4345898004418072E-2</v>
      </c>
      <c r="AP71" s="567">
        <v>0</v>
      </c>
      <c r="AQ71" s="567">
        <v>0</v>
      </c>
      <c r="AR71" s="567">
        <v>0</v>
      </c>
      <c r="AS71" s="567">
        <v>0</v>
      </c>
      <c r="AT71" s="567">
        <v>0</v>
      </c>
      <c r="AU71" s="567">
        <v>0</v>
      </c>
      <c r="AV71" s="568">
        <v>0</v>
      </c>
      <c r="AW71" s="569">
        <f t="shared" ref="AW71:BJ71" si="69">+IF(AI71="","",AI71*$AH71)</f>
        <v>90.671360287275249</v>
      </c>
      <c r="AX71" s="570">
        <f t="shared" si="69"/>
        <v>78.345503612492678</v>
      </c>
      <c r="AY71" s="570">
        <f t="shared" si="69"/>
        <v>56.123066775775108</v>
      </c>
      <c r="AZ71" s="570">
        <f t="shared" si="69"/>
        <v>41.308108884630059</v>
      </c>
      <c r="BA71" s="570">
        <f t="shared" si="69"/>
        <v>40.386590191190876</v>
      </c>
      <c r="BB71" s="570">
        <f t="shared" si="69"/>
        <v>18.094063028502479</v>
      </c>
      <c r="BC71" s="570">
        <f t="shared" si="69"/>
        <v>4.0209028952213517</v>
      </c>
      <c r="BD71" s="570">
        <f t="shared" si="69"/>
        <v>0</v>
      </c>
      <c r="BE71" s="570">
        <f t="shared" si="69"/>
        <v>0</v>
      </c>
      <c r="BF71" s="570">
        <f t="shared" si="69"/>
        <v>0</v>
      </c>
      <c r="BG71" s="570">
        <f t="shared" si="69"/>
        <v>0</v>
      </c>
      <c r="BH71" s="570">
        <f t="shared" si="69"/>
        <v>0</v>
      </c>
      <c r="BI71" s="570">
        <f t="shared" si="69"/>
        <v>0</v>
      </c>
      <c r="BJ71" s="571">
        <f t="shared" si="69"/>
        <v>0</v>
      </c>
      <c r="BK71" s="569">
        <v>90.671360287275249</v>
      </c>
      <c r="BL71" s="570">
        <v>78.345503612492678</v>
      </c>
      <c r="BM71" s="572">
        <v>56.123066775775108</v>
      </c>
      <c r="BN71" s="570">
        <v>41.308108884630059</v>
      </c>
      <c r="BO71" s="573">
        <v>40.386590191190876</v>
      </c>
      <c r="BP71" s="573">
        <v>18.094063028502479</v>
      </c>
      <c r="BQ71" s="573">
        <v>4.0209028952213517</v>
      </c>
      <c r="BR71" s="573">
        <v>0</v>
      </c>
      <c r="BS71" s="573">
        <v>0</v>
      </c>
      <c r="BT71" s="573">
        <v>0</v>
      </c>
      <c r="BU71" s="573">
        <v>0</v>
      </c>
      <c r="BV71" s="573">
        <v>0</v>
      </c>
      <c r="BW71" s="573">
        <v>0</v>
      </c>
      <c r="BX71" s="574">
        <v>0</v>
      </c>
      <c r="BY71" s="400"/>
      <c r="BZ71" s="400"/>
      <c r="CA71" s="400"/>
      <c r="CB71" s="566" t="str">
        <f>+IF('5. GlobalData'!BF121="","",'5. GlobalData'!BF121)</f>
        <v/>
      </c>
      <c r="CC71" s="567" t="str">
        <f>+IF('5. GlobalData'!BG121="","",'5. GlobalData'!BG121)</f>
        <v/>
      </c>
      <c r="CD71" s="567" t="str">
        <f>+IF('5. GlobalData'!BH121="","",'5. GlobalData'!BH121)</f>
        <v/>
      </c>
      <c r="CE71" s="567" t="str">
        <f>+IF('5. GlobalData'!BI121="","",'5. GlobalData'!BI121)</f>
        <v/>
      </c>
      <c r="CF71" s="567" t="str">
        <f>+IF('5. GlobalData'!BJ121="","",'5. GlobalData'!BJ121)</f>
        <v/>
      </c>
      <c r="CG71" s="567" t="str">
        <f>+IF('5. GlobalData'!BK121="","",'5. GlobalData'!BK121)</f>
        <v/>
      </c>
      <c r="CH71" s="567" t="str">
        <f>+IF('5. GlobalData'!BL121="","",'5. GlobalData'!BL121)</f>
        <v/>
      </c>
      <c r="CI71" s="567" t="str">
        <f>+IF('5. GlobalData'!BM121="","",'5. GlobalData'!BM121)</f>
        <v/>
      </c>
      <c r="CJ71" s="567" t="str">
        <f>+IF('5. GlobalData'!BN121="","",'5. GlobalData'!BN121)</f>
        <v/>
      </c>
      <c r="CK71" s="567" t="str">
        <f>+IF('5. GlobalData'!BO121="","",'5. GlobalData'!BO121)</f>
        <v/>
      </c>
      <c r="CL71" s="567" t="str">
        <f>+IF('5. GlobalData'!BP121="","",'5. GlobalData'!BP121)</f>
        <v/>
      </c>
      <c r="CM71" s="567" t="str">
        <f>+IF('5. GlobalData'!BQ121="","",'5. GlobalData'!BQ121)</f>
        <v/>
      </c>
      <c r="CN71" s="567" t="str">
        <f>+IF('5. GlobalData'!BR121="","",'5. GlobalData'!BR121)</f>
        <v/>
      </c>
      <c r="CO71" s="568" t="str">
        <f>+IF('5. GlobalData'!BS121="","",'5. GlobalData'!BS121)</f>
        <v/>
      </c>
      <c r="CP71" s="569" t="str">
        <f t="shared" ref="CP71:DC71" si="70">+IF(CB71="","",CB71*$AH71)</f>
        <v/>
      </c>
      <c r="CQ71" s="570" t="str">
        <f t="shared" si="70"/>
        <v/>
      </c>
      <c r="CR71" s="570" t="str">
        <f t="shared" si="70"/>
        <v/>
      </c>
      <c r="CS71" s="570" t="str">
        <f t="shared" si="70"/>
        <v/>
      </c>
      <c r="CT71" s="570" t="str">
        <f t="shared" si="70"/>
        <v/>
      </c>
      <c r="CU71" s="570" t="str">
        <f t="shared" si="70"/>
        <v/>
      </c>
      <c r="CV71" s="570" t="str">
        <f t="shared" si="70"/>
        <v/>
      </c>
      <c r="CW71" s="570" t="str">
        <f t="shared" si="70"/>
        <v/>
      </c>
      <c r="CX71" s="570" t="str">
        <f t="shared" si="70"/>
        <v/>
      </c>
      <c r="CY71" s="570" t="str">
        <f t="shared" si="70"/>
        <v/>
      </c>
      <c r="CZ71" s="570" t="str">
        <f t="shared" si="70"/>
        <v/>
      </c>
      <c r="DA71" s="570" t="str">
        <f t="shared" si="70"/>
        <v/>
      </c>
      <c r="DB71" s="570" t="str">
        <f t="shared" si="70"/>
        <v/>
      </c>
      <c r="DC71" s="571" t="str">
        <f t="shared" si="70"/>
        <v/>
      </c>
      <c r="DD71" s="569">
        <v>90.671360287275249</v>
      </c>
      <c r="DE71" s="570">
        <v>78.345503612492678</v>
      </c>
      <c r="DF71" s="572">
        <f>+DE71+(DG71-DE71)*(2023-2020)/(2025-2020)</f>
        <v>56.123066775775108</v>
      </c>
      <c r="DG71" s="570">
        <v>41.308108884630059</v>
      </c>
      <c r="DH71" s="573" t="s">
        <v>1443</v>
      </c>
      <c r="DI71" s="573" t="s">
        <v>1443</v>
      </c>
      <c r="DJ71" s="573" t="s">
        <v>1443</v>
      </c>
      <c r="DK71" s="573" t="s">
        <v>1443</v>
      </c>
      <c r="DL71" s="573" t="s">
        <v>1443</v>
      </c>
      <c r="DM71" s="573" t="s">
        <v>1443</v>
      </c>
      <c r="DN71" s="573" t="s">
        <v>1443</v>
      </c>
      <c r="DO71" s="573" t="s">
        <v>1443</v>
      </c>
      <c r="DP71" s="573" t="s">
        <v>1443</v>
      </c>
      <c r="DQ71" s="574" t="s">
        <v>1443</v>
      </c>
    </row>
    <row r="72" spans="1:121" ht="15.75" customHeight="1" x14ac:dyDescent="0.25">
      <c r="I72" s="431" t="s">
        <v>1228</v>
      </c>
      <c r="J72" s="434" t="s">
        <v>1235</v>
      </c>
      <c r="K72" s="431">
        <v>46</v>
      </c>
      <c r="L72" s="434"/>
      <c r="M72" s="434" t="str">
        <f t="shared" si="35"/>
        <v>Light Oil</v>
      </c>
      <c r="N72" s="575">
        <f t="shared" ref="N72:O72" si="71">Y40</f>
        <v>60.007782289723188</v>
      </c>
      <c r="O72" s="576">
        <f t="shared" si="71"/>
        <v>77.441558868755962</v>
      </c>
      <c r="P72" s="577">
        <f t="shared" si="37"/>
        <v>0.56341891649713927</v>
      </c>
      <c r="Q72" s="578">
        <f t="shared" si="38"/>
        <v>73.646794341073218</v>
      </c>
      <c r="R72" s="579">
        <f t="shared" ref="R72:V72" si="72">T40</f>
        <v>3.345117782148316</v>
      </c>
      <c r="S72" s="579">
        <f t="shared" si="72"/>
        <v>0.44964674553442446</v>
      </c>
      <c r="T72" s="579">
        <f t="shared" si="72"/>
        <v>52.360166687252182</v>
      </c>
      <c r="U72" s="579">
        <f t="shared" si="72"/>
        <v>0</v>
      </c>
      <c r="V72" s="579">
        <f t="shared" si="72"/>
        <v>21.286627653821029</v>
      </c>
      <c r="W72" s="580">
        <f t="shared" ref="W72:Y72" si="73">+IF($O72=0,"-",R72/$O72)</f>
        <v>4.3195382828197612E-2</v>
      </c>
      <c r="X72" s="580">
        <f t="shared" si="73"/>
        <v>5.8062718791141981E-3</v>
      </c>
      <c r="Y72" s="580">
        <f t="shared" si="73"/>
        <v>0.67612490569810901</v>
      </c>
      <c r="Z72" s="580">
        <f t="shared" si="41"/>
        <v>0.27487343959457905</v>
      </c>
      <c r="AA72" s="581">
        <f t="shared" si="42"/>
        <v>0</v>
      </c>
      <c r="AB72" s="561">
        <f>+'5. GlobalData'!M11*1000*$D$21/1000</f>
        <v>800.21650656000008</v>
      </c>
      <c r="AC72" s="562">
        <f t="shared" si="43"/>
        <v>5.9871986933189376</v>
      </c>
      <c r="AD72" s="563">
        <f t="shared" si="44"/>
        <v>349.35938947083901</v>
      </c>
      <c r="AE72" s="582">
        <f t="shared" si="45"/>
        <v>5.8219013624616087</v>
      </c>
      <c r="AF72" s="563">
        <f t="shared" si="46"/>
        <v>450.85711708916119</v>
      </c>
      <c r="AG72" s="565">
        <f t="shared" si="47"/>
        <v>5.8219013624616087</v>
      </c>
      <c r="AH72" s="402">
        <f t="shared" si="48"/>
        <v>137.44934115847914</v>
      </c>
      <c r="AI72" s="566">
        <v>1</v>
      </c>
      <c r="AJ72" s="567">
        <v>0.96044449526690401</v>
      </c>
      <c r="AK72" s="567">
        <v>0.76403745377837917</v>
      </c>
      <c r="AL72" s="567">
        <v>0.56021621253703868</v>
      </c>
      <c r="AM72" s="567">
        <v>0.34268343632583909</v>
      </c>
      <c r="AN72" s="567">
        <v>0.2529654007733238</v>
      </c>
      <c r="AO72" s="567">
        <v>0.1759897260617134</v>
      </c>
      <c r="AP72" s="567">
        <v>0.13104379000775873</v>
      </c>
      <c r="AQ72" s="567">
        <v>9.8840214794708919E-2</v>
      </c>
      <c r="AR72" s="567">
        <v>7.3268574835202507E-2</v>
      </c>
      <c r="AS72" s="567">
        <v>4.7783853153392786E-2</v>
      </c>
      <c r="AT72" s="567">
        <v>3.0794038698853304E-2</v>
      </c>
      <c r="AU72" s="567">
        <v>1.380422424431382E-2</v>
      </c>
      <c r="AV72" s="568">
        <v>0</v>
      </c>
      <c r="AW72" s="569">
        <f t="shared" ref="AW72:BJ72" si="74">+IF(AI72="","",AI72*$AH72)</f>
        <v>137.44934115847914</v>
      </c>
      <c r="AX72" s="570">
        <f t="shared" si="74"/>
        <v>132.01246309372399</v>
      </c>
      <c r="AY72" s="570">
        <f t="shared" si="74"/>
        <v>105.01644464224017</v>
      </c>
      <c r="AZ72" s="570">
        <f t="shared" si="74"/>
        <v>77.001349319514489</v>
      </c>
      <c r="BA72" s="570">
        <f t="shared" si="74"/>
        <v>47.101612548910218</v>
      </c>
      <c r="BB72" s="570">
        <f t="shared" si="74"/>
        <v>34.769927672183989</v>
      </c>
      <c r="BC72" s="570">
        <f t="shared" si="74"/>
        <v>24.189671897843734</v>
      </c>
      <c r="BD72" s="570">
        <f t="shared" si="74"/>
        <v>18.011882599476529</v>
      </c>
      <c r="BE72" s="570">
        <f t="shared" si="74"/>
        <v>13.585522403495304</v>
      </c>
      <c r="BF72" s="570">
        <f t="shared" si="74"/>
        <v>10.070717338719309</v>
      </c>
      <c r="BG72" s="570">
        <f t="shared" si="74"/>
        <v>6.567859133947354</v>
      </c>
      <c r="BH72" s="570">
        <f t="shared" si="74"/>
        <v>4.232620330766097</v>
      </c>
      <c r="BI72" s="570">
        <f t="shared" si="74"/>
        <v>1.8973815275848391</v>
      </c>
      <c r="BJ72" s="571">
        <f t="shared" si="74"/>
        <v>0</v>
      </c>
      <c r="BK72" s="569">
        <v>137.44934115847914</v>
      </c>
      <c r="BL72" s="570">
        <v>132.01246309372399</v>
      </c>
      <c r="BM72" s="570">
        <v>105.01644464224017</v>
      </c>
      <c r="BN72" s="570">
        <v>77.001349319514489</v>
      </c>
      <c r="BO72" s="570">
        <v>47.101612548910218</v>
      </c>
      <c r="BP72" s="570">
        <v>34.769927672183989</v>
      </c>
      <c r="BQ72" s="570">
        <v>24.189671897843734</v>
      </c>
      <c r="BR72" s="570">
        <v>18.011882599476529</v>
      </c>
      <c r="BS72" s="570">
        <v>13.585522403495304</v>
      </c>
      <c r="BT72" s="570">
        <v>10.070717338719309</v>
      </c>
      <c r="BU72" s="573">
        <v>6.567859133947354</v>
      </c>
      <c r="BV72" s="573">
        <v>4.232620330766097</v>
      </c>
      <c r="BW72" s="573">
        <v>1.8973815275848391</v>
      </c>
      <c r="BX72" s="574">
        <v>0</v>
      </c>
      <c r="BY72" s="400"/>
      <c r="BZ72" s="400"/>
      <c r="CA72" s="400"/>
      <c r="CB72" s="566" t="str">
        <f>+IF('5. GlobalData'!BF122="","",'5. GlobalData'!BF122)</f>
        <v/>
      </c>
      <c r="CC72" s="567" t="str">
        <f>+IF('5. GlobalData'!BG122="","",'5. GlobalData'!BG122)</f>
        <v/>
      </c>
      <c r="CD72" s="567" t="str">
        <f>+IF('5. GlobalData'!BH122="","",'5. GlobalData'!BH122)</f>
        <v/>
      </c>
      <c r="CE72" s="567" t="str">
        <f>+IF('5. GlobalData'!BI122="","",'5. GlobalData'!BI122)</f>
        <v/>
      </c>
      <c r="CF72" s="567" t="str">
        <f>+IF('5. GlobalData'!BJ122="","",'5. GlobalData'!BJ122)</f>
        <v/>
      </c>
      <c r="CG72" s="567" t="str">
        <f>+IF('5. GlobalData'!BK122="","",'5. GlobalData'!BK122)</f>
        <v/>
      </c>
      <c r="CH72" s="567" t="str">
        <f>+IF('5. GlobalData'!BL122="","",'5. GlobalData'!BL122)</f>
        <v/>
      </c>
      <c r="CI72" s="567" t="str">
        <f>+IF('5. GlobalData'!BM122="","",'5. GlobalData'!BM122)</f>
        <v/>
      </c>
      <c r="CJ72" s="567" t="str">
        <f>+IF('5. GlobalData'!BN122="","",'5. GlobalData'!BN122)</f>
        <v/>
      </c>
      <c r="CK72" s="567" t="str">
        <f>+IF('5. GlobalData'!BO122="","",'5. GlobalData'!BO122)</f>
        <v/>
      </c>
      <c r="CL72" s="567" t="str">
        <f>+IF('5. GlobalData'!BP122="","",'5. GlobalData'!BP122)</f>
        <v/>
      </c>
      <c r="CM72" s="567" t="str">
        <f>+IF('5. GlobalData'!BQ122="","",'5. GlobalData'!BQ122)</f>
        <v/>
      </c>
      <c r="CN72" s="567" t="str">
        <f>+IF('5. GlobalData'!BR122="","",'5. GlobalData'!BR122)</f>
        <v/>
      </c>
      <c r="CO72" s="568" t="str">
        <f>+IF('5. GlobalData'!BS122="","",'5. GlobalData'!BS122)</f>
        <v/>
      </c>
      <c r="CP72" s="569" t="str">
        <f t="shared" ref="CP72:DC72" si="75">+IF(CB72="","",CB72*$AH72)</f>
        <v/>
      </c>
      <c r="CQ72" s="570" t="str">
        <f t="shared" si="75"/>
        <v/>
      </c>
      <c r="CR72" s="570" t="str">
        <f t="shared" si="75"/>
        <v/>
      </c>
      <c r="CS72" s="570" t="str">
        <f t="shared" si="75"/>
        <v/>
      </c>
      <c r="CT72" s="570" t="str">
        <f t="shared" si="75"/>
        <v/>
      </c>
      <c r="CU72" s="570" t="str">
        <f t="shared" si="75"/>
        <v/>
      </c>
      <c r="CV72" s="570" t="str">
        <f t="shared" si="75"/>
        <v/>
      </c>
      <c r="CW72" s="570" t="str">
        <f t="shared" si="75"/>
        <v/>
      </c>
      <c r="CX72" s="570" t="str">
        <f t="shared" si="75"/>
        <v/>
      </c>
      <c r="CY72" s="570" t="str">
        <f t="shared" si="75"/>
        <v/>
      </c>
      <c r="CZ72" s="570" t="str">
        <f t="shared" si="75"/>
        <v/>
      </c>
      <c r="DA72" s="570" t="str">
        <f t="shared" si="75"/>
        <v/>
      </c>
      <c r="DB72" s="570" t="str">
        <f t="shared" si="75"/>
        <v/>
      </c>
      <c r="DC72" s="571" t="str">
        <f t="shared" si="75"/>
        <v/>
      </c>
      <c r="DD72" s="569">
        <v>137.44934115847914</v>
      </c>
      <c r="DE72" s="570">
        <v>132.01246309372399</v>
      </c>
      <c r="DF72" s="570">
        <v>105.01644464224017</v>
      </c>
      <c r="DG72" s="570">
        <v>77.001349319514489</v>
      </c>
      <c r="DH72" s="570">
        <v>47.101612548910218</v>
      </c>
      <c r="DI72" s="570">
        <v>34.769927672183989</v>
      </c>
      <c r="DJ72" s="570">
        <v>24.082150157807057</v>
      </c>
      <c r="DK72" s="570">
        <v>17.952148299456155</v>
      </c>
      <c r="DL72" s="570">
        <v>13.573575543491229</v>
      </c>
      <c r="DM72" s="570">
        <v>10.070717338719309</v>
      </c>
      <c r="DN72" s="573" t="s">
        <v>1443</v>
      </c>
      <c r="DO72" s="573" t="s">
        <v>1443</v>
      </c>
      <c r="DP72" s="573" t="s">
        <v>1443</v>
      </c>
      <c r="DQ72" s="574" t="s">
        <v>1443</v>
      </c>
    </row>
    <row r="73" spans="1:121" ht="15.75" customHeight="1" x14ac:dyDescent="0.25">
      <c r="I73" s="431" t="s">
        <v>1228</v>
      </c>
      <c r="J73" s="434" t="s">
        <v>1236</v>
      </c>
      <c r="K73" s="431">
        <f>44+((47-44)/2)</f>
        <v>45.5</v>
      </c>
      <c r="L73" s="434"/>
      <c r="M73" s="434" t="str">
        <f t="shared" si="35"/>
        <v>Light Oil</v>
      </c>
      <c r="N73" s="575">
        <f t="shared" ref="N73:O73" si="76">Y41</f>
        <v>17.796808939248596</v>
      </c>
      <c r="O73" s="583">
        <f t="shared" si="76"/>
        <v>1.7694814439043327</v>
      </c>
      <c r="P73" s="577">
        <f t="shared" si="37"/>
        <v>9.0435203058618671E-2</v>
      </c>
      <c r="Q73" s="578">
        <f t="shared" si="38"/>
        <v>0</v>
      </c>
      <c r="R73" s="584">
        <f t="shared" ref="R73:V73" si="77">T41</f>
        <v>0.2018105131061125</v>
      </c>
      <c r="S73" s="584">
        <f t="shared" si="77"/>
        <v>1.5676709307982222</v>
      </c>
      <c r="T73" s="579">
        <f t="shared" si="77"/>
        <v>0</v>
      </c>
      <c r="U73" s="579">
        <f t="shared" si="77"/>
        <v>0</v>
      </c>
      <c r="V73" s="579">
        <f t="shared" si="77"/>
        <v>0</v>
      </c>
      <c r="W73" s="580">
        <f t="shared" ref="W73:Y73" si="78">+IF($O73=0,"-",R73/$O73)</f>
        <v>0.11405065241081071</v>
      </c>
      <c r="X73" s="580">
        <f t="shared" si="78"/>
        <v>0.88594934758919042</v>
      </c>
      <c r="Y73" s="580">
        <f t="shared" si="78"/>
        <v>0</v>
      </c>
      <c r="Z73" s="580">
        <f t="shared" si="41"/>
        <v>0</v>
      </c>
      <c r="AA73" s="581" t="str">
        <f t="shared" si="42"/>
        <v>-</v>
      </c>
      <c r="AB73" s="561">
        <f>+'5. GlobalData'!M12*1000*$D$21/1000</f>
        <v>89.866756597045551</v>
      </c>
      <c r="AC73" s="562">
        <f t="shared" si="43"/>
        <v>5.0495994480704836</v>
      </c>
      <c r="AD73" s="563">
        <f t="shared" si="44"/>
        <v>81.739638215972278</v>
      </c>
      <c r="AE73" s="582">
        <f t="shared" si="45"/>
        <v>4.5929378966195404</v>
      </c>
      <c r="AF73" s="563">
        <f t="shared" si="46"/>
        <v>8.1271183810732737</v>
      </c>
      <c r="AG73" s="565">
        <f t="shared" si="47"/>
        <v>4.5929378966195404</v>
      </c>
      <c r="AH73" s="402">
        <f t="shared" si="48"/>
        <v>19.566290383152928</v>
      </c>
      <c r="AI73" s="566">
        <v>1</v>
      </c>
      <c r="AJ73" s="567">
        <v>0.7022515504416712</v>
      </c>
      <c r="AK73" s="567">
        <v>0.58616858919918358</v>
      </c>
      <c r="AL73" s="567">
        <v>0.42817637636521416</v>
      </c>
      <c r="AM73" s="567">
        <v>0.27357007256918159</v>
      </c>
      <c r="AN73" s="567">
        <v>0.21313263520085107</v>
      </c>
      <c r="AO73" s="567">
        <v>0.16301714425670513</v>
      </c>
      <c r="AP73" s="567">
        <v>0.12960681696060614</v>
      </c>
      <c r="AQ73" s="567">
        <v>0.10201912610891797</v>
      </c>
      <c r="AR73" s="567">
        <v>7.2782955555135476E-2</v>
      </c>
      <c r="AS73" s="567">
        <v>6.0873017373386004E-2</v>
      </c>
      <c r="AT73" s="567">
        <v>5.2933058585553035E-2</v>
      </c>
      <c r="AU73" s="567">
        <v>4.6581091555286676E-2</v>
      </c>
      <c r="AV73" s="568">
        <v>3.7053141009887144E-2</v>
      </c>
      <c r="AW73" s="569">
        <f t="shared" ref="AW73:BJ73" si="79">+IF(AI73="","",AI73*$AH73)</f>
        <v>19.566290383152928</v>
      </c>
      <c r="AX73" s="570">
        <f t="shared" si="79"/>
        <v>13.740457757961105</v>
      </c>
      <c r="AY73" s="570">
        <f t="shared" si="79"/>
        <v>11.469144829754304</v>
      </c>
      <c r="AZ73" s="570">
        <f t="shared" si="79"/>
        <v>8.3778233151679586</v>
      </c>
      <c r="BA73" s="570">
        <f t="shared" si="79"/>
        <v>5.3527514800288261</v>
      </c>
      <c r="BB73" s="570">
        <f t="shared" si="79"/>
        <v>4.170215030466454</v>
      </c>
      <c r="BC73" s="570">
        <f t="shared" si="79"/>
        <v>3.1896407819590231</v>
      </c>
      <c r="BD73" s="570">
        <f t="shared" si="79"/>
        <v>2.5359246162873696</v>
      </c>
      <c r="BE73" s="570">
        <f t="shared" si="79"/>
        <v>1.9961358460825875</v>
      </c>
      <c r="BF73" s="570">
        <f t="shared" si="79"/>
        <v>1.4240924433358944</v>
      </c>
      <c r="BG73" s="570">
        <f t="shared" si="79"/>
        <v>1.1910591344263837</v>
      </c>
      <c r="BH73" s="570">
        <f t="shared" si="79"/>
        <v>1.0357035951533768</v>
      </c>
      <c r="BI73" s="570">
        <f t="shared" si="79"/>
        <v>0.91141916373497178</v>
      </c>
      <c r="BJ73" s="571">
        <f t="shared" si="79"/>
        <v>0.72499251660736419</v>
      </c>
      <c r="BK73" s="569">
        <v>19.566290383152928</v>
      </c>
      <c r="BL73" s="570">
        <v>13.740457757961105</v>
      </c>
      <c r="BM73" s="570">
        <v>11.469144829754304</v>
      </c>
      <c r="BN73" s="570">
        <v>8.3778233151679586</v>
      </c>
      <c r="BO73" s="570">
        <v>5.3527514800288261</v>
      </c>
      <c r="BP73" s="570">
        <v>4.170215030466454</v>
      </c>
      <c r="BQ73" s="572">
        <v>3.1896407819590231</v>
      </c>
      <c r="BR73" s="570">
        <v>2.5359246162873696</v>
      </c>
      <c r="BS73" s="572">
        <v>1.9961358460825875</v>
      </c>
      <c r="BT73" s="570">
        <v>1.4240924433358944</v>
      </c>
      <c r="BU73" s="572">
        <v>1.1910591344263837</v>
      </c>
      <c r="BV73" s="570">
        <v>1.0357035951533768</v>
      </c>
      <c r="BW73" s="572">
        <v>0.91141916373497178</v>
      </c>
      <c r="BX73" s="571">
        <v>0.72499251660736419</v>
      </c>
      <c r="BY73" s="400"/>
      <c r="BZ73" s="400"/>
      <c r="CA73" s="400"/>
      <c r="CB73" s="566" t="str">
        <f>+IF('5. GlobalData'!BF123="","",'5. GlobalData'!BF123)</f>
        <v/>
      </c>
      <c r="CC73" s="567" t="str">
        <f>+IF('5. GlobalData'!BG123="","",'5. GlobalData'!BG123)</f>
        <v/>
      </c>
      <c r="CD73" s="567" t="str">
        <f>+IF('5. GlobalData'!BH123="","",'5. GlobalData'!BH123)</f>
        <v/>
      </c>
      <c r="CE73" s="567" t="str">
        <f>+IF('5. GlobalData'!BI123="","",'5. GlobalData'!BI123)</f>
        <v/>
      </c>
      <c r="CF73" s="567" t="str">
        <f>+IF('5. GlobalData'!BJ123="","",'5. GlobalData'!BJ123)</f>
        <v/>
      </c>
      <c r="CG73" s="567" t="str">
        <f>+IF('5. GlobalData'!BK123="","",'5. GlobalData'!BK123)</f>
        <v/>
      </c>
      <c r="CH73" s="567" t="str">
        <f>+IF('5. GlobalData'!BL123="","",'5. GlobalData'!BL123)</f>
        <v/>
      </c>
      <c r="CI73" s="567" t="str">
        <f>+IF('5. GlobalData'!BM123="","",'5. GlobalData'!BM123)</f>
        <v/>
      </c>
      <c r="CJ73" s="567" t="str">
        <f>+IF('5. GlobalData'!BN123="","",'5. GlobalData'!BN123)</f>
        <v/>
      </c>
      <c r="CK73" s="567" t="str">
        <f>+IF('5. GlobalData'!BO123="","",'5. GlobalData'!BO123)</f>
        <v/>
      </c>
      <c r="CL73" s="567" t="str">
        <f>+IF('5. GlobalData'!BP123="","",'5. GlobalData'!BP123)</f>
        <v/>
      </c>
      <c r="CM73" s="567" t="str">
        <f>+IF('5. GlobalData'!BQ123="","",'5. GlobalData'!BQ123)</f>
        <v/>
      </c>
      <c r="CN73" s="567" t="str">
        <f>+IF('5. GlobalData'!BR123="","",'5. GlobalData'!BR123)</f>
        <v/>
      </c>
      <c r="CO73" s="568" t="str">
        <f>+IF('5. GlobalData'!BS123="","",'5. GlobalData'!BS123)</f>
        <v/>
      </c>
      <c r="CP73" s="569" t="str">
        <f t="shared" ref="CP73:DC73" si="80">+IF(CB73="","",CB73*$AH73)</f>
        <v/>
      </c>
      <c r="CQ73" s="570" t="str">
        <f t="shared" si="80"/>
        <v/>
      </c>
      <c r="CR73" s="570" t="str">
        <f t="shared" si="80"/>
        <v/>
      </c>
      <c r="CS73" s="570" t="str">
        <f t="shared" si="80"/>
        <v/>
      </c>
      <c r="CT73" s="570" t="str">
        <f t="shared" si="80"/>
        <v/>
      </c>
      <c r="CU73" s="570" t="str">
        <f t="shared" si="80"/>
        <v/>
      </c>
      <c r="CV73" s="570" t="str">
        <f t="shared" si="80"/>
        <v/>
      </c>
      <c r="CW73" s="570" t="str">
        <f t="shared" si="80"/>
        <v/>
      </c>
      <c r="CX73" s="570" t="str">
        <f t="shared" si="80"/>
        <v/>
      </c>
      <c r="CY73" s="570" t="str">
        <f t="shared" si="80"/>
        <v/>
      </c>
      <c r="CZ73" s="570" t="str">
        <f t="shared" si="80"/>
        <v/>
      </c>
      <c r="DA73" s="570" t="str">
        <f t="shared" si="80"/>
        <v/>
      </c>
      <c r="DB73" s="570" t="str">
        <f t="shared" si="80"/>
        <v/>
      </c>
      <c r="DC73" s="571" t="str">
        <f t="shared" si="80"/>
        <v/>
      </c>
      <c r="DD73" s="569">
        <v>19.566290383152928</v>
      </c>
      <c r="DE73" s="570">
        <v>13.740457757961105</v>
      </c>
      <c r="DF73" s="570">
        <v>11.469144829754304</v>
      </c>
      <c r="DG73" s="570">
        <v>8.3778233151679586</v>
      </c>
      <c r="DH73" s="570">
        <v>1.7899311127012081</v>
      </c>
      <c r="DI73" s="570">
        <v>4.170215030466454</v>
      </c>
      <c r="DJ73" s="572">
        <f t="shared" ref="DJ73:DJ75" si="81">+DI73+(DK73-DI73)*(2033-2030)/(2035-2030)</f>
        <v>2.8643236645887322</v>
      </c>
      <c r="DK73" s="570">
        <v>1.9937294206702509</v>
      </c>
      <c r="DL73" s="572">
        <f>+DK73+(DM73-DK73)*(2037-2035)/(2040-2035)</f>
        <v>1.7658746297365082</v>
      </c>
      <c r="DM73" s="570">
        <v>1.4240924433358944</v>
      </c>
      <c r="DN73" s="572">
        <f>+DM73+(DO73-DM73)*(2043-2040)/(2045-2040)</f>
        <v>1.1910591344263839</v>
      </c>
      <c r="DO73" s="570">
        <v>1.0357035951533768</v>
      </c>
      <c r="DP73" s="572">
        <f>+DO73+(DQ73-DO73)*(2047-2045)/(2050-2045)</f>
        <v>0.91141916373497178</v>
      </c>
      <c r="DQ73" s="571">
        <v>0.72499251660736419</v>
      </c>
    </row>
    <row r="74" spans="1:121" ht="15.75" customHeight="1" x14ac:dyDescent="0.25">
      <c r="I74" s="431" t="s">
        <v>1228</v>
      </c>
      <c r="J74" s="434" t="s">
        <v>1238</v>
      </c>
      <c r="K74" s="431">
        <f>11.3+(14.4-11.3)/2</f>
        <v>12.850000000000001</v>
      </c>
      <c r="L74" s="434"/>
      <c r="M74" s="434" t="str">
        <f t="shared" si="35"/>
        <v>Heavy Oil</v>
      </c>
      <c r="N74" s="575">
        <f t="shared" ref="N74:O74" si="82">Y42</f>
        <v>265.08224689210181</v>
      </c>
      <c r="O74" s="576">
        <f t="shared" si="82"/>
        <v>0</v>
      </c>
      <c r="P74" s="577">
        <f t="shared" si="37"/>
        <v>0</v>
      </c>
      <c r="Q74" s="578">
        <f t="shared" si="38"/>
        <v>0</v>
      </c>
      <c r="R74" s="579">
        <f t="shared" ref="R74:V74" si="83">T42</f>
        <v>0</v>
      </c>
      <c r="S74" s="579">
        <f t="shared" si="83"/>
        <v>0</v>
      </c>
      <c r="T74" s="579">
        <f t="shared" si="83"/>
        <v>0</v>
      </c>
      <c r="U74" s="579">
        <f t="shared" si="83"/>
        <v>0</v>
      </c>
      <c r="V74" s="579">
        <f t="shared" si="83"/>
        <v>0</v>
      </c>
      <c r="W74" s="580" t="str">
        <f t="shared" ref="W74:Y74" si="84">+IF($O74=0,"-",R74/$O74)</f>
        <v>-</v>
      </c>
      <c r="X74" s="580" t="str">
        <f t="shared" si="84"/>
        <v>-</v>
      </c>
      <c r="Y74" s="580" t="str">
        <f t="shared" si="84"/>
        <v>-</v>
      </c>
      <c r="Z74" s="580" t="str">
        <f t="shared" si="41"/>
        <v>-</v>
      </c>
      <c r="AA74" s="581" t="str">
        <f t="shared" si="42"/>
        <v>-</v>
      </c>
      <c r="AB74" s="561">
        <f>+'5. GlobalData'!M13*1000*$D$21/1000</f>
        <v>1669.56486728</v>
      </c>
      <c r="AC74" s="562">
        <f t="shared" si="43"/>
        <v>6.2982900094383689</v>
      </c>
      <c r="AD74" s="563">
        <f t="shared" si="44"/>
        <v>1669.56486728</v>
      </c>
      <c r="AE74" s="582">
        <f t="shared" si="45"/>
        <v>6.2982900094383689</v>
      </c>
      <c r="AF74" s="563">
        <f t="shared" si="46"/>
        <v>0</v>
      </c>
      <c r="AG74" s="565" t="str">
        <f t="shared" si="47"/>
        <v>-</v>
      </c>
      <c r="AH74" s="402">
        <f t="shared" si="48"/>
        <v>265.08224689210181</v>
      </c>
      <c r="AI74" s="566">
        <v>1</v>
      </c>
      <c r="AJ74" s="567">
        <v>0.94294294294294301</v>
      </c>
      <c r="AK74" s="567">
        <v>0.75555555555555554</v>
      </c>
      <c r="AL74" s="567">
        <v>0.63063063063063063</v>
      </c>
      <c r="AM74" s="567">
        <v>0.51051051051051055</v>
      </c>
      <c r="AN74" s="567">
        <v>0.33033033033033032</v>
      </c>
      <c r="AO74" s="567">
        <v>0.25825825825825821</v>
      </c>
      <c r="AP74" s="567">
        <v>0.21021021021021014</v>
      </c>
      <c r="AQ74" s="567">
        <v>0.16216216216216484</v>
      </c>
      <c r="AR74" s="567">
        <v>9.0090090090094346E-2</v>
      </c>
      <c r="AS74" s="567">
        <v>1.8018018018023836E-2</v>
      </c>
      <c r="AT74" s="567">
        <v>0</v>
      </c>
      <c r="AU74" s="567">
        <v>0</v>
      </c>
      <c r="AV74" s="568">
        <v>0</v>
      </c>
      <c r="AW74" s="569">
        <f t="shared" ref="AW74:BJ74" si="85">+IF(AI74="","",AI74*$AH74)</f>
        <v>265.08224689210181</v>
      </c>
      <c r="AX74" s="570">
        <f t="shared" si="85"/>
        <v>249.9574340063663</v>
      </c>
      <c r="AY74" s="570">
        <f t="shared" si="85"/>
        <v>200.28436431847692</v>
      </c>
      <c r="AZ74" s="570">
        <f t="shared" si="85"/>
        <v>167.1689845265507</v>
      </c>
      <c r="BA74" s="570">
        <f t="shared" si="85"/>
        <v>135.32727318816009</v>
      </c>
      <c r="BB74" s="570">
        <f t="shared" si="85"/>
        <v>87.564706180574163</v>
      </c>
      <c r="BC74" s="570">
        <f t="shared" si="85"/>
        <v>68.4596793775398</v>
      </c>
      <c r="BD74" s="570">
        <f t="shared" si="85"/>
        <v>55.722994842183546</v>
      </c>
      <c r="BE74" s="570">
        <f t="shared" si="85"/>
        <v>42.986310306828031</v>
      </c>
      <c r="BF74" s="570">
        <f t="shared" si="85"/>
        <v>23.881283503794084</v>
      </c>
      <c r="BG74" s="570">
        <f t="shared" si="85"/>
        <v>4.7762567007601335</v>
      </c>
      <c r="BH74" s="570">
        <f t="shared" si="85"/>
        <v>0</v>
      </c>
      <c r="BI74" s="570">
        <f t="shared" si="85"/>
        <v>0</v>
      </c>
      <c r="BJ74" s="571">
        <f t="shared" si="85"/>
        <v>0</v>
      </c>
      <c r="BK74" s="569">
        <v>265.08224689210181</v>
      </c>
      <c r="BL74" s="570">
        <v>249.9574340063663</v>
      </c>
      <c r="BM74" s="572">
        <v>200.28436431847692</v>
      </c>
      <c r="BN74" s="570">
        <v>167.1689845265507</v>
      </c>
      <c r="BO74" s="572">
        <v>135.32727318816009</v>
      </c>
      <c r="BP74" s="570">
        <v>87.564706180574163</v>
      </c>
      <c r="BQ74" s="572">
        <v>68.4596793775398</v>
      </c>
      <c r="BR74" s="570">
        <v>55.722994842183546</v>
      </c>
      <c r="BS74" s="573">
        <v>42.986310306828031</v>
      </c>
      <c r="BT74" s="573">
        <v>23.881283503794084</v>
      </c>
      <c r="BU74" s="573">
        <v>4.7762567007601335</v>
      </c>
      <c r="BV74" s="573">
        <v>0</v>
      </c>
      <c r="BW74" s="573">
        <v>0</v>
      </c>
      <c r="BX74" s="574">
        <v>0</v>
      </c>
      <c r="BY74" s="400"/>
      <c r="BZ74" s="400"/>
      <c r="CA74" s="400"/>
      <c r="CB74" s="566" t="str">
        <f>+IF('5. GlobalData'!BF124="","",'5. GlobalData'!BF124)</f>
        <v/>
      </c>
      <c r="CC74" s="567" t="str">
        <f>+IF('5. GlobalData'!BG124="","",'5. GlobalData'!BG124)</f>
        <v/>
      </c>
      <c r="CD74" s="567" t="str">
        <f>+IF('5. GlobalData'!BH124="","",'5. GlobalData'!BH124)</f>
        <v/>
      </c>
      <c r="CE74" s="567" t="str">
        <f>+IF('5. GlobalData'!BI124="","",'5. GlobalData'!BI124)</f>
        <v/>
      </c>
      <c r="CF74" s="567" t="str">
        <f>+IF('5. GlobalData'!BJ124="","",'5. GlobalData'!BJ124)</f>
        <v/>
      </c>
      <c r="CG74" s="567" t="str">
        <f>+IF('5. GlobalData'!BK124="","",'5. GlobalData'!BK124)</f>
        <v/>
      </c>
      <c r="CH74" s="567" t="str">
        <f>+IF('5. GlobalData'!BL124="","",'5. GlobalData'!BL124)</f>
        <v/>
      </c>
      <c r="CI74" s="567" t="str">
        <f>+IF('5. GlobalData'!BM124="","",'5. GlobalData'!BM124)</f>
        <v/>
      </c>
      <c r="CJ74" s="567" t="str">
        <f>+IF('5. GlobalData'!BN124="","",'5. GlobalData'!BN124)</f>
        <v/>
      </c>
      <c r="CK74" s="567" t="str">
        <f>+IF('5. GlobalData'!BO124="","",'5. GlobalData'!BO124)</f>
        <v/>
      </c>
      <c r="CL74" s="567" t="str">
        <f>+IF('5. GlobalData'!BP124="","",'5. GlobalData'!BP124)</f>
        <v/>
      </c>
      <c r="CM74" s="567" t="str">
        <f>+IF('5. GlobalData'!BQ124="","",'5. GlobalData'!BQ124)</f>
        <v/>
      </c>
      <c r="CN74" s="567" t="str">
        <f>+IF('5. GlobalData'!BR124="","",'5. GlobalData'!BR124)</f>
        <v/>
      </c>
      <c r="CO74" s="568" t="str">
        <f>+IF('5. GlobalData'!BS124="","",'5. GlobalData'!BS124)</f>
        <v/>
      </c>
      <c r="CP74" s="569" t="str">
        <f t="shared" ref="CP74:DC74" si="86">+IF(CB74="","",CB74*$AH74)</f>
        <v/>
      </c>
      <c r="CQ74" s="570" t="str">
        <f t="shared" si="86"/>
        <v/>
      </c>
      <c r="CR74" s="570" t="str">
        <f t="shared" si="86"/>
        <v/>
      </c>
      <c r="CS74" s="570" t="str">
        <f t="shared" si="86"/>
        <v/>
      </c>
      <c r="CT74" s="570" t="str">
        <f t="shared" si="86"/>
        <v/>
      </c>
      <c r="CU74" s="570" t="str">
        <f t="shared" si="86"/>
        <v/>
      </c>
      <c r="CV74" s="570" t="str">
        <f t="shared" si="86"/>
        <v/>
      </c>
      <c r="CW74" s="570" t="str">
        <f t="shared" si="86"/>
        <v/>
      </c>
      <c r="CX74" s="570" t="str">
        <f t="shared" si="86"/>
        <v/>
      </c>
      <c r="CY74" s="570" t="str">
        <f t="shared" si="86"/>
        <v/>
      </c>
      <c r="CZ74" s="570" t="str">
        <f t="shared" si="86"/>
        <v/>
      </c>
      <c r="DA74" s="570" t="str">
        <f t="shared" si="86"/>
        <v/>
      </c>
      <c r="DB74" s="570" t="str">
        <f t="shared" si="86"/>
        <v/>
      </c>
      <c r="DC74" s="571" t="str">
        <f t="shared" si="86"/>
        <v/>
      </c>
      <c r="DD74" s="569">
        <v>265.08224689210181</v>
      </c>
      <c r="DE74" s="570">
        <v>249.9574340063663</v>
      </c>
      <c r="DF74" s="572">
        <f>+DE74+(DG74-DE74)*(2023-2020)/(2025-2020)</f>
        <v>200.28436431847695</v>
      </c>
      <c r="DG74" s="570">
        <v>167.1689845265507</v>
      </c>
      <c r="DH74" s="572">
        <f t="shared" ref="DH74:DH80" si="87">+DG74+(DI74-DG74)*(2027-2025)/(2030-2025)</f>
        <v>135.32727318816009</v>
      </c>
      <c r="DI74" s="570">
        <v>87.564706180574163</v>
      </c>
      <c r="DJ74" s="572">
        <f t="shared" si="81"/>
        <v>68.4596793775398</v>
      </c>
      <c r="DK74" s="570">
        <v>55.722994842183546</v>
      </c>
      <c r="DL74" s="573" t="s">
        <v>1443</v>
      </c>
      <c r="DM74" s="573" t="s">
        <v>1443</v>
      </c>
      <c r="DN74" s="573" t="s">
        <v>1443</v>
      </c>
      <c r="DO74" s="573" t="s">
        <v>1443</v>
      </c>
      <c r="DP74" s="573" t="s">
        <v>1443</v>
      </c>
      <c r="DQ74" s="574" t="s">
        <v>1443</v>
      </c>
    </row>
    <row r="75" spans="1:121" ht="15.75" customHeight="1" x14ac:dyDescent="0.25">
      <c r="I75" s="431" t="s">
        <v>1228</v>
      </c>
      <c r="J75" s="434" t="s">
        <v>1240</v>
      </c>
      <c r="K75" s="431">
        <v>13.7</v>
      </c>
      <c r="L75" s="434"/>
      <c r="M75" s="434" t="str">
        <f t="shared" si="35"/>
        <v>Heavy Oil</v>
      </c>
      <c r="N75" s="575">
        <f t="shared" ref="N75:O75" si="88">Y43</f>
        <v>253.41187670697005</v>
      </c>
      <c r="O75" s="576">
        <f t="shared" si="88"/>
        <v>0</v>
      </c>
      <c r="P75" s="577">
        <f t="shared" si="37"/>
        <v>0</v>
      </c>
      <c r="Q75" s="578">
        <f t="shared" si="38"/>
        <v>0</v>
      </c>
      <c r="R75" s="579">
        <f t="shared" ref="R75:V75" si="89">T43</f>
        <v>0</v>
      </c>
      <c r="S75" s="579">
        <f t="shared" si="89"/>
        <v>0</v>
      </c>
      <c r="T75" s="579">
        <f t="shared" si="89"/>
        <v>0</v>
      </c>
      <c r="U75" s="579">
        <f t="shared" si="89"/>
        <v>0</v>
      </c>
      <c r="V75" s="579">
        <f t="shared" si="89"/>
        <v>0</v>
      </c>
      <c r="W75" s="580" t="str">
        <f t="shared" ref="W75:Y75" si="90">+IF($O75=0,"-",R75/$O75)</f>
        <v>-</v>
      </c>
      <c r="X75" s="580" t="str">
        <f t="shared" si="90"/>
        <v>-</v>
      </c>
      <c r="Y75" s="580" t="str">
        <f t="shared" si="90"/>
        <v>-</v>
      </c>
      <c r="Z75" s="580" t="str">
        <f t="shared" si="41"/>
        <v>-</v>
      </c>
      <c r="AA75" s="581" t="str">
        <f t="shared" si="42"/>
        <v>-</v>
      </c>
      <c r="AB75" s="561">
        <f>+'5. GlobalData'!M14*1000*$D$21/1000</f>
        <v>2808.3748323555819</v>
      </c>
      <c r="AC75" s="562">
        <f t="shared" si="43"/>
        <v>11.082254189700091</v>
      </c>
      <c r="AD75" s="563">
        <f t="shared" si="44"/>
        <v>2808.3748323555819</v>
      </c>
      <c r="AE75" s="582">
        <f t="shared" si="45"/>
        <v>11.082254189700091</v>
      </c>
      <c r="AF75" s="563">
        <f t="shared" si="46"/>
        <v>0</v>
      </c>
      <c r="AG75" s="565" t="str">
        <f t="shared" si="47"/>
        <v>-</v>
      </c>
      <c r="AH75" s="402">
        <f t="shared" si="48"/>
        <v>253.41187670697005</v>
      </c>
      <c r="AI75" s="566">
        <v>1</v>
      </c>
      <c r="AJ75" s="567">
        <v>1.0012894214427195</v>
      </c>
      <c r="AK75" s="567">
        <v>0.7935476187759164</v>
      </c>
      <c r="AL75" s="567">
        <v>0.67445980594142352</v>
      </c>
      <c r="AM75" s="567">
        <v>0.60372304158111922</v>
      </c>
      <c r="AN75" s="567">
        <v>0.49761789504066278</v>
      </c>
      <c r="AO75" s="567">
        <v>0.43328874761505221</v>
      </c>
      <c r="AP75" s="567">
        <v>0.3904026493313118</v>
      </c>
      <c r="AQ75" s="567">
        <v>0.34756686162508232</v>
      </c>
      <c r="AR75" s="567">
        <v>0.28338216625732354</v>
      </c>
      <c r="AS75" s="567">
        <v>0.22317028021362426</v>
      </c>
      <c r="AT75" s="567">
        <v>0.21201326991288166</v>
      </c>
      <c r="AU75" s="567">
        <v>0.2027885427495851</v>
      </c>
      <c r="AV75" s="568">
        <v>0.18895145200464025</v>
      </c>
      <c r="AW75" s="569">
        <f t="shared" ref="AW75:BJ75" si="91">+IF(AI75="","",AI75*$AH75)</f>
        <v>253.41187670697005</v>
      </c>
      <c r="AX75" s="570">
        <f t="shared" si="91"/>
        <v>253.73863141463579</v>
      </c>
      <c r="AY75" s="570">
        <f t="shared" si="91"/>
        <v>201.09439133035221</v>
      </c>
      <c r="AZ75" s="570">
        <f t="shared" si="91"/>
        <v>170.91612518703496</v>
      </c>
      <c r="BA75" s="570">
        <f t="shared" si="91"/>
        <v>152.99058897831154</v>
      </c>
      <c r="BB75" s="570">
        <f t="shared" si="91"/>
        <v>126.10228466522641</v>
      </c>
      <c r="BC75" s="570">
        <f t="shared" si="91"/>
        <v>109.80051468914307</v>
      </c>
      <c r="BD75" s="570">
        <f t="shared" si="91"/>
        <v>98.932668038420843</v>
      </c>
      <c r="BE75" s="570">
        <f t="shared" si="91"/>
        <v>88.077570685563884</v>
      </c>
      <c r="BF75" s="570">
        <f t="shared" si="91"/>
        <v>71.812406576554963</v>
      </c>
      <c r="BG75" s="570">
        <f t="shared" si="91"/>
        <v>56.553999534154904</v>
      </c>
      <c r="BH75" s="570">
        <f t="shared" si="91"/>
        <v>53.726680615404732</v>
      </c>
      <c r="BI75" s="570">
        <f t="shared" si="91"/>
        <v>51.389025192843988</v>
      </c>
      <c r="BJ75" s="571">
        <f t="shared" si="91"/>
        <v>47.882542059002866</v>
      </c>
      <c r="BK75" s="569">
        <v>253.41187670697005</v>
      </c>
      <c r="BL75" s="570">
        <v>253.73863141463579</v>
      </c>
      <c r="BM75" s="570">
        <v>201.09439133035221</v>
      </c>
      <c r="BN75" s="570">
        <v>170.91612518703496</v>
      </c>
      <c r="BO75" s="572">
        <v>152.99058897831154</v>
      </c>
      <c r="BP75" s="570">
        <v>126.10228466522641</v>
      </c>
      <c r="BQ75" s="572">
        <v>109.80051468914307</v>
      </c>
      <c r="BR75" s="570">
        <v>98.932668038420843</v>
      </c>
      <c r="BS75" s="572">
        <v>88.077570685563884</v>
      </c>
      <c r="BT75" s="570">
        <v>71.812406576554963</v>
      </c>
      <c r="BU75" s="572">
        <v>56.553999534154904</v>
      </c>
      <c r="BV75" s="572">
        <v>53.726680615404732</v>
      </c>
      <c r="BW75" s="572">
        <v>51.389025192843988</v>
      </c>
      <c r="BX75" s="571">
        <v>47.882542059002866</v>
      </c>
      <c r="BY75" s="400"/>
      <c r="BZ75" s="585"/>
      <c r="CA75" s="586"/>
      <c r="CB75" s="566" t="str">
        <f>+IF('5. GlobalData'!BF125="","",'5. GlobalData'!BF125)</f>
        <v/>
      </c>
      <c r="CC75" s="567" t="str">
        <f>+IF('5. GlobalData'!BG125="","",'5. GlobalData'!BG125)</f>
        <v/>
      </c>
      <c r="CD75" s="567" t="str">
        <f>+IF('5. GlobalData'!BH125="","",'5. GlobalData'!BH125)</f>
        <v/>
      </c>
      <c r="CE75" s="567" t="str">
        <f>+IF('5. GlobalData'!BI125="","",'5. GlobalData'!BI125)</f>
        <v/>
      </c>
      <c r="CF75" s="567" t="str">
        <f>+IF('5. GlobalData'!BJ125="","",'5. GlobalData'!BJ125)</f>
        <v/>
      </c>
      <c r="CG75" s="567" t="str">
        <f>+IF('5. GlobalData'!BK125="","",'5. GlobalData'!BK125)</f>
        <v/>
      </c>
      <c r="CH75" s="567" t="str">
        <f>+IF('5. GlobalData'!BL125="","",'5. GlobalData'!BL125)</f>
        <v/>
      </c>
      <c r="CI75" s="567" t="str">
        <f>+IF('5. GlobalData'!BM125="","",'5. GlobalData'!BM125)</f>
        <v/>
      </c>
      <c r="CJ75" s="567" t="str">
        <f>+IF('5. GlobalData'!BN125="","",'5. GlobalData'!BN125)</f>
        <v/>
      </c>
      <c r="CK75" s="567" t="str">
        <f>+IF('5. GlobalData'!BO125="","",'5. GlobalData'!BO125)</f>
        <v/>
      </c>
      <c r="CL75" s="567" t="str">
        <f>+IF('5. GlobalData'!BP125="","",'5. GlobalData'!BP125)</f>
        <v/>
      </c>
      <c r="CM75" s="567" t="str">
        <f>+IF('5. GlobalData'!BQ125="","",'5. GlobalData'!BQ125)</f>
        <v/>
      </c>
      <c r="CN75" s="567" t="str">
        <f>+IF('5. GlobalData'!BR125="","",'5. GlobalData'!BR125)</f>
        <v/>
      </c>
      <c r="CO75" s="568" t="str">
        <f>+IF('5. GlobalData'!BS125="","",'5. GlobalData'!BS125)</f>
        <v/>
      </c>
      <c r="CP75" s="569" t="str">
        <f t="shared" ref="CP75:DC75" si="92">+IF(CB75="","",CB75*$AH75)</f>
        <v/>
      </c>
      <c r="CQ75" s="570" t="str">
        <f t="shared" si="92"/>
        <v/>
      </c>
      <c r="CR75" s="570" t="str">
        <f t="shared" si="92"/>
        <v/>
      </c>
      <c r="CS75" s="570" t="str">
        <f t="shared" si="92"/>
        <v/>
      </c>
      <c r="CT75" s="570" t="str">
        <f t="shared" si="92"/>
        <v/>
      </c>
      <c r="CU75" s="570" t="str">
        <f t="shared" si="92"/>
        <v/>
      </c>
      <c r="CV75" s="570" t="str">
        <f t="shared" si="92"/>
        <v/>
      </c>
      <c r="CW75" s="570" t="str">
        <f t="shared" si="92"/>
        <v/>
      </c>
      <c r="CX75" s="570" t="str">
        <f t="shared" si="92"/>
        <v/>
      </c>
      <c r="CY75" s="570" t="str">
        <f t="shared" si="92"/>
        <v/>
      </c>
      <c r="CZ75" s="570" t="str">
        <f t="shared" si="92"/>
        <v/>
      </c>
      <c r="DA75" s="570" t="str">
        <f t="shared" si="92"/>
        <v/>
      </c>
      <c r="DB75" s="570" t="str">
        <f t="shared" si="92"/>
        <v/>
      </c>
      <c r="DC75" s="571" t="str">
        <f t="shared" si="92"/>
        <v/>
      </c>
      <c r="DD75" s="569">
        <v>253.41187670697005</v>
      </c>
      <c r="DE75" s="570">
        <v>253.73863141463579</v>
      </c>
      <c r="DF75" s="570">
        <v>90.234575792944611</v>
      </c>
      <c r="DG75" s="570">
        <v>85.560429307289255</v>
      </c>
      <c r="DH75" s="572">
        <f t="shared" si="87"/>
        <v>101.77717145046412</v>
      </c>
      <c r="DI75" s="570">
        <v>126.10228466522641</v>
      </c>
      <c r="DJ75" s="572">
        <f t="shared" si="81"/>
        <v>69.643672617237414</v>
      </c>
      <c r="DK75" s="570">
        <v>32.004597918578092</v>
      </c>
      <c r="DL75" s="572">
        <f>+DK75+(DM75-DK75)*(2037-2035)/(2040-2035)</f>
        <v>43.031086419869496</v>
      </c>
      <c r="DM75" s="570">
        <v>59.570819171806598</v>
      </c>
      <c r="DN75" s="572">
        <f>+DM75+(DQ75-DM75)*(2043-2040)/(2050-2040)</f>
        <v>56.035487330657105</v>
      </c>
      <c r="DO75" s="572">
        <f>+DM75+(DQ75-DM75)*(2045-2040)/(2050-2040)</f>
        <v>53.678599436557441</v>
      </c>
      <c r="DP75" s="572">
        <f>+DM75+(DQ75-DM75)*(2047-2040)/(2050-2040)</f>
        <v>51.321711542457777</v>
      </c>
      <c r="DQ75" s="571">
        <v>47.786379701308284</v>
      </c>
    </row>
    <row r="76" spans="1:121" ht="15.75" customHeight="1" x14ac:dyDescent="0.25">
      <c r="I76" s="431" t="s">
        <v>1228</v>
      </c>
      <c r="J76" s="434" t="s">
        <v>1242</v>
      </c>
      <c r="K76" s="431">
        <f>7+(20-7)/2</f>
        <v>13.5</v>
      </c>
      <c r="L76" s="434"/>
      <c r="M76" s="434" t="str">
        <f t="shared" si="35"/>
        <v>Heavy Oil</v>
      </c>
      <c r="N76" s="575">
        <f t="shared" ref="N76:O76" si="93">Y44</f>
        <v>153.50718826671843</v>
      </c>
      <c r="O76" s="576">
        <f t="shared" si="93"/>
        <v>1.3978936722236606</v>
      </c>
      <c r="P76" s="577">
        <f t="shared" si="37"/>
        <v>9.0241950407712185E-3</v>
      </c>
      <c r="Q76" s="578">
        <f t="shared" si="38"/>
        <v>0</v>
      </c>
      <c r="R76" s="579">
        <f t="shared" ref="R76:V76" si="94">T44</f>
        <v>0.32109980889709927</v>
      </c>
      <c r="S76" s="579">
        <f t="shared" si="94"/>
        <v>1.0767938633265612</v>
      </c>
      <c r="T76" s="579">
        <f t="shared" si="94"/>
        <v>0</v>
      </c>
      <c r="U76" s="579">
        <f t="shared" si="94"/>
        <v>0</v>
      </c>
      <c r="V76" s="579">
        <f t="shared" si="94"/>
        <v>0</v>
      </c>
      <c r="W76" s="580">
        <f t="shared" ref="W76:Y76" si="95">+IF($O76=0,"-",R76/$O76)</f>
        <v>0.22970259847182703</v>
      </c>
      <c r="X76" s="580">
        <f t="shared" si="95"/>
        <v>0.77029740152817294</v>
      </c>
      <c r="Y76" s="580">
        <f t="shared" si="95"/>
        <v>0</v>
      </c>
      <c r="Z76" s="580">
        <f t="shared" si="41"/>
        <v>0</v>
      </c>
      <c r="AA76" s="581" t="str">
        <f t="shared" si="42"/>
        <v>-</v>
      </c>
      <c r="AB76" s="561">
        <f>+'5. GlobalData'!M15*1000*$D$21/1000</f>
        <v>1445.2840023680001</v>
      </c>
      <c r="AC76" s="562">
        <f t="shared" si="43"/>
        <v>9.4150900598662659</v>
      </c>
      <c r="AD76" s="563">
        <f t="shared" si="44"/>
        <v>1432.2414776413248</v>
      </c>
      <c r="AE76" s="582">
        <f t="shared" si="45"/>
        <v>9.3301264508396056</v>
      </c>
      <c r="AF76" s="563">
        <f t="shared" si="46"/>
        <v>13.042524726675284</v>
      </c>
      <c r="AG76" s="565">
        <f t="shared" si="47"/>
        <v>9.3301264508396038</v>
      </c>
      <c r="AH76" s="402">
        <f t="shared" si="48"/>
        <v>154.90508193894209</v>
      </c>
      <c r="AI76" s="566">
        <v>1</v>
      </c>
      <c r="AJ76" s="567">
        <v>0.99883325263017586</v>
      </c>
      <c r="AK76" s="567">
        <v>0.89646071146204309</v>
      </c>
      <c r="AL76" s="567">
        <v>0.75559988665176769</v>
      </c>
      <c r="AM76" s="567">
        <v>0.63273626526514493</v>
      </c>
      <c r="AN76" s="567">
        <v>0.44844083318521072</v>
      </c>
      <c r="AO76" s="567">
        <v>0.37502366342996168</v>
      </c>
      <c r="AP76" s="567">
        <v>0.29475321316119518</v>
      </c>
      <c r="AQ76" s="567">
        <v>0.22595125656718268</v>
      </c>
      <c r="AR76" s="567">
        <v>0.12274832167616051</v>
      </c>
      <c r="AS76" s="567">
        <v>6.2815527422288242E-2</v>
      </c>
      <c r="AT76" s="567">
        <v>4.9560348662181647E-2</v>
      </c>
      <c r="AU76" s="567">
        <v>3.6305169902077161E-2</v>
      </c>
      <c r="AV76" s="568">
        <v>1.6422401761917896E-2</v>
      </c>
      <c r="AW76" s="569">
        <f t="shared" ref="AW76:BJ76" si="96">+IF(AI76="","",AI76*$AH76)</f>
        <v>154.90508193894209</v>
      </c>
      <c r="AX76" s="570">
        <f t="shared" si="96"/>
        <v>154.72434684201744</v>
      </c>
      <c r="AY76" s="570">
        <f t="shared" si="96"/>
        <v>138.8663199640701</v>
      </c>
      <c r="AZ76" s="570">
        <f t="shared" si="96"/>
        <v>117.04626235484743</v>
      </c>
      <c r="BA76" s="570">
        <f t="shared" si="96"/>
        <v>98.014063016637479</v>
      </c>
      <c r="BB76" s="570">
        <f t="shared" si="96"/>
        <v>69.465764009322527</v>
      </c>
      <c r="BC76" s="570">
        <f t="shared" si="96"/>
        <v>58.093071312660456</v>
      </c>
      <c r="BD76" s="570">
        <f t="shared" si="96"/>
        <v>45.658770636501401</v>
      </c>
      <c r="BE76" s="570">
        <f t="shared" si="96"/>
        <v>35.000997912746357</v>
      </c>
      <c r="BF76" s="570">
        <f t="shared" si="96"/>
        <v>19.014338827113264</v>
      </c>
      <c r="BG76" s="570">
        <f t="shared" si="96"/>
        <v>9.7304444223874231</v>
      </c>
      <c r="BH76" s="570">
        <f t="shared" si="96"/>
        <v>7.6771498704377867</v>
      </c>
      <c r="BI76" s="570">
        <f t="shared" si="96"/>
        <v>5.6238553184884772</v>
      </c>
      <c r="BJ76" s="571">
        <f t="shared" si="96"/>
        <v>2.5439134905641185</v>
      </c>
      <c r="BK76" s="569">
        <v>154.90508193894209</v>
      </c>
      <c r="BL76" s="570">
        <v>154.72434684201744</v>
      </c>
      <c r="BM76" s="570">
        <v>138.8663199640701</v>
      </c>
      <c r="BN76" s="570">
        <v>117.04626235484743</v>
      </c>
      <c r="BO76" s="572">
        <v>98.014063016637479</v>
      </c>
      <c r="BP76" s="570">
        <v>69.465764009322527</v>
      </c>
      <c r="BQ76" s="570">
        <v>58.093071312660456</v>
      </c>
      <c r="BR76" s="570">
        <v>45.658770636501401</v>
      </c>
      <c r="BS76" s="570">
        <v>35.000997912746357</v>
      </c>
      <c r="BT76" s="570">
        <v>19.014338827113264</v>
      </c>
      <c r="BU76" s="570">
        <v>9.7304444223874231</v>
      </c>
      <c r="BV76" s="573">
        <v>7.6771498704377867</v>
      </c>
      <c r="BW76" s="573">
        <v>5.6238553184884772</v>
      </c>
      <c r="BX76" s="574">
        <v>2.5439134905641185</v>
      </c>
      <c r="BY76" s="400"/>
      <c r="BZ76" s="400"/>
      <c r="CA76" s="400"/>
      <c r="CB76" s="566" t="str">
        <f>+IF('5. GlobalData'!BF126="","",'5. GlobalData'!BF126)</f>
        <v/>
      </c>
      <c r="CC76" s="567" t="str">
        <f>+IF('5. GlobalData'!BG126="","",'5. GlobalData'!BG126)</f>
        <v/>
      </c>
      <c r="CD76" s="567" t="str">
        <f>+IF('5. GlobalData'!BH126="","",'5. GlobalData'!BH126)</f>
        <v/>
      </c>
      <c r="CE76" s="567" t="str">
        <f>+IF('5. GlobalData'!BI126="","",'5. GlobalData'!BI126)</f>
        <v/>
      </c>
      <c r="CF76" s="567" t="str">
        <f>+IF('5. GlobalData'!BJ126="","",'5. GlobalData'!BJ126)</f>
        <v/>
      </c>
      <c r="CG76" s="567" t="str">
        <f>+IF('5. GlobalData'!BK126="","",'5. GlobalData'!BK126)</f>
        <v/>
      </c>
      <c r="CH76" s="567" t="str">
        <f>+IF('5. GlobalData'!BL126="","",'5. GlobalData'!BL126)</f>
        <v/>
      </c>
      <c r="CI76" s="567" t="str">
        <f>+IF('5. GlobalData'!BM126="","",'5. GlobalData'!BM126)</f>
        <v/>
      </c>
      <c r="CJ76" s="567" t="str">
        <f>+IF('5. GlobalData'!BN126="","",'5. GlobalData'!BN126)</f>
        <v/>
      </c>
      <c r="CK76" s="567" t="str">
        <f>+IF('5. GlobalData'!BO126="","",'5. GlobalData'!BO126)</f>
        <v/>
      </c>
      <c r="CL76" s="567" t="str">
        <f>+IF('5. GlobalData'!BP126="","",'5. GlobalData'!BP126)</f>
        <v/>
      </c>
      <c r="CM76" s="567" t="str">
        <f>+IF('5. GlobalData'!BQ126="","",'5. GlobalData'!BQ126)</f>
        <v/>
      </c>
      <c r="CN76" s="567" t="str">
        <f>+IF('5. GlobalData'!BR126="","",'5. GlobalData'!BR126)</f>
        <v/>
      </c>
      <c r="CO76" s="568" t="str">
        <f>+IF('5. GlobalData'!BS126="","",'5. GlobalData'!BS126)</f>
        <v/>
      </c>
      <c r="CP76" s="569" t="str">
        <f t="shared" ref="CP76:DC76" si="97">+IF(CB76="","",CB76*$AH76)</f>
        <v/>
      </c>
      <c r="CQ76" s="570" t="str">
        <f t="shared" si="97"/>
        <v/>
      </c>
      <c r="CR76" s="570" t="str">
        <f t="shared" si="97"/>
        <v/>
      </c>
      <c r="CS76" s="570" t="str">
        <f t="shared" si="97"/>
        <v/>
      </c>
      <c r="CT76" s="570" t="str">
        <f t="shared" si="97"/>
        <v/>
      </c>
      <c r="CU76" s="570" t="str">
        <f t="shared" si="97"/>
        <v/>
      </c>
      <c r="CV76" s="570" t="str">
        <f t="shared" si="97"/>
        <v/>
      </c>
      <c r="CW76" s="570" t="str">
        <f t="shared" si="97"/>
        <v/>
      </c>
      <c r="CX76" s="570" t="str">
        <f t="shared" si="97"/>
        <v/>
      </c>
      <c r="CY76" s="570" t="str">
        <f t="shared" si="97"/>
        <v/>
      </c>
      <c r="CZ76" s="570" t="str">
        <f t="shared" si="97"/>
        <v/>
      </c>
      <c r="DA76" s="570" t="str">
        <f t="shared" si="97"/>
        <v/>
      </c>
      <c r="DB76" s="570" t="str">
        <f t="shared" si="97"/>
        <v/>
      </c>
      <c r="DC76" s="571" t="str">
        <f t="shared" si="97"/>
        <v/>
      </c>
      <c r="DD76" s="569">
        <v>154.90508193894209</v>
      </c>
      <c r="DE76" s="570">
        <v>154.72434684201744</v>
      </c>
      <c r="DF76" s="570">
        <v>48.027349298771789</v>
      </c>
      <c r="DG76" s="570">
        <v>117.04626235484743</v>
      </c>
      <c r="DH76" s="572">
        <f t="shared" si="87"/>
        <v>98.014063016637465</v>
      </c>
      <c r="DI76" s="570">
        <v>69.465764009322527</v>
      </c>
      <c r="DJ76" s="570">
        <v>36.504949568849092</v>
      </c>
      <c r="DK76" s="570">
        <v>45.658770636501401</v>
      </c>
      <c r="DL76" s="570">
        <v>18.873455084109839</v>
      </c>
      <c r="DM76" s="570">
        <v>12.81038625031162</v>
      </c>
      <c r="DN76" s="570">
        <v>9.7304444223874231</v>
      </c>
      <c r="DO76" s="573" t="s">
        <v>1443</v>
      </c>
      <c r="DP76" s="573" t="s">
        <v>1443</v>
      </c>
      <c r="DQ76" s="574" t="s">
        <v>1443</v>
      </c>
    </row>
    <row r="77" spans="1:121" ht="15.75" customHeight="1" x14ac:dyDescent="0.25">
      <c r="I77" s="431" t="s">
        <v>1228</v>
      </c>
      <c r="J77" s="434" t="s">
        <v>1243</v>
      </c>
      <c r="K77" s="431">
        <v>8</v>
      </c>
      <c r="L77" s="434"/>
      <c r="M77" s="434" t="str">
        <f t="shared" si="35"/>
        <v>Heavy Oil</v>
      </c>
      <c r="N77" s="575">
        <f t="shared" ref="N77:O77" si="98">Y45</f>
        <v>43.895597705669182</v>
      </c>
      <c r="O77" s="576">
        <f t="shared" si="98"/>
        <v>0.21448045777585595</v>
      </c>
      <c r="P77" s="577">
        <f t="shared" si="37"/>
        <v>4.8623912426797849E-3</v>
      </c>
      <c r="Q77" s="578">
        <f t="shared" si="38"/>
        <v>0</v>
      </c>
      <c r="R77" s="579">
        <f t="shared" ref="R77:V77" si="99">T45</f>
        <v>0</v>
      </c>
      <c r="S77" s="579">
        <f t="shared" si="99"/>
        <v>0.21448045777585595</v>
      </c>
      <c r="T77" s="579">
        <f t="shared" si="99"/>
        <v>0</v>
      </c>
      <c r="U77" s="579">
        <f t="shared" si="99"/>
        <v>0</v>
      </c>
      <c r="V77" s="579">
        <f t="shared" si="99"/>
        <v>0</v>
      </c>
      <c r="W77" s="580">
        <f t="shared" ref="W77:Y77" si="100">+IF($O77=0,"-",R77/$O77)</f>
        <v>0</v>
      </c>
      <c r="X77" s="580">
        <f t="shared" si="100"/>
        <v>1</v>
      </c>
      <c r="Y77" s="580">
        <f t="shared" si="100"/>
        <v>0</v>
      </c>
      <c r="Z77" s="580">
        <f t="shared" si="41"/>
        <v>0</v>
      </c>
      <c r="AA77" s="581" t="str">
        <f t="shared" si="42"/>
        <v>-</v>
      </c>
      <c r="AB77" s="561">
        <f>+'5. GlobalData'!M16*1000*$D$21/1000</f>
        <v>549.81236578400001</v>
      </c>
      <c r="AC77" s="562">
        <f t="shared" si="43"/>
        <v>12.525455729538702</v>
      </c>
      <c r="AD77" s="563">
        <f t="shared" si="44"/>
        <v>547.13896295149482</v>
      </c>
      <c r="AE77" s="582">
        <f t="shared" si="45"/>
        <v>12.464552063288821</v>
      </c>
      <c r="AF77" s="563">
        <f t="shared" si="46"/>
        <v>2.6734028325051762</v>
      </c>
      <c r="AG77" s="565">
        <f t="shared" si="47"/>
        <v>12.464552063288821</v>
      </c>
      <c r="AH77" s="402">
        <f t="shared" si="48"/>
        <v>44.110078163445039</v>
      </c>
      <c r="AI77" s="566">
        <v>1</v>
      </c>
      <c r="AJ77" s="567">
        <v>0.50474547023295946</v>
      </c>
      <c r="AK77" s="567">
        <v>1.0008628127696291</v>
      </c>
      <c r="AL77" s="567">
        <v>0.84555651423641076</v>
      </c>
      <c r="AM77" s="567">
        <v>0.74029335634167392</v>
      </c>
      <c r="AN77" s="567">
        <v>0.58239861949956873</v>
      </c>
      <c r="AO77" s="567">
        <v>0.47886108714408987</v>
      </c>
      <c r="AP77" s="567">
        <v>0.40983606557377061</v>
      </c>
      <c r="AQ77" s="567">
        <v>0.35979292493528908</v>
      </c>
      <c r="AR77" s="567">
        <v>0.28472821397756687</v>
      </c>
      <c r="AS77" s="567">
        <v>0.23554788610871449</v>
      </c>
      <c r="AT77" s="567">
        <v>0.20276100086281287</v>
      </c>
      <c r="AU77" s="567">
        <v>0.16393442622950821</v>
      </c>
      <c r="AV77" s="568">
        <v>0.10569456427955486</v>
      </c>
      <c r="AW77" s="569">
        <f t="shared" ref="AW77:BJ77" si="101">+IF(AI77="","",AI77*$AH77)</f>
        <v>44.110078163445039</v>
      </c>
      <c r="AX77" s="570">
        <f t="shared" si="101"/>
        <v>22.264362144620662</v>
      </c>
      <c r="AY77" s="570">
        <f t="shared" si="101"/>
        <v>44.148136902153794</v>
      </c>
      <c r="AZ77" s="570">
        <f t="shared" si="101"/>
        <v>37.297563934578207</v>
      </c>
      <c r="BA77" s="570">
        <f t="shared" si="101"/>
        <v>32.654397812110311</v>
      </c>
      <c r="BB77" s="570">
        <f t="shared" si="101"/>
        <v>25.689648628408463</v>
      </c>
      <c r="BC77" s="570">
        <f t="shared" si="101"/>
        <v>21.122599983358072</v>
      </c>
      <c r="BD77" s="570">
        <f t="shared" si="101"/>
        <v>18.077900886657808</v>
      </c>
      <c r="BE77" s="570">
        <f t="shared" si="101"/>
        <v>15.870494041550115</v>
      </c>
      <c r="BF77" s="570">
        <f t="shared" si="101"/>
        <v>12.559383773888579</v>
      </c>
      <c r="BG77" s="570">
        <f t="shared" si="101"/>
        <v>10.390035667489647</v>
      </c>
      <c r="BH77" s="570">
        <f t="shared" si="101"/>
        <v>8.9438035965570233</v>
      </c>
      <c r="BI77" s="570">
        <f t="shared" si="101"/>
        <v>7.231160354663122</v>
      </c>
      <c r="BJ77" s="571">
        <f t="shared" si="101"/>
        <v>4.6621954918224304</v>
      </c>
      <c r="BK77" s="569">
        <v>44.110078163445039</v>
      </c>
      <c r="BL77" s="570">
        <v>22.264362144620662</v>
      </c>
      <c r="BM77" s="570">
        <v>44.148136902153794</v>
      </c>
      <c r="BN77" s="570">
        <v>37.297563934578207</v>
      </c>
      <c r="BO77" s="572">
        <v>32.654397812110311</v>
      </c>
      <c r="BP77" s="570">
        <v>25.689648628408463</v>
      </c>
      <c r="BQ77" s="572">
        <v>21.122599983358072</v>
      </c>
      <c r="BR77" s="570">
        <v>18.077900886657808</v>
      </c>
      <c r="BS77" s="572">
        <v>15.870494041550115</v>
      </c>
      <c r="BT77" s="570">
        <v>12.559383773888579</v>
      </c>
      <c r="BU77" s="572">
        <v>10.390035667489647</v>
      </c>
      <c r="BV77" s="570">
        <v>8.9438035965570233</v>
      </c>
      <c r="BW77" s="570">
        <v>7.231160354663122</v>
      </c>
      <c r="BX77" s="574">
        <v>4.6621954918224304</v>
      </c>
      <c r="BY77" s="400"/>
      <c r="BZ77" s="400"/>
      <c r="CA77" s="400"/>
      <c r="CB77" s="566" t="str">
        <f>+IF('5. GlobalData'!BF127="","",'5. GlobalData'!BF127)</f>
        <v/>
      </c>
      <c r="CC77" s="567" t="str">
        <f>+IF('5. GlobalData'!BG127="","",'5. GlobalData'!BG127)</f>
        <v/>
      </c>
      <c r="CD77" s="567" t="str">
        <f>+IF('5. GlobalData'!BH127="","",'5. GlobalData'!BH127)</f>
        <v/>
      </c>
      <c r="CE77" s="567" t="str">
        <f>+IF('5. GlobalData'!BI127="","",'5. GlobalData'!BI127)</f>
        <v/>
      </c>
      <c r="CF77" s="567" t="str">
        <f>+IF('5. GlobalData'!BJ127="","",'5. GlobalData'!BJ127)</f>
        <v/>
      </c>
      <c r="CG77" s="567" t="str">
        <f>+IF('5. GlobalData'!BK127="","",'5. GlobalData'!BK127)</f>
        <v/>
      </c>
      <c r="CH77" s="567" t="str">
        <f>+IF('5. GlobalData'!BL127="","",'5. GlobalData'!BL127)</f>
        <v/>
      </c>
      <c r="CI77" s="567" t="str">
        <f>+IF('5. GlobalData'!BM127="","",'5. GlobalData'!BM127)</f>
        <v/>
      </c>
      <c r="CJ77" s="567" t="str">
        <f>+IF('5. GlobalData'!BN127="","",'5. GlobalData'!BN127)</f>
        <v/>
      </c>
      <c r="CK77" s="567" t="str">
        <f>+IF('5. GlobalData'!BO127="","",'5. GlobalData'!BO127)</f>
        <v/>
      </c>
      <c r="CL77" s="567" t="str">
        <f>+IF('5. GlobalData'!BP127="","",'5. GlobalData'!BP127)</f>
        <v/>
      </c>
      <c r="CM77" s="567" t="str">
        <f>+IF('5. GlobalData'!BQ127="","",'5. GlobalData'!BQ127)</f>
        <v/>
      </c>
      <c r="CN77" s="567" t="str">
        <f>+IF('5. GlobalData'!BR127="","",'5. GlobalData'!BR127)</f>
        <v/>
      </c>
      <c r="CO77" s="568" t="str">
        <f>+IF('5. GlobalData'!BS127="","",'5. GlobalData'!BS127)</f>
        <v/>
      </c>
      <c r="CP77" s="569" t="str">
        <f t="shared" ref="CP77:DC77" si="102">+IF(CB77="","",CB77*$AH77)</f>
        <v/>
      </c>
      <c r="CQ77" s="570" t="str">
        <f t="shared" si="102"/>
        <v/>
      </c>
      <c r="CR77" s="570" t="str">
        <f t="shared" si="102"/>
        <v/>
      </c>
      <c r="CS77" s="570" t="str">
        <f t="shared" si="102"/>
        <v/>
      </c>
      <c r="CT77" s="570" t="str">
        <f t="shared" si="102"/>
        <v/>
      </c>
      <c r="CU77" s="570" t="str">
        <f t="shared" si="102"/>
        <v/>
      </c>
      <c r="CV77" s="570" t="str">
        <f t="shared" si="102"/>
        <v/>
      </c>
      <c r="CW77" s="570" t="str">
        <f t="shared" si="102"/>
        <v/>
      </c>
      <c r="CX77" s="570" t="str">
        <f t="shared" si="102"/>
        <v/>
      </c>
      <c r="CY77" s="570" t="str">
        <f t="shared" si="102"/>
        <v/>
      </c>
      <c r="CZ77" s="570" t="str">
        <f t="shared" si="102"/>
        <v/>
      </c>
      <c r="DA77" s="570" t="str">
        <f t="shared" si="102"/>
        <v/>
      </c>
      <c r="DB77" s="570" t="str">
        <f t="shared" si="102"/>
        <v/>
      </c>
      <c r="DC77" s="571" t="str">
        <f t="shared" si="102"/>
        <v/>
      </c>
      <c r="DD77" s="569">
        <v>44.110078163445039</v>
      </c>
      <c r="DE77" s="570">
        <v>22.264362144620662</v>
      </c>
      <c r="DF77" s="570">
        <v>44.148136902153794</v>
      </c>
      <c r="DG77" s="570">
        <v>37.297563934578207</v>
      </c>
      <c r="DH77" s="572">
        <f t="shared" si="87"/>
        <v>32.654397812110311</v>
      </c>
      <c r="DI77" s="570">
        <v>25.689648628408463</v>
      </c>
      <c r="DJ77" s="572">
        <f t="shared" ref="DJ77:DJ80" si="103">+DI77+(DK77-DI77)*(2033-2030)/(2035-2030)</f>
        <v>21.122599983358072</v>
      </c>
      <c r="DK77" s="570">
        <v>18.077900886657808</v>
      </c>
      <c r="DL77" s="572">
        <f t="shared" ref="DL77:DL83" si="104">+DK77+(DM77-DK77)*(2037-2035)/(2040-2035)</f>
        <v>15.870494041550117</v>
      </c>
      <c r="DM77" s="570">
        <v>12.559383773888579</v>
      </c>
      <c r="DN77" s="572">
        <f>+DM77+(DO77-DM77)*(2043-2040)/(2045-2040)</f>
        <v>10.390035667489645</v>
      </c>
      <c r="DO77" s="570">
        <v>8.9438035965570233</v>
      </c>
      <c r="DP77" s="570">
        <v>7.231160354663122</v>
      </c>
      <c r="DQ77" s="574" t="s">
        <v>1443</v>
      </c>
    </row>
    <row r="78" spans="1:121" ht="15.75" customHeight="1" x14ac:dyDescent="0.25">
      <c r="I78" s="431" t="s">
        <v>1228</v>
      </c>
      <c r="J78" s="434" t="s">
        <v>1245</v>
      </c>
      <c r="K78" s="431">
        <v>13.5</v>
      </c>
      <c r="L78" s="434"/>
      <c r="M78" s="434" t="str">
        <f t="shared" si="35"/>
        <v>Heavy Oil</v>
      </c>
      <c r="N78" s="575">
        <f t="shared" ref="N78:O78" si="105">Y46</f>
        <v>8.7564836170076354</v>
      </c>
      <c r="O78" s="575">
        <f t="shared" si="105"/>
        <v>0.43874352621703561</v>
      </c>
      <c r="P78" s="577">
        <f t="shared" si="37"/>
        <v>4.771426734578444E-2</v>
      </c>
      <c r="Q78" s="578">
        <f t="shared" si="38"/>
        <v>0.23786180586758954</v>
      </c>
      <c r="R78" s="579">
        <f t="shared" ref="R78:V78" si="106">T46</f>
        <v>5.7140945681870784E-3</v>
      </c>
      <c r="S78" s="579">
        <f t="shared" si="106"/>
        <v>0</v>
      </c>
      <c r="T78" s="579">
        <f t="shared" si="106"/>
        <v>0.4330294316488485</v>
      </c>
      <c r="U78" s="579">
        <f t="shared" si="106"/>
        <v>0.19516762578125896</v>
      </c>
      <c r="V78" s="579">
        <f t="shared" si="106"/>
        <v>0</v>
      </c>
      <c r="W78" s="580">
        <f t="shared" ref="W78:Y78" si="107">+IF($O78=0,"-",R78/$O78)</f>
        <v>1.302376952990175E-2</v>
      </c>
      <c r="X78" s="580">
        <f t="shared" si="107"/>
        <v>0</v>
      </c>
      <c r="Y78" s="580">
        <f t="shared" si="107"/>
        <v>0.98697623047009819</v>
      </c>
      <c r="Z78" s="580">
        <f t="shared" si="41"/>
        <v>0</v>
      </c>
      <c r="AA78" s="581">
        <f t="shared" si="42"/>
        <v>0.4507029118970462</v>
      </c>
      <c r="AB78" s="561">
        <f>+'5. GlobalData'!M17*1000*$D$21/1000</f>
        <v>23.676130584000003</v>
      </c>
      <c r="AC78" s="562">
        <f t="shared" si="43"/>
        <v>2.6323350361644713</v>
      </c>
      <c r="AD78" s="563">
        <f t="shared" si="44"/>
        <v>22.546441359601324</v>
      </c>
      <c r="AE78" s="582">
        <f t="shared" si="45"/>
        <v>2.5748282467872818</v>
      </c>
      <c r="AF78" s="563">
        <f t="shared" si="46"/>
        <v>1.1296892243986796</v>
      </c>
      <c r="AG78" s="565">
        <f t="shared" si="47"/>
        <v>2.5748282467872818</v>
      </c>
      <c r="AH78" s="402">
        <f t="shared" si="48"/>
        <v>9.1952271432246704</v>
      </c>
      <c r="AI78" s="566">
        <v>1</v>
      </c>
      <c r="AJ78" s="567">
        <v>0.78056545109387754</v>
      </c>
      <c r="AK78" s="567">
        <v>0.34412371581696649</v>
      </c>
      <c r="AL78" s="567">
        <v>0.21704492141316459</v>
      </c>
      <c r="AM78" s="567">
        <v>0.17236464183355049</v>
      </c>
      <c r="AN78" s="567">
        <v>0.10534422246412935</v>
      </c>
      <c r="AO78" s="567">
        <v>3.8731815885880774E-2</v>
      </c>
      <c r="AP78" s="567">
        <v>2.9297241699206451E-2</v>
      </c>
      <c r="AQ78" s="567">
        <v>2.32712911698339E-2</v>
      </c>
      <c r="AR78" s="567">
        <v>1.4232365375775069E-2</v>
      </c>
      <c r="AS78" s="567">
        <v>5.1934395817169214E-3</v>
      </c>
      <c r="AT78" s="567">
        <v>0</v>
      </c>
      <c r="AU78" s="567">
        <v>0</v>
      </c>
      <c r="AV78" s="568">
        <v>0</v>
      </c>
      <c r="AW78" s="569">
        <f t="shared" ref="AW78:BJ78" si="108">+IF(AI78="","",AI78*$AH78)</f>
        <v>9.1952271432246704</v>
      </c>
      <c r="AX78" s="570">
        <f t="shared" si="108"/>
        <v>7.1774766229618319</v>
      </c>
      <c r="AY78" s="570">
        <f t="shared" si="108"/>
        <v>3.1642957323075032</v>
      </c>
      <c r="AZ78" s="570">
        <f t="shared" si="108"/>
        <v>1.9957773526773965</v>
      </c>
      <c r="BA78" s="570">
        <f t="shared" si="108"/>
        <v>1.584932033120062</v>
      </c>
      <c r="BB78" s="570">
        <f t="shared" si="108"/>
        <v>0.96866405378406029</v>
      </c>
      <c r="BC78" s="570">
        <f t="shared" si="108"/>
        <v>0.35614784474023137</v>
      </c>
      <c r="BD78" s="570">
        <f t="shared" si="108"/>
        <v>0.26939479209415684</v>
      </c>
      <c r="BE78" s="570">
        <f t="shared" si="108"/>
        <v>0.21398480822274127</v>
      </c>
      <c r="BF78" s="570">
        <f t="shared" si="108"/>
        <v>0.13086983241561789</v>
      </c>
      <c r="BG78" s="570">
        <f t="shared" si="108"/>
        <v>4.7754856608500817E-2</v>
      </c>
      <c r="BH78" s="570">
        <f t="shared" si="108"/>
        <v>0</v>
      </c>
      <c r="BI78" s="570">
        <f t="shared" si="108"/>
        <v>0</v>
      </c>
      <c r="BJ78" s="571">
        <f t="shared" si="108"/>
        <v>0</v>
      </c>
      <c r="BK78" s="569">
        <v>9.1952271432246704</v>
      </c>
      <c r="BL78" s="570">
        <v>7.1774766229618319</v>
      </c>
      <c r="BM78" s="570">
        <v>3.1642957323075032</v>
      </c>
      <c r="BN78" s="570">
        <v>1.9957773526773965</v>
      </c>
      <c r="BO78" s="572">
        <v>1.584932033120062</v>
      </c>
      <c r="BP78" s="570">
        <v>0.96866405378406029</v>
      </c>
      <c r="BQ78" s="572">
        <v>0.35614784474023137</v>
      </c>
      <c r="BR78" s="570">
        <v>0.26939479209415684</v>
      </c>
      <c r="BS78" s="572">
        <v>0.21398480822274127</v>
      </c>
      <c r="BT78" s="570">
        <v>0.13086983241561789</v>
      </c>
      <c r="BU78" s="573">
        <v>4.7754856608500817E-2</v>
      </c>
      <c r="BV78" s="573">
        <v>0</v>
      </c>
      <c r="BW78" s="573">
        <v>0</v>
      </c>
      <c r="BX78" s="574">
        <v>0</v>
      </c>
      <c r="BY78" s="400"/>
      <c r="BZ78" s="400"/>
      <c r="CA78" s="400"/>
      <c r="CB78" s="566" t="str">
        <f>+IF('5. GlobalData'!BF128="","",'5. GlobalData'!BF128)</f>
        <v/>
      </c>
      <c r="CC78" s="567" t="str">
        <f>+IF('5. GlobalData'!BG128="","",'5. GlobalData'!BG128)</f>
        <v/>
      </c>
      <c r="CD78" s="567" t="str">
        <f>+IF('5. GlobalData'!BH128="","",'5. GlobalData'!BH128)</f>
        <v/>
      </c>
      <c r="CE78" s="567" t="str">
        <f>+IF('5. GlobalData'!BI128="","",'5. GlobalData'!BI128)</f>
        <v/>
      </c>
      <c r="CF78" s="567" t="str">
        <f>+IF('5. GlobalData'!BJ128="","",'5. GlobalData'!BJ128)</f>
        <v/>
      </c>
      <c r="CG78" s="567" t="str">
        <f>+IF('5. GlobalData'!BK128="","",'5. GlobalData'!BK128)</f>
        <v/>
      </c>
      <c r="CH78" s="567" t="str">
        <f>+IF('5. GlobalData'!BL128="","",'5. GlobalData'!BL128)</f>
        <v/>
      </c>
      <c r="CI78" s="567" t="str">
        <f>+IF('5. GlobalData'!BM128="","",'5. GlobalData'!BM128)</f>
        <v/>
      </c>
      <c r="CJ78" s="567" t="str">
        <f>+IF('5. GlobalData'!BN128="","",'5. GlobalData'!BN128)</f>
        <v/>
      </c>
      <c r="CK78" s="567" t="str">
        <f>+IF('5. GlobalData'!BO128="","",'5. GlobalData'!BO128)</f>
        <v/>
      </c>
      <c r="CL78" s="567" t="str">
        <f>+IF('5. GlobalData'!BP128="","",'5. GlobalData'!BP128)</f>
        <v/>
      </c>
      <c r="CM78" s="567" t="str">
        <f>+IF('5. GlobalData'!BQ128="","",'5. GlobalData'!BQ128)</f>
        <v/>
      </c>
      <c r="CN78" s="567" t="str">
        <f>+IF('5. GlobalData'!BR128="","",'5. GlobalData'!BR128)</f>
        <v/>
      </c>
      <c r="CO78" s="568" t="str">
        <f>+IF('5. GlobalData'!BS128="","",'5. GlobalData'!BS128)</f>
        <v/>
      </c>
      <c r="CP78" s="569" t="str">
        <f t="shared" ref="CP78:DC78" si="109">+IF(CB78="","",CB78*$AH78)</f>
        <v/>
      </c>
      <c r="CQ78" s="570" t="str">
        <f t="shared" si="109"/>
        <v/>
      </c>
      <c r="CR78" s="570" t="str">
        <f t="shared" si="109"/>
        <v/>
      </c>
      <c r="CS78" s="570" t="str">
        <f t="shared" si="109"/>
        <v/>
      </c>
      <c r="CT78" s="570" t="str">
        <f t="shared" si="109"/>
        <v/>
      </c>
      <c r="CU78" s="570" t="str">
        <f t="shared" si="109"/>
        <v/>
      </c>
      <c r="CV78" s="570" t="str">
        <f t="shared" si="109"/>
        <v/>
      </c>
      <c r="CW78" s="570" t="str">
        <f t="shared" si="109"/>
        <v/>
      </c>
      <c r="CX78" s="570" t="str">
        <f t="shared" si="109"/>
        <v/>
      </c>
      <c r="CY78" s="570" t="str">
        <f t="shared" si="109"/>
        <v/>
      </c>
      <c r="CZ78" s="570" t="str">
        <f t="shared" si="109"/>
        <v/>
      </c>
      <c r="DA78" s="570" t="str">
        <f t="shared" si="109"/>
        <v/>
      </c>
      <c r="DB78" s="570" t="str">
        <f t="shared" si="109"/>
        <v/>
      </c>
      <c r="DC78" s="571" t="str">
        <f t="shared" si="109"/>
        <v/>
      </c>
      <c r="DD78" s="569">
        <v>9.1952271432246704</v>
      </c>
      <c r="DE78" s="570">
        <v>7.1774766229618319</v>
      </c>
      <c r="DF78" s="570">
        <v>3.1642957323075032</v>
      </c>
      <c r="DG78" s="570">
        <v>1.9957773526773965</v>
      </c>
      <c r="DH78" s="572">
        <f t="shared" si="87"/>
        <v>1.584932033120062</v>
      </c>
      <c r="DI78" s="570">
        <v>0.96866405378406029</v>
      </c>
      <c r="DJ78" s="572">
        <f t="shared" si="103"/>
        <v>0.54910249677011824</v>
      </c>
      <c r="DK78" s="570">
        <v>0.26939479209415684</v>
      </c>
      <c r="DL78" s="572">
        <f t="shared" si="104"/>
        <v>0.21398480822274127</v>
      </c>
      <c r="DM78" s="570">
        <v>0.13086983241561789</v>
      </c>
      <c r="DN78" s="573" t="s">
        <v>1443</v>
      </c>
      <c r="DO78" s="573" t="s">
        <v>1443</v>
      </c>
      <c r="DP78" s="573" t="s">
        <v>1443</v>
      </c>
      <c r="DQ78" s="574" t="s">
        <v>1443</v>
      </c>
    </row>
    <row r="79" spans="1:121" ht="15.75" customHeight="1" x14ac:dyDescent="0.25">
      <c r="I79" s="431" t="s">
        <v>1247</v>
      </c>
      <c r="J79" s="434" t="s">
        <v>1246</v>
      </c>
      <c r="K79" s="431">
        <v>35</v>
      </c>
      <c r="L79" s="434"/>
      <c r="M79" s="434" t="str">
        <f t="shared" si="35"/>
        <v>Light Oil</v>
      </c>
      <c r="N79" s="575">
        <f t="shared" ref="N79:O79" si="110">Y47</f>
        <v>4.3593517548323124</v>
      </c>
      <c r="O79" s="576">
        <f t="shared" si="110"/>
        <v>1.2759391450439788</v>
      </c>
      <c r="P79" s="577">
        <f t="shared" si="37"/>
        <v>0.2264193930205074</v>
      </c>
      <c r="Q79" s="578">
        <f t="shared" si="38"/>
        <v>0</v>
      </c>
      <c r="R79" s="579">
        <f t="shared" ref="R79:V79" si="111">T47</f>
        <v>0</v>
      </c>
      <c r="S79" s="579">
        <f t="shared" si="111"/>
        <v>1.2759391450439788</v>
      </c>
      <c r="T79" s="579">
        <f t="shared" si="111"/>
        <v>0</v>
      </c>
      <c r="U79" s="579">
        <f t="shared" si="111"/>
        <v>0</v>
      </c>
      <c r="V79" s="579">
        <f t="shared" si="111"/>
        <v>0</v>
      </c>
      <c r="W79" s="580">
        <f t="shared" ref="W79:Y79" si="112">+IF($O79=0,"-",R79/$O79)</f>
        <v>0</v>
      </c>
      <c r="X79" s="580">
        <f t="shared" si="112"/>
        <v>1</v>
      </c>
      <c r="Y79" s="580">
        <f t="shared" si="112"/>
        <v>0</v>
      </c>
      <c r="Z79" s="580">
        <f t="shared" si="41"/>
        <v>0</v>
      </c>
      <c r="AA79" s="581" t="str">
        <f t="shared" si="42"/>
        <v>-</v>
      </c>
      <c r="AB79" s="561">
        <f>+'5. GlobalData'!M18*1000*$D$21/1000</f>
        <v>44.660401360000002</v>
      </c>
      <c r="AC79" s="562">
        <f t="shared" si="43"/>
        <v>10.244734509091689</v>
      </c>
      <c r="AD79" s="563">
        <f t="shared" si="44"/>
        <v>34.54842039201656</v>
      </c>
      <c r="AE79" s="582">
        <f t="shared" si="45"/>
        <v>7.9251279398869032</v>
      </c>
      <c r="AF79" s="563">
        <f t="shared" si="46"/>
        <v>10.111980967983444</v>
      </c>
      <c r="AG79" s="565">
        <f t="shared" si="47"/>
        <v>7.9251279398869032</v>
      </c>
      <c r="AH79" s="402">
        <f t="shared" si="48"/>
        <v>5.6352908998762912</v>
      </c>
      <c r="AI79" s="566">
        <v>1</v>
      </c>
      <c r="AJ79" s="567">
        <v>0.94496365524402925</v>
      </c>
      <c r="AK79" s="567">
        <v>0.82035306334371783</v>
      </c>
      <c r="AL79" s="567">
        <v>0.73727933541017676</v>
      </c>
      <c r="AM79" s="567">
        <v>0.62097611630321925</v>
      </c>
      <c r="AN79" s="567">
        <v>0.44652128764278304</v>
      </c>
      <c r="AO79" s="567">
        <v>0.35929387331256524</v>
      </c>
      <c r="AP79" s="567">
        <v>0.30114226375908659</v>
      </c>
      <c r="AQ79" s="567">
        <v>0.25960539979231612</v>
      </c>
      <c r="AR79" s="567">
        <v>0.1973001038421604</v>
      </c>
      <c r="AS79" s="567">
        <v>0.17653167185877508</v>
      </c>
      <c r="AT79" s="567">
        <v>0.16268605053651949</v>
      </c>
      <c r="AU79" s="567">
        <v>0.14884042921426174</v>
      </c>
      <c r="AV79" s="568">
        <v>0.1280719972308777</v>
      </c>
      <c r="AW79" s="569">
        <f t="shared" ref="AW79:BJ79" si="113">+IF(AI79="","",AI79*$AH79)</f>
        <v>5.6352908998762912</v>
      </c>
      <c r="AX79" s="570">
        <f t="shared" si="113"/>
        <v>5.3251450871105153</v>
      </c>
      <c r="AY79" s="570">
        <f t="shared" si="113"/>
        <v>4.6229281525464918</v>
      </c>
      <c r="AZ79" s="570">
        <f t="shared" si="113"/>
        <v>4.1547835295038089</v>
      </c>
      <c r="BA79" s="570">
        <f t="shared" si="113"/>
        <v>3.4993810572440527</v>
      </c>
      <c r="BB79" s="570">
        <f t="shared" si="113"/>
        <v>2.5162773488544192</v>
      </c>
      <c r="BC79" s="570">
        <f t="shared" si="113"/>
        <v>2.0247254946596041</v>
      </c>
      <c r="BD79" s="570">
        <f t="shared" si="113"/>
        <v>1.6970242585297266</v>
      </c>
      <c r="BE79" s="570">
        <f t="shared" si="113"/>
        <v>1.4629519470083854</v>
      </c>
      <c r="BF79" s="570">
        <f t="shared" si="113"/>
        <v>1.1118434797263739</v>
      </c>
      <c r="BG79" s="570">
        <f t="shared" si="113"/>
        <v>0.99480732396570282</v>
      </c>
      <c r="BH79" s="570">
        <f t="shared" si="113"/>
        <v>0.9167832201252627</v>
      </c>
      <c r="BI79" s="570">
        <f t="shared" si="113"/>
        <v>0.83875911628481048</v>
      </c>
      <c r="BJ79" s="571">
        <f t="shared" si="113"/>
        <v>0.72172296052414664</v>
      </c>
      <c r="BK79" s="569">
        <v>5.6352908998762912</v>
      </c>
      <c r="BL79" s="570">
        <v>5.3251450871105153</v>
      </c>
      <c r="BM79" s="572">
        <v>4.6229281525464918</v>
      </c>
      <c r="BN79" s="570">
        <v>4.1547835295038089</v>
      </c>
      <c r="BO79" s="572">
        <v>3.4993810572440527</v>
      </c>
      <c r="BP79" s="570">
        <v>2.5162773488544192</v>
      </c>
      <c r="BQ79" s="572">
        <v>2.0247254946596041</v>
      </c>
      <c r="BR79" s="570">
        <v>1.6970242585297266</v>
      </c>
      <c r="BS79" s="572">
        <v>1.4629519470083854</v>
      </c>
      <c r="BT79" s="570">
        <v>1.1118434797263739</v>
      </c>
      <c r="BU79" s="570">
        <v>0.99480732396570282</v>
      </c>
      <c r="BV79" s="573">
        <v>0.9167832201252627</v>
      </c>
      <c r="BW79" s="573">
        <v>0.83875911628481048</v>
      </c>
      <c r="BX79" s="574">
        <v>0.72172296052414664</v>
      </c>
      <c r="BY79" s="400"/>
      <c r="BZ79" s="400"/>
      <c r="CA79" s="400"/>
      <c r="CB79" s="566" t="str">
        <f>+IF('5. GlobalData'!BF129="","",'5. GlobalData'!BF129)</f>
        <v/>
      </c>
      <c r="CC79" s="567" t="str">
        <f>+IF('5. GlobalData'!BG129="","",'5. GlobalData'!BG129)</f>
        <v/>
      </c>
      <c r="CD79" s="567" t="str">
        <f>+IF('5. GlobalData'!BH129="","",'5. GlobalData'!BH129)</f>
        <v/>
      </c>
      <c r="CE79" s="567" t="str">
        <f>+IF('5. GlobalData'!BI129="","",'5. GlobalData'!BI129)</f>
        <v/>
      </c>
      <c r="CF79" s="567" t="str">
        <f>+IF('5. GlobalData'!BJ129="","",'5. GlobalData'!BJ129)</f>
        <v/>
      </c>
      <c r="CG79" s="567" t="str">
        <f>+IF('5. GlobalData'!BK129="","",'5. GlobalData'!BK129)</f>
        <v/>
      </c>
      <c r="CH79" s="567" t="str">
        <f>+IF('5. GlobalData'!BL129="","",'5. GlobalData'!BL129)</f>
        <v/>
      </c>
      <c r="CI79" s="567" t="str">
        <f>+IF('5. GlobalData'!BM129="","",'5. GlobalData'!BM129)</f>
        <v/>
      </c>
      <c r="CJ79" s="567" t="str">
        <f>+IF('5. GlobalData'!BN129="","",'5. GlobalData'!BN129)</f>
        <v/>
      </c>
      <c r="CK79" s="567" t="str">
        <f>+IF('5. GlobalData'!BO129="","",'5. GlobalData'!BO129)</f>
        <v/>
      </c>
      <c r="CL79" s="567" t="str">
        <f>+IF('5. GlobalData'!BP129="","",'5. GlobalData'!BP129)</f>
        <v/>
      </c>
      <c r="CM79" s="567" t="str">
        <f>+IF('5. GlobalData'!BQ129="","",'5. GlobalData'!BQ129)</f>
        <v/>
      </c>
      <c r="CN79" s="567" t="str">
        <f>+IF('5. GlobalData'!BR129="","",'5. GlobalData'!BR129)</f>
        <v/>
      </c>
      <c r="CO79" s="568" t="str">
        <f>+IF('5. GlobalData'!BS129="","",'5. GlobalData'!BS129)</f>
        <v/>
      </c>
      <c r="CP79" s="569" t="str">
        <f t="shared" ref="CP79:DC79" si="114">+IF(CB79="","",CB79*$AH79)</f>
        <v/>
      </c>
      <c r="CQ79" s="570" t="str">
        <f t="shared" si="114"/>
        <v/>
      </c>
      <c r="CR79" s="570" t="str">
        <f t="shared" si="114"/>
        <v/>
      </c>
      <c r="CS79" s="570" t="str">
        <f t="shared" si="114"/>
        <v/>
      </c>
      <c r="CT79" s="570" t="str">
        <f t="shared" si="114"/>
        <v/>
      </c>
      <c r="CU79" s="570" t="str">
        <f t="shared" si="114"/>
        <v/>
      </c>
      <c r="CV79" s="570" t="str">
        <f t="shared" si="114"/>
        <v/>
      </c>
      <c r="CW79" s="570" t="str">
        <f t="shared" si="114"/>
        <v/>
      </c>
      <c r="CX79" s="570" t="str">
        <f t="shared" si="114"/>
        <v/>
      </c>
      <c r="CY79" s="570" t="str">
        <f t="shared" si="114"/>
        <v/>
      </c>
      <c r="CZ79" s="570" t="str">
        <f t="shared" si="114"/>
        <v/>
      </c>
      <c r="DA79" s="570" t="str">
        <f t="shared" si="114"/>
        <v/>
      </c>
      <c r="DB79" s="570" t="str">
        <f t="shared" si="114"/>
        <v/>
      </c>
      <c r="DC79" s="571" t="str">
        <f t="shared" si="114"/>
        <v/>
      </c>
      <c r="DD79" s="569">
        <v>5.6352908998762912</v>
      </c>
      <c r="DE79" s="570">
        <v>5.3251450871105153</v>
      </c>
      <c r="DF79" s="572">
        <f>+DE79+(DG79-DE79)*(2023-2020)/(2025-2020)</f>
        <v>4.6229281525464918</v>
      </c>
      <c r="DG79" s="570">
        <v>4.1547835295038089</v>
      </c>
      <c r="DH79" s="572">
        <f t="shared" si="87"/>
        <v>3.4993810572440531</v>
      </c>
      <c r="DI79" s="570">
        <v>2.5162773488544192</v>
      </c>
      <c r="DJ79" s="572">
        <f t="shared" si="103"/>
        <v>2.0247254946596036</v>
      </c>
      <c r="DK79" s="570">
        <v>1.6970242585297266</v>
      </c>
      <c r="DL79" s="572">
        <f t="shared" si="104"/>
        <v>1.4629519470083856</v>
      </c>
      <c r="DM79" s="570">
        <v>1.1118434797263739</v>
      </c>
      <c r="DN79" s="570">
        <v>0.99480732396570282</v>
      </c>
      <c r="DO79" s="573" t="s">
        <v>1443</v>
      </c>
      <c r="DP79" s="573" t="s">
        <v>1443</v>
      </c>
      <c r="DQ79" s="574" t="s">
        <v>1443</v>
      </c>
    </row>
    <row r="80" spans="1:121" ht="15.75" customHeight="1" x14ac:dyDescent="0.25">
      <c r="I80" s="431" t="s">
        <v>1249</v>
      </c>
      <c r="J80" s="434" t="s">
        <v>1250</v>
      </c>
      <c r="K80" s="431">
        <v>21</v>
      </c>
      <c r="L80" s="434"/>
      <c r="M80" s="434" t="str">
        <f t="shared" si="35"/>
        <v>Medium Oil</v>
      </c>
      <c r="N80" s="575">
        <f t="shared" ref="N80:O80" si="115">Y48</f>
        <v>26.927100382560717</v>
      </c>
      <c r="O80" s="576">
        <f t="shared" si="115"/>
        <v>0.43827912983870243</v>
      </c>
      <c r="P80" s="577">
        <f t="shared" si="37"/>
        <v>1.601582501861944E-2</v>
      </c>
      <c r="Q80" s="578">
        <f t="shared" si="38"/>
        <v>0</v>
      </c>
      <c r="R80" s="579">
        <f t="shared" ref="R80:V80" si="116">T48</f>
        <v>0.35206293264379496</v>
      </c>
      <c r="S80" s="579">
        <f t="shared" si="116"/>
        <v>8.621619719490746E-2</v>
      </c>
      <c r="T80" s="579">
        <f t="shared" si="116"/>
        <v>0</v>
      </c>
      <c r="U80" s="579">
        <f t="shared" si="116"/>
        <v>0</v>
      </c>
      <c r="V80" s="579">
        <f t="shared" si="116"/>
        <v>0</v>
      </c>
      <c r="W80" s="580">
        <f t="shared" ref="W80:Y80" si="117">+IF($O80=0,"-",R80/$O80)</f>
        <v>0.8032847303803009</v>
      </c>
      <c r="X80" s="580">
        <f t="shared" si="117"/>
        <v>0.1967152696196991</v>
      </c>
      <c r="Y80" s="580">
        <f t="shared" si="117"/>
        <v>0</v>
      </c>
      <c r="Z80" s="580">
        <f t="shared" si="41"/>
        <v>0</v>
      </c>
      <c r="AA80" s="581" t="str">
        <f t="shared" si="42"/>
        <v>-</v>
      </c>
      <c r="AB80" s="561">
        <f>+'5. GlobalData'!M19*1000*$D$21/1000</f>
        <v>187.55047520548953</v>
      </c>
      <c r="AC80" s="562">
        <f t="shared" si="43"/>
        <v>6.9651196207875481</v>
      </c>
      <c r="AD80" s="563">
        <f t="shared" si="44"/>
        <v>184.54669961243948</v>
      </c>
      <c r="AE80" s="582">
        <f t="shared" si="45"/>
        <v>6.8535674837072609</v>
      </c>
      <c r="AF80" s="563">
        <f t="shared" si="46"/>
        <v>3.0037755930500443</v>
      </c>
      <c r="AG80" s="565">
        <f t="shared" si="47"/>
        <v>6.8535674837072618</v>
      </c>
      <c r="AH80" s="402">
        <f t="shared" si="48"/>
        <v>27.365379512399418</v>
      </c>
      <c r="AI80" s="566">
        <v>1</v>
      </c>
      <c r="AJ80" s="567">
        <v>1.0310255469146412</v>
      </c>
      <c r="AK80" s="567">
        <v>0.84734488908357375</v>
      </c>
      <c r="AL80" s="567">
        <v>0.66092218511717382</v>
      </c>
      <c r="AM80" s="567">
        <v>0.53040914586081578</v>
      </c>
      <c r="AN80" s="567">
        <v>0.33463958697627877</v>
      </c>
      <c r="AO80" s="567">
        <v>0.25607638307427583</v>
      </c>
      <c r="AP80" s="567">
        <v>0.20370091380627384</v>
      </c>
      <c r="AQ80" s="567">
        <v>0.15334908733553432</v>
      </c>
      <c r="AR80" s="567">
        <v>7.7821347629416823E-2</v>
      </c>
      <c r="AS80" s="567">
        <v>2.9284945174528905E-2</v>
      </c>
      <c r="AT80" s="567">
        <v>2.3808736263604358E-2</v>
      </c>
      <c r="AU80" s="567">
        <v>1.3910049602457838E-2</v>
      </c>
      <c r="AV80" s="568">
        <v>0</v>
      </c>
      <c r="AW80" s="569">
        <f t="shared" ref="AW80:BJ80" si="118">+IF(AI80="","",AI80*$AH80)</f>
        <v>27.365379512399418</v>
      </c>
      <c r="AX80" s="570">
        <f t="shared" si="118"/>
        <v>28.214405378298327</v>
      </c>
      <c r="AY80" s="570">
        <f t="shared" si="118"/>
        <v>23.187914467663987</v>
      </c>
      <c r="AZ80" s="570">
        <f t="shared" si="118"/>
        <v>18.086386423895764</v>
      </c>
      <c r="BA80" s="570">
        <f t="shared" si="118"/>
        <v>14.514847573328842</v>
      </c>
      <c r="BB80" s="570">
        <f t="shared" si="118"/>
        <v>9.1575392974784613</v>
      </c>
      <c r="BC80" s="570">
        <f t="shared" si="118"/>
        <v>7.0076274069901325</v>
      </c>
      <c r="BD80" s="570">
        <f t="shared" si="118"/>
        <v>5.5743528133312461</v>
      </c>
      <c r="BE80" s="570">
        <f t="shared" si="118"/>
        <v>4.1964559728169801</v>
      </c>
      <c r="BF80" s="570">
        <f t="shared" si="118"/>
        <v>2.129610712045356</v>
      </c>
      <c r="BG80" s="570">
        <f t="shared" si="118"/>
        <v>0.8013936387007935</v>
      </c>
      <c r="BH80" s="570">
        <f t="shared" si="118"/>
        <v>0.65153510356415978</v>
      </c>
      <c r="BI80" s="570">
        <f t="shared" si="118"/>
        <v>0.38065378640755937</v>
      </c>
      <c r="BJ80" s="571">
        <f t="shared" si="118"/>
        <v>0</v>
      </c>
      <c r="BK80" s="569">
        <v>27.365379512399418</v>
      </c>
      <c r="BL80" s="570">
        <v>28.214405378298327</v>
      </c>
      <c r="BM80" s="570">
        <v>23.187914467663987</v>
      </c>
      <c r="BN80" s="570">
        <v>18.086386423895764</v>
      </c>
      <c r="BO80" s="572">
        <v>14.514847573328842</v>
      </c>
      <c r="BP80" s="570">
        <v>9.1575392974784613</v>
      </c>
      <c r="BQ80" s="572">
        <v>7.0076274069901325</v>
      </c>
      <c r="BR80" s="570">
        <v>5.5743528133312461</v>
      </c>
      <c r="BS80" s="572">
        <v>4.1964559728169801</v>
      </c>
      <c r="BT80" s="570">
        <v>2.129610712045356</v>
      </c>
      <c r="BU80" s="572">
        <v>0.8013936387007935</v>
      </c>
      <c r="BV80" s="570">
        <v>0.65153510356415978</v>
      </c>
      <c r="BW80" s="570">
        <v>0.38065378640755937</v>
      </c>
      <c r="BX80" s="574">
        <v>0</v>
      </c>
      <c r="BY80" s="400"/>
      <c r="BZ80" s="400"/>
      <c r="CA80" s="400"/>
      <c r="CB80" s="566" t="str">
        <f>+IF('5. GlobalData'!BF130="","",'5. GlobalData'!BF130)</f>
        <v/>
      </c>
      <c r="CC80" s="567" t="str">
        <f>+IF('5. GlobalData'!BG130="","",'5. GlobalData'!BG130)</f>
        <v/>
      </c>
      <c r="CD80" s="567" t="str">
        <f>+IF('5. GlobalData'!BH130="","",'5. GlobalData'!BH130)</f>
        <v/>
      </c>
      <c r="CE80" s="567" t="str">
        <f>+IF('5. GlobalData'!BI130="","",'5. GlobalData'!BI130)</f>
        <v/>
      </c>
      <c r="CF80" s="567" t="str">
        <f>+IF('5. GlobalData'!BJ130="","",'5. GlobalData'!BJ130)</f>
        <v/>
      </c>
      <c r="CG80" s="567" t="str">
        <f>+IF('5. GlobalData'!BK130="","",'5. GlobalData'!BK130)</f>
        <v/>
      </c>
      <c r="CH80" s="567" t="str">
        <f>+IF('5. GlobalData'!BL130="","",'5. GlobalData'!BL130)</f>
        <v/>
      </c>
      <c r="CI80" s="567" t="str">
        <f>+IF('5. GlobalData'!BM130="","",'5. GlobalData'!BM130)</f>
        <v/>
      </c>
      <c r="CJ80" s="567" t="str">
        <f>+IF('5. GlobalData'!BN130="","",'5. GlobalData'!BN130)</f>
        <v/>
      </c>
      <c r="CK80" s="567" t="str">
        <f>+IF('5. GlobalData'!BO130="","",'5. GlobalData'!BO130)</f>
        <v/>
      </c>
      <c r="CL80" s="567" t="str">
        <f>+IF('5. GlobalData'!BP130="","",'5. GlobalData'!BP130)</f>
        <v/>
      </c>
      <c r="CM80" s="567" t="str">
        <f>+IF('5. GlobalData'!BQ130="","",'5. GlobalData'!BQ130)</f>
        <v/>
      </c>
      <c r="CN80" s="567" t="str">
        <f>+IF('5. GlobalData'!BR130="","",'5. GlobalData'!BR130)</f>
        <v/>
      </c>
      <c r="CO80" s="568" t="str">
        <f>+IF('5. GlobalData'!BS130="","",'5. GlobalData'!BS130)</f>
        <v/>
      </c>
      <c r="CP80" s="569" t="str">
        <f t="shared" ref="CP80:DC80" si="119">+IF(CB80="","",CB80*$AH80)</f>
        <v/>
      </c>
      <c r="CQ80" s="570" t="str">
        <f t="shared" si="119"/>
        <v/>
      </c>
      <c r="CR80" s="570" t="str">
        <f t="shared" si="119"/>
        <v/>
      </c>
      <c r="CS80" s="570" t="str">
        <f t="shared" si="119"/>
        <v/>
      </c>
      <c r="CT80" s="570" t="str">
        <f t="shared" si="119"/>
        <v/>
      </c>
      <c r="CU80" s="570" t="str">
        <f t="shared" si="119"/>
        <v/>
      </c>
      <c r="CV80" s="570" t="str">
        <f t="shared" si="119"/>
        <v/>
      </c>
      <c r="CW80" s="570" t="str">
        <f t="shared" si="119"/>
        <v/>
      </c>
      <c r="CX80" s="570" t="str">
        <f t="shared" si="119"/>
        <v/>
      </c>
      <c r="CY80" s="570" t="str">
        <f t="shared" si="119"/>
        <v/>
      </c>
      <c r="CZ80" s="570" t="str">
        <f t="shared" si="119"/>
        <v/>
      </c>
      <c r="DA80" s="570" t="str">
        <f t="shared" si="119"/>
        <v/>
      </c>
      <c r="DB80" s="570" t="str">
        <f t="shared" si="119"/>
        <v/>
      </c>
      <c r="DC80" s="571" t="str">
        <f t="shared" si="119"/>
        <v/>
      </c>
      <c r="DD80" s="569">
        <v>27.365379512399418</v>
      </c>
      <c r="DE80" s="570">
        <v>28.214405378298327</v>
      </c>
      <c r="DF80" s="570">
        <v>4.8102368843329204</v>
      </c>
      <c r="DG80" s="570">
        <v>18.086386423895764</v>
      </c>
      <c r="DH80" s="572">
        <f t="shared" si="87"/>
        <v>14.514847573328844</v>
      </c>
      <c r="DI80" s="570">
        <v>9.1575392974784613</v>
      </c>
      <c r="DJ80" s="572">
        <f t="shared" si="103"/>
        <v>7.0076274069901325</v>
      </c>
      <c r="DK80" s="570">
        <v>5.5743528133312461</v>
      </c>
      <c r="DL80" s="572">
        <f t="shared" si="104"/>
        <v>3.7550842645610452</v>
      </c>
      <c r="DM80" s="570">
        <v>1.026181441405744</v>
      </c>
      <c r="DN80" s="572">
        <f t="shared" ref="DN80:DN82" si="120">+DM80+(DO80-DM80)*(2043-2040)/(2045-2040)</f>
        <v>0.8013936387007935</v>
      </c>
      <c r="DO80" s="570">
        <v>0.65153510356415978</v>
      </c>
      <c r="DP80" s="570">
        <v>0.38065378640755937</v>
      </c>
      <c r="DQ80" s="574" t="s">
        <v>1443</v>
      </c>
    </row>
    <row r="81" spans="9:121" ht="15.75" customHeight="1" x14ac:dyDescent="0.25">
      <c r="I81" s="431" t="s">
        <v>1249</v>
      </c>
      <c r="J81" s="434" t="s">
        <v>1252</v>
      </c>
      <c r="K81" s="431">
        <v>12.5</v>
      </c>
      <c r="L81" s="434"/>
      <c r="M81" s="434" t="str">
        <f t="shared" si="35"/>
        <v>Heavy Oil</v>
      </c>
      <c r="N81" s="575">
        <f t="shared" ref="N81:O81" si="121">Y49</f>
        <v>3.2805677744000978</v>
      </c>
      <c r="O81" s="576">
        <f t="shared" si="121"/>
        <v>8.7791106651863626E-2</v>
      </c>
      <c r="P81" s="577">
        <f t="shared" si="37"/>
        <v>2.6063465845553212E-2</v>
      </c>
      <c r="Q81" s="578">
        <f t="shared" si="38"/>
        <v>0</v>
      </c>
      <c r="R81" s="579">
        <f t="shared" ref="R81:V81" si="122">T49</f>
        <v>3.6990181091585597E-2</v>
      </c>
      <c r="S81" s="579">
        <f t="shared" si="122"/>
        <v>5.0800925560278022E-2</v>
      </c>
      <c r="T81" s="579">
        <f t="shared" si="122"/>
        <v>0</v>
      </c>
      <c r="U81" s="579">
        <f t="shared" si="122"/>
        <v>0</v>
      </c>
      <c r="V81" s="579">
        <f t="shared" si="122"/>
        <v>0</v>
      </c>
      <c r="W81" s="580">
        <f t="shared" ref="W81:Y81" si="123">+IF($O81=0,"-",R81/$O81)</f>
        <v>0.42134314627414909</v>
      </c>
      <c r="X81" s="580">
        <f t="shared" si="123"/>
        <v>0.57865685372585085</v>
      </c>
      <c r="Y81" s="580">
        <f t="shared" si="123"/>
        <v>0</v>
      </c>
      <c r="Z81" s="580">
        <f t="shared" si="41"/>
        <v>0</v>
      </c>
      <c r="AA81" s="581" t="str">
        <f t="shared" si="42"/>
        <v>-</v>
      </c>
      <c r="AB81" s="561">
        <f>+'5. GlobalData'!M20*1000*$D$21/1000</f>
        <v>34.198855287999997</v>
      </c>
      <c r="AC81" s="562">
        <f t="shared" si="43"/>
        <v>10.42467573902014</v>
      </c>
      <c r="AD81" s="563">
        <f t="shared" si="44"/>
        <v>33.307514591244193</v>
      </c>
      <c r="AE81" s="582">
        <f t="shared" si="45"/>
        <v>10.152972558945223</v>
      </c>
      <c r="AF81" s="563">
        <f t="shared" si="46"/>
        <v>0.89134069675580474</v>
      </c>
      <c r="AG81" s="565">
        <f t="shared" si="47"/>
        <v>10.152972558945223</v>
      </c>
      <c r="AH81" s="402">
        <f t="shared" si="48"/>
        <v>3.3683588810519614</v>
      </c>
      <c r="AI81" s="566">
        <v>1</v>
      </c>
      <c r="AJ81" s="567">
        <v>0.91296648521020596</v>
      </c>
      <c r="AK81" s="567">
        <v>1.037023676788877</v>
      </c>
      <c r="AL81" s="567">
        <v>0.81013478061257982</v>
      </c>
      <c r="AM81" s="567">
        <v>0</v>
      </c>
      <c r="AN81" s="567">
        <v>0</v>
      </c>
      <c r="AO81" s="567">
        <v>0.4888748606283207</v>
      </c>
      <c r="AP81" s="567">
        <v>0.2910572571653447</v>
      </c>
      <c r="AQ81" s="567">
        <v>0.24614678297370035</v>
      </c>
      <c r="AR81" s="567">
        <v>0.17878107168623381</v>
      </c>
      <c r="AS81" s="567">
        <v>0.14556306158588656</v>
      </c>
      <c r="AT81" s="567">
        <v>0.1234177215189884</v>
      </c>
      <c r="AU81" s="567">
        <v>0.10127238145209169</v>
      </c>
      <c r="AV81" s="568">
        <v>6.805437135174483E-2</v>
      </c>
      <c r="AW81" s="569">
        <f t="shared" ref="AW81:BJ81" si="124">+IF(AI81="","",AI81*$AH81)</f>
        <v>3.3683588810519614</v>
      </c>
      <c r="AX81" s="570">
        <f t="shared" si="124"/>
        <v>3.0751987685605915</v>
      </c>
      <c r="AY81" s="570">
        <f t="shared" si="124"/>
        <v>3.4930679115729726</v>
      </c>
      <c r="AZ81" s="570">
        <f t="shared" si="124"/>
        <v>2.7288246831254654</v>
      </c>
      <c r="BA81" s="570">
        <f t="shared" si="124"/>
        <v>0</v>
      </c>
      <c r="BB81" s="570">
        <f t="shared" si="124"/>
        <v>0</v>
      </c>
      <c r="BC81" s="570">
        <f t="shared" si="124"/>
        <v>1.6467059785204439</v>
      </c>
      <c r="BD81" s="570">
        <f t="shared" si="124"/>
        <v>0.98038529706751343</v>
      </c>
      <c r="BE81" s="570">
        <f t="shared" si="124"/>
        <v>0.82911070247183327</v>
      </c>
      <c r="BF81" s="570">
        <f t="shared" si="124"/>
        <v>0.60219881057831304</v>
      </c>
      <c r="BG81" s="570">
        <f t="shared" si="124"/>
        <v>0.4903086312459346</v>
      </c>
      <c r="BH81" s="570">
        <f t="shared" si="124"/>
        <v>0.41571517835768235</v>
      </c>
      <c r="BI81" s="570">
        <f t="shared" si="124"/>
        <v>0.34112172546943498</v>
      </c>
      <c r="BJ81" s="571">
        <f t="shared" si="124"/>
        <v>0.22923154613705787</v>
      </c>
      <c r="BK81" s="569">
        <v>3.3683588810519614</v>
      </c>
      <c r="BL81" s="570">
        <v>3.0751987685605915</v>
      </c>
      <c r="BM81" s="570">
        <v>3.4930679115729726</v>
      </c>
      <c r="BN81" s="570">
        <v>2.7288246831254654</v>
      </c>
      <c r="BO81" s="572">
        <v>0</v>
      </c>
      <c r="BP81" s="572">
        <v>0</v>
      </c>
      <c r="BQ81" s="570">
        <v>1.6467059785204439</v>
      </c>
      <c r="BR81" s="570">
        <v>0.98038529706751343</v>
      </c>
      <c r="BS81" s="572">
        <v>0.82911070247183327</v>
      </c>
      <c r="BT81" s="570">
        <v>0.60219881057831304</v>
      </c>
      <c r="BU81" s="572">
        <v>0.4903086312459346</v>
      </c>
      <c r="BV81" s="570">
        <v>0.41571517835768235</v>
      </c>
      <c r="BW81" s="573">
        <v>0.34112172546943498</v>
      </c>
      <c r="BX81" s="574">
        <v>0.22923154613705787</v>
      </c>
      <c r="BY81" s="400"/>
      <c r="BZ81" s="400"/>
      <c r="CA81" s="400"/>
      <c r="CB81" s="566" t="str">
        <f>+IF('5. GlobalData'!BF131="","",'5. GlobalData'!BF131)</f>
        <v/>
      </c>
      <c r="CC81" s="567" t="str">
        <f>+IF('5. GlobalData'!BG131="","",'5. GlobalData'!BG131)</f>
        <v/>
      </c>
      <c r="CD81" s="567" t="str">
        <f>+IF('5. GlobalData'!BH131="","",'5. GlobalData'!BH131)</f>
        <v/>
      </c>
      <c r="CE81" s="567" t="str">
        <f>+IF('5. GlobalData'!BI131="","",'5. GlobalData'!BI131)</f>
        <v/>
      </c>
      <c r="CF81" s="567" t="str">
        <f>+IF('5. GlobalData'!BJ131="","",'5. GlobalData'!BJ131)</f>
        <v/>
      </c>
      <c r="CG81" s="567" t="str">
        <f>+IF('5. GlobalData'!BK131="","",'5. GlobalData'!BK131)</f>
        <v/>
      </c>
      <c r="CH81" s="567" t="str">
        <f>+IF('5. GlobalData'!BL131="","",'5. GlobalData'!BL131)</f>
        <v/>
      </c>
      <c r="CI81" s="567" t="str">
        <f>+IF('5. GlobalData'!BM131="","",'5. GlobalData'!BM131)</f>
        <v/>
      </c>
      <c r="CJ81" s="567" t="str">
        <f>+IF('5. GlobalData'!BN131="","",'5. GlobalData'!BN131)</f>
        <v/>
      </c>
      <c r="CK81" s="567" t="str">
        <f>+IF('5. GlobalData'!BO131="","",'5. GlobalData'!BO131)</f>
        <v/>
      </c>
      <c r="CL81" s="567" t="str">
        <f>+IF('5. GlobalData'!BP131="","",'5. GlobalData'!BP131)</f>
        <v/>
      </c>
      <c r="CM81" s="567" t="str">
        <f>+IF('5. GlobalData'!BQ131="","",'5. GlobalData'!BQ131)</f>
        <v/>
      </c>
      <c r="CN81" s="567" t="str">
        <f>+IF('5. GlobalData'!BR131="","",'5. GlobalData'!BR131)</f>
        <v/>
      </c>
      <c r="CO81" s="568" t="str">
        <f>+IF('5. GlobalData'!BS131="","",'5. GlobalData'!BS131)</f>
        <v/>
      </c>
      <c r="CP81" s="569" t="str">
        <f t="shared" ref="CP81:DC81" si="125">+IF(CB81="","",CB81*$AH81)</f>
        <v/>
      </c>
      <c r="CQ81" s="570" t="str">
        <f t="shared" si="125"/>
        <v/>
      </c>
      <c r="CR81" s="570" t="str">
        <f t="shared" si="125"/>
        <v/>
      </c>
      <c r="CS81" s="570" t="str">
        <f t="shared" si="125"/>
        <v/>
      </c>
      <c r="CT81" s="570" t="str">
        <f t="shared" si="125"/>
        <v/>
      </c>
      <c r="CU81" s="570" t="str">
        <f t="shared" si="125"/>
        <v/>
      </c>
      <c r="CV81" s="570" t="str">
        <f t="shared" si="125"/>
        <v/>
      </c>
      <c r="CW81" s="570" t="str">
        <f t="shared" si="125"/>
        <v/>
      </c>
      <c r="CX81" s="570" t="str">
        <f t="shared" si="125"/>
        <v/>
      </c>
      <c r="CY81" s="570" t="str">
        <f t="shared" si="125"/>
        <v/>
      </c>
      <c r="CZ81" s="570" t="str">
        <f t="shared" si="125"/>
        <v/>
      </c>
      <c r="DA81" s="570" t="str">
        <f t="shared" si="125"/>
        <v/>
      </c>
      <c r="DB81" s="570" t="str">
        <f t="shared" si="125"/>
        <v/>
      </c>
      <c r="DC81" s="571" t="str">
        <f t="shared" si="125"/>
        <v/>
      </c>
      <c r="DD81" s="569">
        <v>3.3683588810519614</v>
      </c>
      <c r="DE81" s="570">
        <v>3.0751987685605915</v>
      </c>
      <c r="DF81" s="570">
        <v>3.4930679115729726</v>
      </c>
      <c r="DG81" s="570">
        <v>2.7288246831254654</v>
      </c>
      <c r="DH81" s="572">
        <f>+DG81+(DJ81-DG81)*(2027-2025)/(2033-2025)</f>
        <v>2.4582950069742102</v>
      </c>
      <c r="DI81" s="572">
        <f>+DG81+(DJ81-DG81)*(2030-2025)/(2033-2025)</f>
        <v>2.0525004927473267</v>
      </c>
      <c r="DJ81" s="570">
        <v>1.6467059785204439</v>
      </c>
      <c r="DK81" s="570">
        <v>0.98038529706751343</v>
      </c>
      <c r="DL81" s="572">
        <f t="shared" si="104"/>
        <v>0.82911070247183327</v>
      </c>
      <c r="DM81" s="570">
        <v>0.60219881057831304</v>
      </c>
      <c r="DN81" s="572">
        <f t="shared" si="120"/>
        <v>0.4903086312459346</v>
      </c>
      <c r="DO81" s="570">
        <v>0.41571517835768235</v>
      </c>
      <c r="DP81" s="573" t="s">
        <v>1443</v>
      </c>
      <c r="DQ81" s="574" t="s">
        <v>1443</v>
      </c>
    </row>
    <row r="82" spans="9:121" ht="15.75" customHeight="1" x14ac:dyDescent="0.25">
      <c r="I82" s="431" t="s">
        <v>1249</v>
      </c>
      <c r="J82" s="434" t="s">
        <v>1254</v>
      </c>
      <c r="K82" s="431">
        <v>21</v>
      </c>
      <c r="L82" s="434"/>
      <c r="M82" s="434" t="str">
        <f t="shared" si="35"/>
        <v>Medium Oil</v>
      </c>
      <c r="N82" s="575">
        <f t="shared" ref="N82:O82" si="126">Y50</f>
        <v>39.659458817161386</v>
      </c>
      <c r="O82" s="576">
        <f t="shared" si="126"/>
        <v>1.8634611370761611</v>
      </c>
      <c r="P82" s="577">
        <f t="shared" si="37"/>
        <v>4.4877892477934681E-2</v>
      </c>
      <c r="Q82" s="578">
        <f t="shared" si="38"/>
        <v>0.90025257054584151</v>
      </c>
      <c r="R82" s="579">
        <f t="shared" ref="R82:V82" si="127">T50</f>
        <v>0.8853716952922942</v>
      </c>
      <c r="S82" s="579">
        <f t="shared" si="127"/>
        <v>7.7836871238025379E-2</v>
      </c>
      <c r="T82" s="579">
        <f t="shared" si="127"/>
        <v>0</v>
      </c>
      <c r="U82" s="579">
        <f t="shared" si="127"/>
        <v>0</v>
      </c>
      <c r="V82" s="579">
        <f t="shared" si="127"/>
        <v>0.90025257054584151</v>
      </c>
      <c r="W82" s="580">
        <f t="shared" ref="W82:Y82" si="128">+IF($O82=0,"-",R82/$O82)</f>
        <v>0.47512216792536649</v>
      </c>
      <c r="X82" s="580">
        <f t="shared" si="128"/>
        <v>4.1770053417993079E-2</v>
      </c>
      <c r="Y82" s="580">
        <f t="shared" si="128"/>
        <v>0</v>
      </c>
      <c r="Z82" s="580">
        <f t="shared" si="41"/>
        <v>0.4831077786566404</v>
      </c>
      <c r="AA82" s="581" t="str">
        <f t="shared" si="42"/>
        <v>-</v>
      </c>
      <c r="AB82" s="561">
        <f>+'5. GlobalData'!M21*1000*$D$21/1000</f>
        <v>514.19415250670738</v>
      </c>
      <c r="AC82" s="562">
        <f t="shared" si="43"/>
        <v>12.677460832784638</v>
      </c>
      <c r="AD82" s="563">
        <f t="shared" si="44"/>
        <v>491.11820261772863</v>
      </c>
      <c r="AE82" s="582">
        <f t="shared" si="45"/>
        <v>12.38338134874429</v>
      </c>
      <c r="AF82" s="563">
        <f t="shared" si="46"/>
        <v>23.075949888978762</v>
      </c>
      <c r="AG82" s="565">
        <f t="shared" si="47"/>
        <v>12.38338134874429</v>
      </c>
      <c r="AH82" s="402">
        <f t="shared" si="48"/>
        <v>41.522919954237551</v>
      </c>
      <c r="AI82" s="566">
        <v>1</v>
      </c>
      <c r="AJ82" s="567">
        <v>1.0666666666666669</v>
      </c>
      <c r="AK82" s="567">
        <v>0.96355555555555572</v>
      </c>
      <c r="AL82" s="567">
        <v>0.89481481481481495</v>
      </c>
      <c r="AM82" s="567">
        <v>0.77155555555555577</v>
      </c>
      <c r="AN82" s="567">
        <v>0.58666666666666689</v>
      </c>
      <c r="AO82" s="567">
        <v>0.45688888888888901</v>
      </c>
      <c r="AP82" s="567">
        <v>0.37037037037037046</v>
      </c>
      <c r="AQ82" s="567">
        <v>0.32533333333333342</v>
      </c>
      <c r="AR82" s="567">
        <v>0.25777777777777799</v>
      </c>
      <c r="AS82" s="567">
        <v>0.21333333333333346</v>
      </c>
      <c r="AT82" s="567">
        <v>0.18370370370370376</v>
      </c>
      <c r="AU82" s="567">
        <v>0.16118518518518526</v>
      </c>
      <c r="AV82" s="568">
        <v>0.12740740740740755</v>
      </c>
      <c r="AW82" s="569">
        <f t="shared" ref="AW82:BJ82" si="129">+IF(AI82="","",AI82*$AH82)</f>
        <v>41.522919954237551</v>
      </c>
      <c r="AX82" s="570">
        <f t="shared" si="129"/>
        <v>44.291114617853395</v>
      </c>
      <c r="AY82" s="570">
        <f t="shared" si="129"/>
        <v>40.009640204794231</v>
      </c>
      <c r="AZ82" s="570">
        <f t="shared" si="129"/>
        <v>37.155323929421456</v>
      </c>
      <c r="BA82" s="570">
        <f t="shared" si="129"/>
        <v>32.037239573580628</v>
      </c>
      <c r="BB82" s="570">
        <f t="shared" si="129"/>
        <v>24.360113039819371</v>
      </c>
      <c r="BC82" s="570">
        <f t="shared" si="129"/>
        <v>18.971360761313871</v>
      </c>
      <c r="BD82" s="570">
        <f t="shared" si="129"/>
        <v>15.378859242310208</v>
      </c>
      <c r="BE82" s="570">
        <f t="shared" si="129"/>
        <v>13.508789958445286</v>
      </c>
      <c r="BF82" s="570">
        <f t="shared" si="129"/>
        <v>10.70368603264791</v>
      </c>
      <c r="BG82" s="570">
        <f t="shared" si="129"/>
        <v>8.8582229235706826</v>
      </c>
      <c r="BH82" s="570">
        <f t="shared" si="129"/>
        <v>7.6279141841858635</v>
      </c>
      <c r="BI82" s="570">
        <f t="shared" si="129"/>
        <v>6.6928795422534044</v>
      </c>
      <c r="BJ82" s="571">
        <f t="shared" si="129"/>
        <v>5.2903275793547166</v>
      </c>
      <c r="BK82" s="569">
        <v>41.522919954237551</v>
      </c>
      <c r="BL82" s="570">
        <v>44.291114617853395</v>
      </c>
      <c r="BM82" s="572">
        <v>40.009640204794231</v>
      </c>
      <c r="BN82" s="570">
        <v>37.155323929421456</v>
      </c>
      <c r="BO82" s="572">
        <v>32.037239573580628</v>
      </c>
      <c r="BP82" s="570">
        <v>24.360113039819371</v>
      </c>
      <c r="BQ82" s="572">
        <v>18.971360761313871</v>
      </c>
      <c r="BR82" s="570">
        <v>15.378859242310208</v>
      </c>
      <c r="BS82" s="572">
        <v>13.508789958445286</v>
      </c>
      <c r="BT82" s="570">
        <v>10.70368603264791</v>
      </c>
      <c r="BU82" s="572">
        <v>8.8582229235706826</v>
      </c>
      <c r="BV82" s="570">
        <v>7.6279141841858635</v>
      </c>
      <c r="BW82" s="572">
        <v>6.6928795422534044</v>
      </c>
      <c r="BX82" s="571">
        <v>5.2903275793547166</v>
      </c>
      <c r="BY82" s="400"/>
      <c r="BZ82" s="400"/>
      <c r="CA82" s="400"/>
      <c r="CB82" s="566" t="str">
        <f>+IF('5. GlobalData'!BF132="","",'5. GlobalData'!BF132)</f>
        <v/>
      </c>
      <c r="CC82" s="567" t="str">
        <f>+IF('5. GlobalData'!BG132="","",'5. GlobalData'!BG132)</f>
        <v/>
      </c>
      <c r="CD82" s="567" t="str">
        <f>+IF('5. GlobalData'!BH132="","",'5. GlobalData'!BH132)</f>
        <v/>
      </c>
      <c r="CE82" s="567" t="str">
        <f>+IF('5. GlobalData'!BI132="","",'5. GlobalData'!BI132)</f>
        <v/>
      </c>
      <c r="CF82" s="567" t="str">
        <f>+IF('5. GlobalData'!BJ132="","",'5. GlobalData'!BJ132)</f>
        <v/>
      </c>
      <c r="CG82" s="567" t="str">
        <f>+IF('5. GlobalData'!BK132="","",'5. GlobalData'!BK132)</f>
        <v/>
      </c>
      <c r="CH82" s="567" t="str">
        <f>+IF('5. GlobalData'!BL132="","",'5. GlobalData'!BL132)</f>
        <v/>
      </c>
      <c r="CI82" s="567" t="str">
        <f>+IF('5. GlobalData'!BM132="","",'5. GlobalData'!BM132)</f>
        <v/>
      </c>
      <c r="CJ82" s="567" t="str">
        <f>+IF('5. GlobalData'!BN132="","",'5. GlobalData'!BN132)</f>
        <v/>
      </c>
      <c r="CK82" s="567" t="str">
        <f>+IF('5. GlobalData'!BO132="","",'5. GlobalData'!BO132)</f>
        <v/>
      </c>
      <c r="CL82" s="567" t="str">
        <f>+IF('5. GlobalData'!BP132="","",'5. GlobalData'!BP132)</f>
        <v/>
      </c>
      <c r="CM82" s="567" t="str">
        <f>+IF('5. GlobalData'!BQ132="","",'5. GlobalData'!BQ132)</f>
        <v/>
      </c>
      <c r="CN82" s="567" t="str">
        <f>+IF('5. GlobalData'!BR132="","",'5. GlobalData'!BR132)</f>
        <v/>
      </c>
      <c r="CO82" s="568" t="str">
        <f>+IF('5. GlobalData'!BS132="","",'5. GlobalData'!BS132)</f>
        <v/>
      </c>
      <c r="CP82" s="569" t="str">
        <f t="shared" ref="CP82:DC82" si="130">+IF(CB82="","",CB82*$AH82)</f>
        <v/>
      </c>
      <c r="CQ82" s="570" t="str">
        <f t="shared" si="130"/>
        <v/>
      </c>
      <c r="CR82" s="570" t="str">
        <f t="shared" si="130"/>
        <v/>
      </c>
      <c r="CS82" s="570" t="str">
        <f t="shared" si="130"/>
        <v/>
      </c>
      <c r="CT82" s="570" t="str">
        <f t="shared" si="130"/>
        <v/>
      </c>
      <c r="CU82" s="570" t="str">
        <f t="shared" si="130"/>
        <v/>
      </c>
      <c r="CV82" s="570" t="str">
        <f t="shared" si="130"/>
        <v/>
      </c>
      <c r="CW82" s="570" t="str">
        <f t="shared" si="130"/>
        <v/>
      </c>
      <c r="CX82" s="570" t="str">
        <f t="shared" si="130"/>
        <v/>
      </c>
      <c r="CY82" s="570" t="str">
        <f t="shared" si="130"/>
        <v/>
      </c>
      <c r="CZ82" s="570" t="str">
        <f t="shared" si="130"/>
        <v/>
      </c>
      <c r="DA82" s="570" t="str">
        <f t="shared" si="130"/>
        <v/>
      </c>
      <c r="DB82" s="570" t="str">
        <f t="shared" si="130"/>
        <v/>
      </c>
      <c r="DC82" s="571" t="str">
        <f t="shared" si="130"/>
        <v/>
      </c>
      <c r="DD82" s="569">
        <v>41.522919954237551</v>
      </c>
      <c r="DE82" s="570">
        <v>44.291114617853395</v>
      </c>
      <c r="DF82" s="572">
        <f t="shared" ref="DF82:DF83" si="131">+DE82+(DG82-DE82)*(2023-2020)/(2025-2020)</f>
        <v>40.009640204794231</v>
      </c>
      <c r="DG82" s="570">
        <v>37.155323929421456</v>
      </c>
      <c r="DH82" s="572">
        <f t="shared" ref="DH82:DH83" si="132">+DG82+(DI82-DG82)*(2027-2025)/(2030-2025)</f>
        <v>32.037239573580621</v>
      </c>
      <c r="DI82" s="570">
        <v>24.360113039819371</v>
      </c>
      <c r="DJ82" s="572">
        <f t="shared" ref="DJ82:DJ83" si="133">+DI82+(DK82-DI82)*(2033-2030)/(2035-2030)</f>
        <v>18.971360761313875</v>
      </c>
      <c r="DK82" s="570">
        <v>15.378859242310208</v>
      </c>
      <c r="DL82" s="572">
        <f t="shared" si="104"/>
        <v>13.50878995844529</v>
      </c>
      <c r="DM82" s="570">
        <v>10.70368603264791</v>
      </c>
      <c r="DN82" s="572">
        <f t="shared" si="120"/>
        <v>8.8582229235706826</v>
      </c>
      <c r="DO82" s="570">
        <v>7.6279141841858635</v>
      </c>
      <c r="DP82" s="572">
        <f>+DO82+(DQ82-DO82)*(2047-2045)/(2050-2045)</f>
        <v>6.6928795422534044</v>
      </c>
      <c r="DQ82" s="571">
        <v>5.2903275793547166</v>
      </c>
    </row>
    <row r="83" spans="9:121" ht="15.75" customHeight="1" x14ac:dyDescent="0.25">
      <c r="I83" s="431" t="s">
        <v>1249</v>
      </c>
      <c r="J83" s="434" t="s">
        <v>1256</v>
      </c>
      <c r="K83" s="431">
        <f>20+(25-20)/2</f>
        <v>22.5</v>
      </c>
      <c r="L83" s="434"/>
      <c r="M83" s="434" t="str">
        <f t="shared" si="35"/>
        <v>Medium Oil</v>
      </c>
      <c r="N83" s="575">
        <f t="shared" ref="N83:O83" si="134">Y51</f>
        <v>94.059349180277351</v>
      </c>
      <c r="O83" s="576">
        <f t="shared" si="134"/>
        <v>2.497140090885289</v>
      </c>
      <c r="P83" s="577">
        <f t="shared" si="37"/>
        <v>2.5861960285988563E-2</v>
      </c>
      <c r="Q83" s="578">
        <f t="shared" si="38"/>
        <v>1.3766222989813104</v>
      </c>
      <c r="R83" s="579">
        <f t="shared" ref="R83:V83" si="135">T51</f>
        <v>0.51468242964795996</v>
      </c>
      <c r="S83" s="579">
        <f t="shared" si="135"/>
        <v>0.60583536225601842</v>
      </c>
      <c r="T83" s="579">
        <f t="shared" si="135"/>
        <v>1.3766222989813104</v>
      </c>
      <c r="U83" s="579">
        <f t="shared" si="135"/>
        <v>0</v>
      </c>
      <c r="V83" s="579">
        <f t="shared" si="135"/>
        <v>0</v>
      </c>
      <c r="W83" s="580">
        <f t="shared" ref="W83:Y83" si="136">+IF($O83=0,"-",R83/$O83)</f>
        <v>0.20610875277946228</v>
      </c>
      <c r="X83" s="580">
        <f t="shared" si="136"/>
        <v>0.24261168384879719</v>
      </c>
      <c r="Y83" s="580">
        <f t="shared" si="136"/>
        <v>0.55127956337174044</v>
      </c>
      <c r="Z83" s="580">
        <f t="shared" si="41"/>
        <v>0</v>
      </c>
      <c r="AA83" s="581">
        <f t="shared" si="42"/>
        <v>0</v>
      </c>
      <c r="AB83" s="561">
        <f>+'5. GlobalData'!M22*1000*$D$21/1000</f>
        <v>356.91613908800002</v>
      </c>
      <c r="AC83" s="562">
        <f t="shared" si="43"/>
        <v>3.7398491738051778</v>
      </c>
      <c r="AD83" s="563">
        <f t="shared" si="44"/>
        <v>347.68558807347779</v>
      </c>
      <c r="AE83" s="582">
        <f t="shared" si="45"/>
        <v>3.69644900909416</v>
      </c>
      <c r="AF83" s="563">
        <f t="shared" si="46"/>
        <v>9.2305510145222271</v>
      </c>
      <c r="AG83" s="565">
        <f t="shared" si="47"/>
        <v>3.69644900909416</v>
      </c>
      <c r="AH83" s="402">
        <f t="shared" si="48"/>
        <v>96.556489271162647</v>
      </c>
      <c r="AI83" s="566">
        <v>1</v>
      </c>
      <c r="AJ83" s="567">
        <v>0.8428801816344339</v>
      </c>
      <c r="AK83" s="567">
        <v>0.56078675910832387</v>
      </c>
      <c r="AL83" s="567">
        <v>0.37272447742425052</v>
      </c>
      <c r="AM83" s="567">
        <v>0.27591584803589347</v>
      </c>
      <c r="AN83" s="567">
        <v>0.13070290395335787</v>
      </c>
      <c r="AO83" s="567">
        <v>9.278652515247135E-2</v>
      </c>
      <c r="AP83" s="567">
        <v>6.7508939285213676E-2</v>
      </c>
      <c r="AQ83" s="567">
        <v>5.706727294674778E-2</v>
      </c>
      <c r="AR83" s="567">
        <v>4.1404773439048928E-2</v>
      </c>
      <c r="AS83" s="567">
        <v>2.5742273931349369E-2</v>
      </c>
      <c r="AT83" s="567">
        <v>1.5300607592884145E-2</v>
      </c>
      <c r="AU83" s="567">
        <v>7.0758850390578634E-3</v>
      </c>
      <c r="AV83" s="568">
        <v>4.7150482391972994E-3</v>
      </c>
      <c r="AW83" s="569">
        <f t="shared" ref="AW83:BJ83" si="137">+IF(AI83="","",AI83*$AH83)</f>
        <v>96.556489271162647</v>
      </c>
      <c r="AX83" s="570">
        <f t="shared" si="137"/>
        <v>81.38555121486084</v>
      </c>
      <c r="AY83" s="570">
        <f t="shared" si="137"/>
        <v>54.147600689252947</v>
      </c>
      <c r="AZ83" s="570">
        <f t="shared" si="137"/>
        <v>35.988967005514347</v>
      </c>
      <c r="BA83" s="570">
        <f t="shared" si="137"/>
        <v>26.641465620621492</v>
      </c>
      <c r="BB83" s="570">
        <f t="shared" si="137"/>
        <v>12.620213543282201</v>
      </c>
      <c r="BC83" s="570">
        <f t="shared" si="137"/>
        <v>8.9591411203930633</v>
      </c>
      <c r="BD83" s="570">
        <f t="shared" si="137"/>
        <v>6.5184261718003045</v>
      </c>
      <c r="BE83" s="570">
        <f t="shared" si="137"/>
        <v>5.5102155280171621</v>
      </c>
      <c r="BF83" s="570">
        <f t="shared" si="137"/>
        <v>3.997899562342448</v>
      </c>
      <c r="BG83" s="570">
        <f t="shared" si="137"/>
        <v>2.4855835966676652</v>
      </c>
      <c r="BH83" s="570">
        <f t="shared" si="137"/>
        <v>1.4773729528845878</v>
      </c>
      <c r="BI83" s="570">
        <f t="shared" si="137"/>
        <v>0.68322261785777083</v>
      </c>
      <c r="BJ83" s="571">
        <f t="shared" si="137"/>
        <v>0.45526850472106839</v>
      </c>
      <c r="BK83" s="569">
        <v>96.556489271162647</v>
      </c>
      <c r="BL83" s="570">
        <v>81.38555121486084</v>
      </c>
      <c r="BM83" s="572">
        <v>54.147600689252947</v>
      </c>
      <c r="BN83" s="570">
        <v>35.988967005514347</v>
      </c>
      <c r="BO83" s="572">
        <v>26.641465620621492</v>
      </c>
      <c r="BP83" s="570">
        <v>12.620213543282201</v>
      </c>
      <c r="BQ83" s="572">
        <v>8.9591411203930633</v>
      </c>
      <c r="BR83" s="570">
        <v>6.5184261718003045</v>
      </c>
      <c r="BS83" s="572">
        <v>5.5102155280171621</v>
      </c>
      <c r="BT83" s="570">
        <v>3.997899562342448</v>
      </c>
      <c r="BU83" s="573">
        <v>2.4855835966676652</v>
      </c>
      <c r="BV83" s="573">
        <v>1.4773729528845878</v>
      </c>
      <c r="BW83" s="573">
        <v>0.68322261785777083</v>
      </c>
      <c r="BX83" s="574">
        <v>0.45526850472106839</v>
      </c>
      <c r="BY83" s="400"/>
      <c r="BZ83" s="400"/>
      <c r="CA83" s="400"/>
      <c r="CB83" s="566" t="str">
        <f>+IF('5. GlobalData'!BF133="","",'5. GlobalData'!BF133)</f>
        <v/>
      </c>
      <c r="CC83" s="567" t="str">
        <f>+IF('5. GlobalData'!BG133="","",'5. GlobalData'!BG133)</f>
        <v/>
      </c>
      <c r="CD83" s="567" t="str">
        <f>+IF('5. GlobalData'!BH133="","",'5. GlobalData'!BH133)</f>
        <v/>
      </c>
      <c r="CE83" s="567" t="str">
        <f>+IF('5. GlobalData'!BI133="","",'5. GlobalData'!BI133)</f>
        <v/>
      </c>
      <c r="CF83" s="567" t="str">
        <f>+IF('5. GlobalData'!BJ133="","",'5. GlobalData'!BJ133)</f>
        <v/>
      </c>
      <c r="CG83" s="567" t="str">
        <f>+IF('5. GlobalData'!BK133="","",'5. GlobalData'!BK133)</f>
        <v/>
      </c>
      <c r="CH83" s="567" t="str">
        <f>+IF('5. GlobalData'!BL133="","",'5. GlobalData'!BL133)</f>
        <v/>
      </c>
      <c r="CI83" s="567" t="str">
        <f>+IF('5. GlobalData'!BM133="","",'5. GlobalData'!BM133)</f>
        <v/>
      </c>
      <c r="CJ83" s="567" t="str">
        <f>+IF('5. GlobalData'!BN133="","",'5. GlobalData'!BN133)</f>
        <v/>
      </c>
      <c r="CK83" s="567" t="str">
        <f>+IF('5. GlobalData'!BO133="","",'5. GlobalData'!BO133)</f>
        <v/>
      </c>
      <c r="CL83" s="567" t="str">
        <f>+IF('5. GlobalData'!BP133="","",'5. GlobalData'!BP133)</f>
        <v/>
      </c>
      <c r="CM83" s="567" t="str">
        <f>+IF('5. GlobalData'!BQ133="","",'5. GlobalData'!BQ133)</f>
        <v/>
      </c>
      <c r="CN83" s="567" t="str">
        <f>+IF('5. GlobalData'!BR133="","",'5. GlobalData'!BR133)</f>
        <v/>
      </c>
      <c r="CO83" s="568" t="str">
        <f>+IF('5. GlobalData'!BS133="","",'5. GlobalData'!BS133)</f>
        <v/>
      </c>
      <c r="CP83" s="569" t="str">
        <f t="shared" ref="CP83:DC83" si="138">+IF(CB83="","",CB83*$AH83)</f>
        <v/>
      </c>
      <c r="CQ83" s="570" t="str">
        <f t="shared" si="138"/>
        <v/>
      </c>
      <c r="CR83" s="570" t="str">
        <f t="shared" si="138"/>
        <v/>
      </c>
      <c r="CS83" s="570" t="str">
        <f t="shared" si="138"/>
        <v/>
      </c>
      <c r="CT83" s="570" t="str">
        <f t="shared" si="138"/>
        <v/>
      </c>
      <c r="CU83" s="570" t="str">
        <f t="shared" si="138"/>
        <v/>
      </c>
      <c r="CV83" s="570" t="str">
        <f t="shared" si="138"/>
        <v/>
      </c>
      <c r="CW83" s="570" t="str">
        <f t="shared" si="138"/>
        <v/>
      </c>
      <c r="CX83" s="570" t="str">
        <f t="shared" si="138"/>
        <v/>
      </c>
      <c r="CY83" s="570" t="str">
        <f t="shared" si="138"/>
        <v/>
      </c>
      <c r="CZ83" s="570" t="str">
        <f t="shared" si="138"/>
        <v/>
      </c>
      <c r="DA83" s="570" t="str">
        <f t="shared" si="138"/>
        <v/>
      </c>
      <c r="DB83" s="570" t="str">
        <f t="shared" si="138"/>
        <v/>
      </c>
      <c r="DC83" s="571" t="str">
        <f t="shared" si="138"/>
        <v/>
      </c>
      <c r="DD83" s="569">
        <v>96.556489271162647</v>
      </c>
      <c r="DE83" s="570">
        <v>81.38555121486084</v>
      </c>
      <c r="DF83" s="572">
        <f t="shared" si="131"/>
        <v>54.14760068925294</v>
      </c>
      <c r="DG83" s="570">
        <v>35.988967005514347</v>
      </c>
      <c r="DH83" s="572">
        <f t="shared" si="132"/>
        <v>26.641465620621489</v>
      </c>
      <c r="DI83" s="570">
        <v>12.620213543282201</v>
      </c>
      <c r="DJ83" s="572">
        <f t="shared" si="133"/>
        <v>8.9591411203930633</v>
      </c>
      <c r="DK83" s="570">
        <v>6.5184261718003045</v>
      </c>
      <c r="DL83" s="572">
        <f t="shared" si="104"/>
        <v>5.5102155280171621</v>
      </c>
      <c r="DM83" s="570">
        <v>3.997899562342448</v>
      </c>
      <c r="DN83" s="573" t="s">
        <v>1443</v>
      </c>
      <c r="DO83" s="573" t="s">
        <v>1443</v>
      </c>
      <c r="DP83" s="573" t="s">
        <v>1443</v>
      </c>
      <c r="DQ83" s="574" t="s">
        <v>1443</v>
      </c>
    </row>
    <row r="84" spans="9:121" ht="15.75" customHeight="1" x14ac:dyDescent="0.25">
      <c r="I84" s="431" t="s">
        <v>1258</v>
      </c>
      <c r="J84" s="434" t="s">
        <v>1259</v>
      </c>
      <c r="K84" s="431">
        <v>23</v>
      </c>
      <c r="L84" s="434"/>
      <c r="M84" s="434" t="str">
        <f t="shared" si="35"/>
        <v>Medium Oil</v>
      </c>
      <c r="N84" s="575">
        <f t="shared" ref="N84:O84" si="139">Y52</f>
        <v>10.408512554584734</v>
      </c>
      <c r="O84" s="576">
        <f t="shared" si="139"/>
        <v>0.71025387836690013</v>
      </c>
      <c r="P84" s="577">
        <f t="shared" si="37"/>
        <v>6.3878837877373515E-2</v>
      </c>
      <c r="Q84" s="578">
        <f t="shared" si="38"/>
        <v>0.38201649904628787</v>
      </c>
      <c r="R84" s="579">
        <f t="shared" ref="R84:V84" si="140">T52</f>
        <v>3.8100694170208539E-2</v>
      </c>
      <c r="S84" s="579">
        <f t="shared" si="140"/>
        <v>8.403555333142973E-2</v>
      </c>
      <c r="T84" s="579">
        <f t="shared" si="140"/>
        <v>0.58683549303812432</v>
      </c>
      <c r="U84" s="579">
        <f t="shared" si="140"/>
        <v>0.2061011318189738</v>
      </c>
      <c r="V84" s="579">
        <f t="shared" si="140"/>
        <v>1.2821378271373829E-3</v>
      </c>
      <c r="W84" s="580">
        <f t="shared" ref="W84:Y84" si="141">+IF($O84=0,"-",R84/$O84)</f>
        <v>5.3643767856381398E-2</v>
      </c>
      <c r="X84" s="580">
        <f t="shared" si="141"/>
        <v>0.11831762682472671</v>
      </c>
      <c r="Y84" s="580">
        <f t="shared" si="141"/>
        <v>0.82623342288175328</v>
      </c>
      <c r="Z84" s="580">
        <f t="shared" si="41"/>
        <v>1.8051824371384303E-3</v>
      </c>
      <c r="AA84" s="581">
        <f t="shared" si="42"/>
        <v>0.35120767960363336</v>
      </c>
      <c r="AB84" s="561">
        <f>+'5. GlobalData'!M23*1000*$D$21/1000</f>
        <v>68.678597355267783</v>
      </c>
      <c r="AC84" s="562">
        <f t="shared" si="43"/>
        <v>6.3647108509621582</v>
      </c>
      <c r="AD84" s="563">
        <f t="shared" si="44"/>
        <v>64.291488369165208</v>
      </c>
      <c r="AE84" s="582">
        <f t="shared" si="45"/>
        <v>6.1768180642532</v>
      </c>
      <c r="AF84" s="563">
        <f t="shared" si="46"/>
        <v>4.3871089861025645</v>
      </c>
      <c r="AG84" s="565">
        <f t="shared" si="47"/>
        <v>6.1768180642532009</v>
      </c>
      <c r="AH84" s="402">
        <f t="shared" si="48"/>
        <v>11.118766432951634</v>
      </c>
      <c r="AI84" s="566">
        <v>1</v>
      </c>
      <c r="AJ84" s="567">
        <v>0.92899768313750497</v>
      </c>
      <c r="AK84" s="567">
        <v>0.66664478329632215</v>
      </c>
      <c r="AL84" s="567">
        <v>0.54043952260260264</v>
      </c>
      <c r="AM84" s="567">
        <v>0.42775129566918652</v>
      </c>
      <c r="AN84" s="567">
        <v>0.27808028290295722</v>
      </c>
      <c r="AO84" s="567">
        <v>0.21693685786046518</v>
      </c>
      <c r="AP84" s="567">
        <v>0.17617457449880206</v>
      </c>
      <c r="AQ84" s="567">
        <v>0.1337547602752909</v>
      </c>
      <c r="AR84" s="567">
        <v>7.5845431195485674E-2</v>
      </c>
      <c r="AS84" s="567">
        <v>1.9345471814238253E-2</v>
      </c>
      <c r="AT84" s="567">
        <v>7.3717377731980184E-3</v>
      </c>
      <c r="AU84" s="567">
        <v>6.3022022619874472E-3</v>
      </c>
      <c r="AV84" s="568">
        <v>4.6978989951715908E-3</v>
      </c>
      <c r="AW84" s="569">
        <f t="shared" ref="AW84:BJ84" si="142">+IF(AI84="","",AI84*$AH84)</f>
        <v>11.118766432951634</v>
      </c>
      <c r="AX84" s="570">
        <f t="shared" si="142"/>
        <v>10.329308255559129</v>
      </c>
      <c r="AY84" s="570">
        <f t="shared" si="142"/>
        <v>7.4122676392174629</v>
      </c>
      <c r="AZ84" s="570">
        <f t="shared" si="142"/>
        <v>6.0090208229542244</v>
      </c>
      <c r="BA84" s="570">
        <f t="shared" si="142"/>
        <v>4.7560667479381209</v>
      </c>
      <c r="BB84" s="570">
        <f t="shared" si="142"/>
        <v>3.0919097152070951</v>
      </c>
      <c r="BC84" s="570">
        <f t="shared" si="142"/>
        <v>2.41207025324894</v>
      </c>
      <c r="BD84" s="570">
        <f t="shared" si="142"/>
        <v>1.9588439452768174</v>
      </c>
      <c r="BE84" s="570">
        <f t="shared" si="142"/>
        <v>1.4871879387963971</v>
      </c>
      <c r="BF84" s="570">
        <f t="shared" si="142"/>
        <v>0.84330763446910884</v>
      </c>
      <c r="BG84" s="570">
        <f t="shared" si="142"/>
        <v>0.21509778263776425</v>
      </c>
      <c r="BH84" s="570">
        <f t="shared" si="142"/>
        <v>8.1964630505155761E-2</v>
      </c>
      <c r="BI84" s="570">
        <f t="shared" si="142"/>
        <v>7.007271496425789E-2</v>
      </c>
      <c r="BJ84" s="571">
        <f t="shared" si="142"/>
        <v>5.2234841652911097E-2</v>
      </c>
      <c r="BK84" s="569">
        <v>11.118766432951634</v>
      </c>
      <c r="BL84" s="570">
        <v>10.329308255559129</v>
      </c>
      <c r="BM84" s="570">
        <v>7.4122676392174629</v>
      </c>
      <c r="BN84" s="570">
        <v>6.0090208229542244</v>
      </c>
      <c r="BO84" s="570">
        <v>4.7560667479381209</v>
      </c>
      <c r="BP84" s="570">
        <v>3.0919097152070951</v>
      </c>
      <c r="BQ84" s="570">
        <v>2.41207025324894</v>
      </c>
      <c r="BR84" s="570">
        <v>1.9588439452768174</v>
      </c>
      <c r="BS84" s="570">
        <v>1.4871879387963971</v>
      </c>
      <c r="BT84" s="570">
        <v>0.84330763446910884</v>
      </c>
      <c r="BU84" s="572">
        <v>0.21509778263776425</v>
      </c>
      <c r="BV84" s="570">
        <v>8.1964630505155761E-2</v>
      </c>
      <c r="BW84" s="572">
        <v>7.007271496425789E-2</v>
      </c>
      <c r="BX84" s="571">
        <v>5.2234841652911097E-2</v>
      </c>
      <c r="BY84" s="400"/>
      <c r="BZ84" s="400"/>
      <c r="CA84" s="400"/>
      <c r="CB84" s="566" t="str">
        <f>+IF('5. GlobalData'!BF134="","",'5. GlobalData'!BF134)</f>
        <v/>
      </c>
      <c r="CC84" s="567" t="str">
        <f>+IF('5. GlobalData'!BG134="","",'5. GlobalData'!BG134)</f>
        <v/>
      </c>
      <c r="CD84" s="567" t="str">
        <f>+IF('5. GlobalData'!BH134="","",'5. GlobalData'!BH134)</f>
        <v/>
      </c>
      <c r="CE84" s="567" t="str">
        <f>+IF('5. GlobalData'!BI134="","",'5. GlobalData'!BI134)</f>
        <v/>
      </c>
      <c r="CF84" s="567" t="str">
        <f>+IF('5. GlobalData'!BJ134="","",'5. GlobalData'!BJ134)</f>
        <v/>
      </c>
      <c r="CG84" s="567" t="str">
        <f>+IF('5. GlobalData'!BK134="","",'5. GlobalData'!BK134)</f>
        <v/>
      </c>
      <c r="CH84" s="567" t="str">
        <f>+IF('5. GlobalData'!BL134="","",'5. GlobalData'!BL134)</f>
        <v/>
      </c>
      <c r="CI84" s="567" t="str">
        <f>+IF('5. GlobalData'!BM134="","",'5. GlobalData'!BM134)</f>
        <v/>
      </c>
      <c r="CJ84" s="567" t="str">
        <f>+IF('5. GlobalData'!BN134="","",'5. GlobalData'!BN134)</f>
        <v/>
      </c>
      <c r="CK84" s="567" t="str">
        <f>+IF('5. GlobalData'!BO134="","",'5. GlobalData'!BO134)</f>
        <v/>
      </c>
      <c r="CL84" s="567" t="str">
        <f>+IF('5. GlobalData'!BP134="","",'5. GlobalData'!BP134)</f>
        <v/>
      </c>
      <c r="CM84" s="567" t="str">
        <f>+IF('5. GlobalData'!BQ134="","",'5. GlobalData'!BQ134)</f>
        <v/>
      </c>
      <c r="CN84" s="567" t="str">
        <f>+IF('5. GlobalData'!BR134="","",'5. GlobalData'!BR134)</f>
        <v/>
      </c>
      <c r="CO84" s="568" t="str">
        <f>+IF('5. GlobalData'!BS134="","",'5. GlobalData'!BS134)</f>
        <v/>
      </c>
      <c r="CP84" s="569" t="str">
        <f t="shared" ref="CP84:DC84" si="143">+IF(CB84="","",CB84*$AH84)</f>
        <v/>
      </c>
      <c r="CQ84" s="570" t="str">
        <f t="shared" si="143"/>
        <v/>
      </c>
      <c r="CR84" s="570" t="str">
        <f t="shared" si="143"/>
        <v/>
      </c>
      <c r="CS84" s="570" t="str">
        <f t="shared" si="143"/>
        <v/>
      </c>
      <c r="CT84" s="570" t="str">
        <f t="shared" si="143"/>
        <v/>
      </c>
      <c r="CU84" s="570" t="str">
        <f t="shared" si="143"/>
        <v/>
      </c>
      <c r="CV84" s="570" t="str">
        <f t="shared" si="143"/>
        <v/>
      </c>
      <c r="CW84" s="570" t="str">
        <f t="shared" si="143"/>
        <v/>
      </c>
      <c r="CX84" s="570" t="str">
        <f t="shared" si="143"/>
        <v/>
      </c>
      <c r="CY84" s="570" t="str">
        <f t="shared" si="143"/>
        <v/>
      </c>
      <c r="CZ84" s="570" t="str">
        <f t="shared" si="143"/>
        <v/>
      </c>
      <c r="DA84" s="570" t="str">
        <f t="shared" si="143"/>
        <v/>
      </c>
      <c r="DB84" s="570" t="str">
        <f t="shared" si="143"/>
        <v/>
      </c>
      <c r="DC84" s="571" t="str">
        <f t="shared" si="143"/>
        <v/>
      </c>
      <c r="DD84" s="569">
        <v>11.118766432951634</v>
      </c>
      <c r="DE84" s="570">
        <v>10.329308255559129</v>
      </c>
      <c r="DF84" s="570">
        <v>0.97851854451422471</v>
      </c>
      <c r="DG84" s="570">
        <v>6.0090208229542244</v>
      </c>
      <c r="DH84" s="570">
        <v>0.39140741780568994</v>
      </c>
      <c r="DI84" s="570">
        <v>3.0919097152070951</v>
      </c>
      <c r="DJ84" s="570">
        <v>0.12720741078684925</v>
      </c>
      <c r="DK84" s="570">
        <v>1.916441475014554</v>
      </c>
      <c r="DL84" s="570">
        <v>1.3140977124726838</v>
      </c>
      <c r="DM84" s="570">
        <v>0.12912409508183365</v>
      </c>
      <c r="DN84" s="572">
        <f t="shared" ref="DN84:DN87" si="144">+DM84+(DO84-DM84)*(2043-2040)/(2045-2040)</f>
        <v>0.10082841633582691</v>
      </c>
      <c r="DO84" s="570">
        <v>8.1964630505155761E-2</v>
      </c>
      <c r="DP84" s="572">
        <f t="shared" ref="DP84:DP87" si="145">+DO84+(DQ84-DO84)*(2047-2045)/(2050-2045)</f>
        <v>7.007271496425789E-2</v>
      </c>
      <c r="DQ84" s="571">
        <v>5.2234841652911097E-2</v>
      </c>
    </row>
    <row r="85" spans="9:121" ht="15.75" customHeight="1" x14ac:dyDescent="0.25">
      <c r="I85" s="431" t="s">
        <v>1258</v>
      </c>
      <c r="J85" s="434" t="s">
        <v>1261</v>
      </c>
      <c r="K85" s="431">
        <v>25.5</v>
      </c>
      <c r="L85" s="434"/>
      <c r="M85" s="434" t="str">
        <f t="shared" si="35"/>
        <v>Medium Oil</v>
      </c>
      <c r="N85" s="575">
        <f t="shared" ref="N85:O85" si="146">Y53</f>
        <v>9.2296903712167389</v>
      </c>
      <c r="O85" s="576">
        <f t="shared" si="146"/>
        <v>0.31949461271981699</v>
      </c>
      <c r="P85" s="577">
        <f t="shared" si="37"/>
        <v>3.3457788623559429E-2</v>
      </c>
      <c r="Q85" s="578">
        <f t="shared" si="38"/>
        <v>0</v>
      </c>
      <c r="R85" s="579">
        <f t="shared" ref="R85:V85" si="147">T53</f>
        <v>0.16765718815173636</v>
      </c>
      <c r="S85" s="579">
        <f t="shared" si="147"/>
        <v>0.15183742456808058</v>
      </c>
      <c r="T85" s="579">
        <f t="shared" si="147"/>
        <v>0</v>
      </c>
      <c r="U85" s="579">
        <f t="shared" si="147"/>
        <v>0</v>
      </c>
      <c r="V85" s="579">
        <f t="shared" si="147"/>
        <v>0</v>
      </c>
      <c r="W85" s="580">
        <f t="shared" ref="W85:Y85" si="148">+IF($O85=0,"-",R85/$O85)</f>
        <v>0.52475748096186048</v>
      </c>
      <c r="X85" s="580">
        <f t="shared" si="148"/>
        <v>0.47524251903813935</v>
      </c>
      <c r="Y85" s="580">
        <f t="shared" si="148"/>
        <v>0</v>
      </c>
      <c r="Z85" s="580">
        <f t="shared" si="41"/>
        <v>0</v>
      </c>
      <c r="AA85" s="581" t="str">
        <f t="shared" si="42"/>
        <v>-</v>
      </c>
      <c r="AB85" s="561">
        <f>+'5. GlobalData'!M24*1000*$D$21/1000</f>
        <v>122.68330472394234</v>
      </c>
      <c r="AC85" s="562">
        <f t="shared" si="43"/>
        <v>13.292244895509874</v>
      </c>
      <c r="AD85" s="563">
        <f t="shared" si="44"/>
        <v>118.57859264684895</v>
      </c>
      <c r="AE85" s="582">
        <f t="shared" si="45"/>
        <v>12.847515775463318</v>
      </c>
      <c r="AF85" s="563">
        <f t="shared" si="46"/>
        <v>4.1047120770933931</v>
      </c>
      <c r="AG85" s="565">
        <f t="shared" si="47"/>
        <v>12.847515775463322</v>
      </c>
      <c r="AH85" s="402">
        <f t="shared" si="48"/>
        <v>9.5491849839365557</v>
      </c>
      <c r="AI85" s="566">
        <v>1</v>
      </c>
      <c r="AJ85" s="567">
        <v>0.92128772622171617</v>
      </c>
      <c r="AK85" s="567">
        <v>0.9604039951992509</v>
      </c>
      <c r="AL85" s="567">
        <v>0.80851590417488839</v>
      </c>
      <c r="AM85" s="567">
        <v>0.72519782745784112</v>
      </c>
      <c r="AN85" s="567">
        <v>0.60022071238227004</v>
      </c>
      <c r="AO85" s="567">
        <v>0.50962183933765992</v>
      </c>
      <c r="AP85" s="567">
        <v>0.44922259064125319</v>
      </c>
      <c r="AQ85" s="567">
        <v>0.41175912176136004</v>
      </c>
      <c r="AR85" s="567">
        <v>0.35556391844152041</v>
      </c>
      <c r="AS85" s="567">
        <v>0.31083660502993715</v>
      </c>
      <c r="AT85" s="567">
        <v>0.28101839608888168</v>
      </c>
      <c r="AU85" s="567">
        <v>0.26649070702550215</v>
      </c>
      <c r="AV85" s="568">
        <v>0.2446991734304329</v>
      </c>
      <c r="AW85" s="569">
        <f t="shared" ref="AW85:BJ85" si="149">+IF(AI85="","",AI85*$AH85)</f>
        <v>9.5491849839365557</v>
      </c>
      <c r="AX85" s="570">
        <f t="shared" si="149"/>
        <v>8.7975469211214641</v>
      </c>
      <c r="AY85" s="570">
        <f t="shared" si="149"/>
        <v>9.1710754094693634</v>
      </c>
      <c r="AZ85" s="570">
        <f t="shared" si="149"/>
        <v>7.7206679314207314</v>
      </c>
      <c r="BA85" s="570">
        <f t="shared" si="149"/>
        <v>6.9250482043438293</v>
      </c>
      <c r="BB85" s="570">
        <f t="shared" si="149"/>
        <v>5.7316186137284753</v>
      </c>
      <c r="BC85" s="570">
        <f t="shared" si="149"/>
        <v>4.86647321568931</v>
      </c>
      <c r="BD85" s="570">
        <f t="shared" si="149"/>
        <v>4.2897096169965332</v>
      </c>
      <c r="BE85" s="570">
        <f t="shared" si="149"/>
        <v>3.9319640225224832</v>
      </c>
      <c r="BF85" s="570">
        <f t="shared" si="149"/>
        <v>3.3953456308114087</v>
      </c>
      <c r="BG85" s="570">
        <f t="shared" si="149"/>
        <v>2.9682362412096941</v>
      </c>
      <c r="BH85" s="570">
        <f t="shared" si="149"/>
        <v>2.6834966481418845</v>
      </c>
      <c r="BI85" s="570">
        <f t="shared" si="149"/>
        <v>2.5447690578865609</v>
      </c>
      <c r="BJ85" s="571">
        <f t="shared" si="149"/>
        <v>2.3366776725035767</v>
      </c>
      <c r="BK85" s="569">
        <v>9.5491849839365557</v>
      </c>
      <c r="BL85" s="570">
        <v>8.7975469211214641</v>
      </c>
      <c r="BM85" s="570">
        <v>9.1710754094693634</v>
      </c>
      <c r="BN85" s="570">
        <v>7.7206679314207314</v>
      </c>
      <c r="BO85" s="572">
        <v>6.9250482043438293</v>
      </c>
      <c r="BP85" s="570">
        <v>5.7316186137284753</v>
      </c>
      <c r="BQ85" s="572">
        <v>4.86647321568931</v>
      </c>
      <c r="BR85" s="570">
        <v>4.2897096169965332</v>
      </c>
      <c r="BS85" s="572">
        <v>3.9319640225224832</v>
      </c>
      <c r="BT85" s="570">
        <v>3.3953456308114087</v>
      </c>
      <c r="BU85" s="572">
        <v>2.9682362412096941</v>
      </c>
      <c r="BV85" s="570">
        <v>2.6834966481418845</v>
      </c>
      <c r="BW85" s="572">
        <v>2.5447690578865609</v>
      </c>
      <c r="BX85" s="571">
        <v>2.3366776725035767</v>
      </c>
      <c r="BY85" s="400"/>
      <c r="BZ85" s="400"/>
      <c r="CA85" s="400"/>
      <c r="CB85" s="566" t="str">
        <f>+IF('5. GlobalData'!BF135="","",'5. GlobalData'!BF135)</f>
        <v/>
      </c>
      <c r="CC85" s="567" t="str">
        <f>+IF('5. GlobalData'!BG135="","",'5. GlobalData'!BG135)</f>
        <v/>
      </c>
      <c r="CD85" s="567" t="str">
        <f>+IF('5. GlobalData'!BH135="","",'5. GlobalData'!BH135)</f>
        <v/>
      </c>
      <c r="CE85" s="567" t="str">
        <f>+IF('5. GlobalData'!BI135="","",'5. GlobalData'!BI135)</f>
        <v/>
      </c>
      <c r="CF85" s="567" t="str">
        <f>+IF('5. GlobalData'!BJ135="","",'5. GlobalData'!BJ135)</f>
        <v/>
      </c>
      <c r="CG85" s="567" t="str">
        <f>+IF('5. GlobalData'!BK135="","",'5. GlobalData'!BK135)</f>
        <v/>
      </c>
      <c r="CH85" s="567" t="str">
        <f>+IF('5. GlobalData'!BL135="","",'5. GlobalData'!BL135)</f>
        <v/>
      </c>
      <c r="CI85" s="567" t="str">
        <f>+IF('5. GlobalData'!BM135="","",'5. GlobalData'!BM135)</f>
        <v/>
      </c>
      <c r="CJ85" s="567" t="str">
        <f>+IF('5. GlobalData'!BN135="","",'5. GlobalData'!BN135)</f>
        <v/>
      </c>
      <c r="CK85" s="567" t="str">
        <f>+IF('5. GlobalData'!BO135="","",'5. GlobalData'!BO135)</f>
        <v/>
      </c>
      <c r="CL85" s="567" t="str">
        <f>+IF('5. GlobalData'!BP135="","",'5. GlobalData'!BP135)</f>
        <v/>
      </c>
      <c r="CM85" s="567" t="str">
        <f>+IF('5. GlobalData'!BQ135="","",'5. GlobalData'!BQ135)</f>
        <v/>
      </c>
      <c r="CN85" s="567" t="str">
        <f>+IF('5. GlobalData'!BR135="","",'5. GlobalData'!BR135)</f>
        <v/>
      </c>
      <c r="CO85" s="568" t="str">
        <f>+IF('5. GlobalData'!BS135="","",'5. GlobalData'!BS135)</f>
        <v/>
      </c>
      <c r="CP85" s="569" t="str">
        <f t="shared" ref="CP85:DC85" si="150">+IF(CB85="","",CB85*$AH85)</f>
        <v/>
      </c>
      <c r="CQ85" s="570" t="str">
        <f t="shared" si="150"/>
        <v/>
      </c>
      <c r="CR85" s="570" t="str">
        <f t="shared" si="150"/>
        <v/>
      </c>
      <c r="CS85" s="570" t="str">
        <f t="shared" si="150"/>
        <v/>
      </c>
      <c r="CT85" s="570" t="str">
        <f t="shared" si="150"/>
        <v/>
      </c>
      <c r="CU85" s="570" t="str">
        <f t="shared" si="150"/>
        <v/>
      </c>
      <c r="CV85" s="570" t="str">
        <f t="shared" si="150"/>
        <v/>
      </c>
      <c r="CW85" s="570" t="str">
        <f t="shared" si="150"/>
        <v/>
      </c>
      <c r="CX85" s="570" t="str">
        <f t="shared" si="150"/>
        <v/>
      </c>
      <c r="CY85" s="570" t="str">
        <f t="shared" si="150"/>
        <v/>
      </c>
      <c r="CZ85" s="570" t="str">
        <f t="shared" si="150"/>
        <v/>
      </c>
      <c r="DA85" s="570" t="str">
        <f t="shared" si="150"/>
        <v/>
      </c>
      <c r="DB85" s="570" t="str">
        <f t="shared" si="150"/>
        <v/>
      </c>
      <c r="DC85" s="571" t="str">
        <f t="shared" si="150"/>
        <v/>
      </c>
      <c r="DD85" s="569">
        <v>9.5491849839365557</v>
      </c>
      <c r="DE85" s="570">
        <v>8.7975469211214641</v>
      </c>
      <c r="DF85" s="570">
        <v>9.1710754094693634</v>
      </c>
      <c r="DG85" s="570">
        <v>7.7206679314207314</v>
      </c>
      <c r="DH85" s="572">
        <f t="shared" ref="DH85:DH87" si="151">+DG85+(DI85-DG85)*(2027-2025)/(2030-2025)</f>
        <v>6.9250482043438293</v>
      </c>
      <c r="DI85" s="570">
        <v>5.7316186137284753</v>
      </c>
      <c r="DJ85" s="572">
        <f t="shared" ref="DJ85:DJ87" si="152">+DI85+(DK85-DI85)*(2033-2030)/(2035-2030)</f>
        <v>4.86647321568931</v>
      </c>
      <c r="DK85" s="570">
        <v>4.2897096169965332</v>
      </c>
      <c r="DL85" s="572">
        <f t="shared" ref="DL85:DL87" si="153">+DK85+(DM85-DK85)*(2037-2035)/(2040-2035)</f>
        <v>3.9319640225224832</v>
      </c>
      <c r="DM85" s="570">
        <v>3.3953456308114087</v>
      </c>
      <c r="DN85" s="572">
        <f t="shared" si="144"/>
        <v>2.9682362412096941</v>
      </c>
      <c r="DO85" s="570">
        <v>2.6834966481418845</v>
      </c>
      <c r="DP85" s="572">
        <f t="shared" si="145"/>
        <v>2.5447690578865614</v>
      </c>
      <c r="DQ85" s="571">
        <v>2.3366776725035767</v>
      </c>
    </row>
    <row r="86" spans="9:121" ht="15.75" customHeight="1" x14ac:dyDescent="0.25">
      <c r="I86" s="431" t="s">
        <v>1258</v>
      </c>
      <c r="J86" s="434" t="s">
        <v>1263</v>
      </c>
      <c r="K86" s="431">
        <v>21</v>
      </c>
      <c r="L86" s="434"/>
      <c r="M86" s="434" t="str">
        <f t="shared" si="35"/>
        <v>Medium Oil</v>
      </c>
      <c r="N86" s="575">
        <f t="shared" ref="N86:O86" si="154">Y54</f>
        <v>8.7564836170076354</v>
      </c>
      <c r="O86" s="576">
        <f t="shared" si="154"/>
        <v>0.43874352621703561</v>
      </c>
      <c r="P86" s="577">
        <f t="shared" si="37"/>
        <v>4.771426734578444E-2</v>
      </c>
      <c r="Q86" s="578">
        <f t="shared" si="38"/>
        <v>0.23786180586758954</v>
      </c>
      <c r="R86" s="579">
        <f t="shared" ref="R86:V86" si="155">T54</f>
        <v>0</v>
      </c>
      <c r="S86" s="579">
        <f t="shared" si="155"/>
        <v>5.7140945681870784E-3</v>
      </c>
      <c r="T86" s="579">
        <f t="shared" si="155"/>
        <v>0.4330294316488485</v>
      </c>
      <c r="U86" s="579">
        <f t="shared" si="155"/>
        <v>0.19516762578125896</v>
      </c>
      <c r="V86" s="579">
        <f t="shared" si="155"/>
        <v>0</v>
      </c>
      <c r="W86" s="580">
        <f t="shared" ref="W86:Y86" si="156">+IF($O86=0,"-",R86/$O86)</f>
        <v>0</v>
      </c>
      <c r="X86" s="580">
        <f t="shared" si="156"/>
        <v>1.302376952990175E-2</v>
      </c>
      <c r="Y86" s="580">
        <f t="shared" si="156"/>
        <v>0.98697623047009819</v>
      </c>
      <c r="Z86" s="580">
        <f t="shared" si="41"/>
        <v>0</v>
      </c>
      <c r="AA86" s="581">
        <f t="shared" si="42"/>
        <v>0.4507029118970462</v>
      </c>
      <c r="AB86" s="561">
        <f>+'5. GlobalData'!M25*1000*$D$21/1000</f>
        <v>91.97045401930994</v>
      </c>
      <c r="AC86" s="562">
        <f t="shared" si="43"/>
        <v>10.225363791944485</v>
      </c>
      <c r="AD86" s="563">
        <f t="shared" si="44"/>
        <v>87.582151188319415</v>
      </c>
      <c r="AE86" s="582">
        <f t="shared" si="45"/>
        <v>10.001977394008872</v>
      </c>
      <c r="AF86" s="563">
        <f t="shared" si="46"/>
        <v>4.3883028309905292</v>
      </c>
      <c r="AG86" s="565">
        <f t="shared" si="47"/>
        <v>10.001977394008872</v>
      </c>
      <c r="AH86" s="402">
        <f t="shared" si="48"/>
        <v>9.1952271432246704</v>
      </c>
      <c r="AI86" s="587">
        <v>1</v>
      </c>
      <c r="AJ86" s="588">
        <v>0.94704049844236715</v>
      </c>
      <c r="AK86" s="588">
        <v>0.80588711457796713</v>
      </c>
      <c r="AL86" s="588">
        <v>0.71178485866836716</v>
      </c>
      <c r="AM86" s="588">
        <v>0.59777107300839705</v>
      </c>
      <c r="AN86" s="588">
        <v>0.42675039451844166</v>
      </c>
      <c r="AO86" s="588">
        <v>0.34542971848145088</v>
      </c>
      <c r="AP86" s="588">
        <v>0.29121593445679034</v>
      </c>
      <c r="AQ86" s="588">
        <v>0.26192426881219244</v>
      </c>
      <c r="AR86" s="588">
        <v>0.21798677034529557</v>
      </c>
      <c r="AS86" s="588">
        <v>0.18906141405221516</v>
      </c>
      <c r="AT86" s="588">
        <v>0.16977784319016154</v>
      </c>
      <c r="AU86" s="588">
        <v>0.15044194242074826</v>
      </c>
      <c r="AV86" s="589">
        <v>0.12143809126662836</v>
      </c>
      <c r="AW86" s="590">
        <f t="shared" ref="AW86:BJ86" si="157">+IF(AI86="","",AI86*$AH86)</f>
        <v>9.1952271432246704</v>
      </c>
      <c r="AX86" s="591">
        <f t="shared" si="157"/>
        <v>8.7082524970102764</v>
      </c>
      <c r="AY86" s="591">
        <f t="shared" si="157"/>
        <v>7.4103150703423335</v>
      </c>
      <c r="AZ86" s="591">
        <f t="shared" si="157"/>
        <v>6.5450234525637052</v>
      </c>
      <c r="BA86" s="591">
        <f t="shared" si="157"/>
        <v>5.4966407959613486</v>
      </c>
      <c r="BB86" s="591">
        <f t="shared" si="157"/>
        <v>3.9240668110578114</v>
      </c>
      <c r="BC86" s="591">
        <f t="shared" si="157"/>
        <v>3.1763047234570938</v>
      </c>
      <c r="BD86" s="591">
        <f t="shared" si="157"/>
        <v>2.677796665056615</v>
      </c>
      <c r="BE86" s="591">
        <f t="shared" si="157"/>
        <v>2.4084531460511469</v>
      </c>
      <c r="BF86" s="591">
        <f t="shared" si="157"/>
        <v>2.0044378675429444</v>
      </c>
      <c r="BG86" s="591">
        <f t="shared" si="157"/>
        <v>1.7384626462293669</v>
      </c>
      <c r="BH86" s="591">
        <f t="shared" si="157"/>
        <v>1.5611458320203151</v>
      </c>
      <c r="BI86" s="591">
        <f t="shared" si="157"/>
        <v>1.3833478324267074</v>
      </c>
      <c r="BJ86" s="592">
        <f t="shared" si="157"/>
        <v>1.1166508330362959</v>
      </c>
      <c r="BK86" s="569">
        <v>9.1952271432246704</v>
      </c>
      <c r="BL86" s="570">
        <v>8.7082524970102764</v>
      </c>
      <c r="BM86" s="572">
        <v>7.4103150703423335</v>
      </c>
      <c r="BN86" s="570">
        <v>6.5450234525637052</v>
      </c>
      <c r="BO86" s="572">
        <v>5.4966407959613486</v>
      </c>
      <c r="BP86" s="570">
        <v>3.9240668110578114</v>
      </c>
      <c r="BQ86" s="572">
        <v>3.1763047234570938</v>
      </c>
      <c r="BR86" s="570">
        <v>2.677796665056615</v>
      </c>
      <c r="BS86" s="572">
        <v>2.4084531460511469</v>
      </c>
      <c r="BT86" s="570">
        <v>2.0044378675429444</v>
      </c>
      <c r="BU86" s="572">
        <v>1.7384626462293669</v>
      </c>
      <c r="BV86" s="570">
        <v>1.5611458320203151</v>
      </c>
      <c r="BW86" s="572">
        <v>1.3833478324267074</v>
      </c>
      <c r="BX86" s="571">
        <v>1.1166508330362959</v>
      </c>
      <c r="BY86" s="400"/>
      <c r="BZ86" s="400"/>
      <c r="CA86" s="400"/>
      <c r="CB86" s="587" t="str">
        <f>+IF('5. GlobalData'!BF136="","",'5. GlobalData'!BF136)</f>
        <v/>
      </c>
      <c r="CC86" s="588" t="str">
        <f>+IF('5. GlobalData'!BG136="","",'5. GlobalData'!BG136)</f>
        <v/>
      </c>
      <c r="CD86" s="588" t="str">
        <f>+IF('5. GlobalData'!BH136="","",'5. GlobalData'!BH136)</f>
        <v/>
      </c>
      <c r="CE86" s="588" t="str">
        <f>+IF('5. GlobalData'!BI136="","",'5. GlobalData'!BI136)</f>
        <v/>
      </c>
      <c r="CF86" s="588" t="str">
        <f>+IF('5. GlobalData'!BJ136="","",'5. GlobalData'!BJ136)</f>
        <v/>
      </c>
      <c r="CG86" s="588" t="str">
        <f>+IF('5. GlobalData'!BK136="","",'5. GlobalData'!BK136)</f>
        <v/>
      </c>
      <c r="CH86" s="588" t="str">
        <f>+IF('5. GlobalData'!BL136="","",'5. GlobalData'!BL136)</f>
        <v/>
      </c>
      <c r="CI86" s="588" t="str">
        <f>+IF('5. GlobalData'!BM136="","",'5. GlobalData'!BM136)</f>
        <v/>
      </c>
      <c r="CJ86" s="588" t="str">
        <f>+IF('5. GlobalData'!BN136="","",'5. GlobalData'!BN136)</f>
        <v/>
      </c>
      <c r="CK86" s="588" t="str">
        <f>+IF('5. GlobalData'!BO136="","",'5. GlobalData'!BO136)</f>
        <v/>
      </c>
      <c r="CL86" s="588" t="str">
        <f>+IF('5. GlobalData'!BP136="","",'5. GlobalData'!BP136)</f>
        <v/>
      </c>
      <c r="CM86" s="588" t="str">
        <f>+IF('5. GlobalData'!BQ136="","",'5. GlobalData'!BQ136)</f>
        <v/>
      </c>
      <c r="CN86" s="588" t="str">
        <f>+IF('5. GlobalData'!BR136="","",'5. GlobalData'!BR136)</f>
        <v/>
      </c>
      <c r="CO86" s="589" t="str">
        <f>+IF('5. GlobalData'!BS136="","",'5. GlobalData'!BS136)</f>
        <v/>
      </c>
      <c r="CP86" s="590" t="str">
        <f t="shared" ref="CP86:DC86" si="158">+IF(CB86="","",CB86*$AH86)</f>
        <v/>
      </c>
      <c r="CQ86" s="591" t="str">
        <f t="shared" si="158"/>
        <v/>
      </c>
      <c r="CR86" s="591" t="str">
        <f t="shared" si="158"/>
        <v/>
      </c>
      <c r="CS86" s="591" t="str">
        <f t="shared" si="158"/>
        <v/>
      </c>
      <c r="CT86" s="591" t="str">
        <f t="shared" si="158"/>
        <v/>
      </c>
      <c r="CU86" s="591" t="str">
        <f t="shared" si="158"/>
        <v/>
      </c>
      <c r="CV86" s="591" t="str">
        <f t="shared" si="158"/>
        <v/>
      </c>
      <c r="CW86" s="591" t="str">
        <f t="shared" si="158"/>
        <v/>
      </c>
      <c r="CX86" s="591" t="str">
        <f t="shared" si="158"/>
        <v/>
      </c>
      <c r="CY86" s="591" t="str">
        <f t="shared" si="158"/>
        <v/>
      </c>
      <c r="CZ86" s="591" t="str">
        <f t="shared" si="158"/>
        <v/>
      </c>
      <c r="DA86" s="591" t="str">
        <f t="shared" si="158"/>
        <v/>
      </c>
      <c r="DB86" s="591" t="str">
        <f t="shared" si="158"/>
        <v/>
      </c>
      <c r="DC86" s="592" t="str">
        <f t="shared" si="158"/>
        <v/>
      </c>
      <c r="DD86" s="569">
        <v>9.1952271432246704</v>
      </c>
      <c r="DE86" s="570">
        <v>8.7082524970102764</v>
      </c>
      <c r="DF86" s="572">
        <f>+DE86+(DG86-DE86)*(2023-2020)/(2025-2020)</f>
        <v>7.4103150703423335</v>
      </c>
      <c r="DG86" s="570">
        <v>6.5450234525637052</v>
      </c>
      <c r="DH86" s="572">
        <f t="shared" si="151"/>
        <v>5.4966407959613477</v>
      </c>
      <c r="DI86" s="570">
        <v>3.9240668110578114</v>
      </c>
      <c r="DJ86" s="572">
        <f t="shared" si="152"/>
        <v>3.1763047234570934</v>
      </c>
      <c r="DK86" s="570">
        <v>2.677796665056615</v>
      </c>
      <c r="DL86" s="572">
        <f t="shared" si="153"/>
        <v>2.4084531460511469</v>
      </c>
      <c r="DM86" s="570">
        <v>2.0044378675429444</v>
      </c>
      <c r="DN86" s="572">
        <f t="shared" si="144"/>
        <v>1.7384626462293669</v>
      </c>
      <c r="DO86" s="570">
        <v>1.5611458320203151</v>
      </c>
      <c r="DP86" s="572">
        <f t="shared" si="145"/>
        <v>1.3833478324267074</v>
      </c>
      <c r="DQ86" s="571">
        <v>1.1166508330362959</v>
      </c>
    </row>
    <row r="87" spans="9:121" ht="15.75" customHeight="1" x14ac:dyDescent="0.25">
      <c r="I87" s="432" t="s">
        <v>1266</v>
      </c>
      <c r="J87" s="440" t="s">
        <v>1267</v>
      </c>
      <c r="K87" s="431" t="s">
        <v>1101</v>
      </c>
      <c r="L87" s="434" t="s">
        <v>7</v>
      </c>
      <c r="M87" s="434" t="s">
        <v>1398</v>
      </c>
      <c r="N87" s="575">
        <f t="shared" ref="N87:O87" si="159">Y55</f>
        <v>0</v>
      </c>
      <c r="O87" s="576">
        <f t="shared" si="159"/>
        <v>1.0840525806313783</v>
      </c>
      <c r="P87" s="577">
        <f t="shared" si="37"/>
        <v>1</v>
      </c>
      <c r="Q87" s="578">
        <f t="shared" si="38"/>
        <v>1.0840525806313783</v>
      </c>
      <c r="R87" s="579">
        <f t="shared" ref="R87:V87" si="160">T55</f>
        <v>0</v>
      </c>
      <c r="S87" s="579">
        <f t="shared" si="160"/>
        <v>0</v>
      </c>
      <c r="T87" s="579">
        <f t="shared" si="160"/>
        <v>0</v>
      </c>
      <c r="U87" s="579">
        <f t="shared" si="160"/>
        <v>0</v>
      </c>
      <c r="V87" s="579">
        <f t="shared" si="160"/>
        <v>1.0840525806313783</v>
      </c>
      <c r="W87" s="580">
        <f t="shared" ref="W87:Y87" si="161">+IF($O87=0,"-",R87/$O87)</f>
        <v>0</v>
      </c>
      <c r="X87" s="580">
        <f t="shared" si="161"/>
        <v>0</v>
      </c>
      <c r="Y87" s="580">
        <f t="shared" si="161"/>
        <v>0</v>
      </c>
      <c r="Z87" s="580">
        <f t="shared" si="41"/>
        <v>1</v>
      </c>
      <c r="AA87" s="581" t="str">
        <f t="shared" si="42"/>
        <v>-</v>
      </c>
      <c r="AB87" s="593">
        <f>+'5. GlobalData'!M26*1000*$D$21/1000</f>
        <v>18.26524302843664</v>
      </c>
      <c r="AC87" s="562">
        <f t="shared" si="43"/>
        <v>16.849037910871928</v>
      </c>
      <c r="AD87" s="563">
        <f t="shared" si="44"/>
        <v>0</v>
      </c>
      <c r="AE87" s="582" t="str">
        <f t="shared" si="45"/>
        <v>-</v>
      </c>
      <c r="AF87" s="563">
        <f t="shared" si="46"/>
        <v>18.26524302843664</v>
      </c>
      <c r="AG87" s="565">
        <f t="shared" si="47"/>
        <v>16.849037910871928</v>
      </c>
      <c r="AH87" s="402">
        <f t="shared" si="48"/>
        <v>1.0840525806313783</v>
      </c>
      <c r="AI87" s="587">
        <v>1</v>
      </c>
      <c r="AJ87" s="588">
        <v>1.0390480978716272</v>
      </c>
      <c r="AK87" s="588">
        <v>1.3359189829778064</v>
      </c>
      <c r="AL87" s="588">
        <v>1.1300246594364241</v>
      </c>
      <c r="AM87" s="588">
        <v>0.99020804903157833</v>
      </c>
      <c r="AN87" s="588">
        <v>0.78048313342430964</v>
      </c>
      <c r="AO87" s="588">
        <v>0.63396298690416331</v>
      </c>
      <c r="AP87" s="588">
        <v>0.53628288922406575</v>
      </c>
      <c r="AQ87" s="588">
        <v>0.47116282410400068</v>
      </c>
      <c r="AR87" s="588">
        <v>0.37348272642390301</v>
      </c>
      <c r="AS87" s="588">
        <v>0.30453206923795167</v>
      </c>
      <c r="AT87" s="588">
        <v>0.25856496444731747</v>
      </c>
      <c r="AU87" s="588">
        <v>0.2279202279202279</v>
      </c>
      <c r="AV87" s="589">
        <v>0.18195312312959355</v>
      </c>
      <c r="AW87" s="590">
        <f t="shared" ref="AW87:BJ87" si="162">+IF(AI87="","",AI87*$AH87)</f>
        <v>1.0840525806313783</v>
      </c>
      <c r="AX87" s="591">
        <f t="shared" si="162"/>
        <v>1.1263827718978625</v>
      </c>
      <c r="AY87" s="591">
        <f t="shared" si="162"/>
        <v>1.4482064210115375</v>
      </c>
      <c r="AZ87" s="591">
        <f t="shared" si="162"/>
        <v>1.2250061482391499</v>
      </c>
      <c r="BA87" s="591">
        <f t="shared" si="162"/>
        <v>1.073437590914645</v>
      </c>
      <c r="BB87" s="591">
        <f t="shared" si="162"/>
        <v>0.84608475492788726</v>
      </c>
      <c r="BC87" s="591">
        <f t="shared" si="162"/>
        <v>0.68724921197823496</v>
      </c>
      <c r="BD87" s="591">
        <f t="shared" si="162"/>
        <v>0.5813588500118001</v>
      </c>
      <c r="BE87" s="591">
        <f t="shared" si="162"/>
        <v>0.51076527536751015</v>
      </c>
      <c r="BF87" s="591">
        <f t="shared" si="162"/>
        <v>0.40487491340107512</v>
      </c>
      <c r="BG87" s="591">
        <f t="shared" si="162"/>
        <v>0.3301287755424151</v>
      </c>
      <c r="BH87" s="591">
        <f t="shared" si="162"/>
        <v>0.28029801696997508</v>
      </c>
      <c r="BI87" s="591">
        <f t="shared" si="162"/>
        <v>0.24707751125501498</v>
      </c>
      <c r="BJ87" s="592">
        <f t="shared" si="162"/>
        <v>0.19724675268257483</v>
      </c>
      <c r="BK87" s="594">
        <v>1.0840525806313783</v>
      </c>
      <c r="BL87" s="595">
        <v>1.1263827718978625</v>
      </c>
      <c r="BM87" s="595">
        <v>1.4482064210115375</v>
      </c>
      <c r="BN87" s="595">
        <v>1.2250061482391499</v>
      </c>
      <c r="BO87" s="596">
        <v>1.073437590914645</v>
      </c>
      <c r="BP87" s="595">
        <v>0.84608475492788726</v>
      </c>
      <c r="BQ87" s="596">
        <v>0.68724921197823496</v>
      </c>
      <c r="BR87" s="595">
        <v>0.5813588500118001</v>
      </c>
      <c r="BS87" s="596">
        <v>0.51076527536751015</v>
      </c>
      <c r="BT87" s="595">
        <v>0.40487491340107512</v>
      </c>
      <c r="BU87" s="596">
        <v>0.3301287755424151</v>
      </c>
      <c r="BV87" s="595">
        <v>0.28029801696997508</v>
      </c>
      <c r="BW87" s="596">
        <v>0.24707751125501498</v>
      </c>
      <c r="BX87" s="597">
        <v>0.19724675268257483</v>
      </c>
      <c r="BY87" s="400"/>
      <c r="BZ87" s="400"/>
      <c r="CA87" s="400"/>
      <c r="CB87" s="587" t="str">
        <f>+IF('5. GlobalData'!BF137="","",'5. GlobalData'!BF137)</f>
        <v/>
      </c>
      <c r="CC87" s="588" t="str">
        <f>+IF('5. GlobalData'!BG137="","",'5. GlobalData'!BG137)</f>
        <v/>
      </c>
      <c r="CD87" s="588" t="str">
        <f>+IF('5. GlobalData'!BH137="","",'5. GlobalData'!BH137)</f>
        <v/>
      </c>
      <c r="CE87" s="588" t="str">
        <f>+IF('5. GlobalData'!BI137="","",'5. GlobalData'!BI137)</f>
        <v/>
      </c>
      <c r="CF87" s="588" t="str">
        <f>+IF('5. GlobalData'!BJ137="","",'5. GlobalData'!BJ137)</f>
        <v/>
      </c>
      <c r="CG87" s="588" t="str">
        <f>+IF('5. GlobalData'!BK137="","",'5. GlobalData'!BK137)</f>
        <v/>
      </c>
      <c r="CH87" s="588" t="str">
        <f>+IF('5. GlobalData'!BL137="","",'5. GlobalData'!BL137)</f>
        <v/>
      </c>
      <c r="CI87" s="588" t="str">
        <f>+IF('5. GlobalData'!BM137="","",'5. GlobalData'!BM137)</f>
        <v/>
      </c>
      <c r="CJ87" s="588" t="str">
        <f>+IF('5. GlobalData'!BN137="","",'5. GlobalData'!BN137)</f>
        <v/>
      </c>
      <c r="CK87" s="588" t="str">
        <f>+IF('5. GlobalData'!BO137="","",'5. GlobalData'!BO137)</f>
        <v/>
      </c>
      <c r="CL87" s="588" t="str">
        <f>+IF('5. GlobalData'!BP137="","",'5. GlobalData'!BP137)</f>
        <v/>
      </c>
      <c r="CM87" s="588" t="str">
        <f>+IF('5. GlobalData'!BQ137="","",'5. GlobalData'!BQ137)</f>
        <v/>
      </c>
      <c r="CN87" s="588" t="str">
        <f>+IF('5. GlobalData'!BR137="","",'5. GlobalData'!BR137)</f>
        <v/>
      </c>
      <c r="CO87" s="589" t="str">
        <f>+IF('5. GlobalData'!BS137="","",'5. GlobalData'!BS137)</f>
        <v/>
      </c>
      <c r="CP87" s="590" t="str">
        <f t="shared" ref="CP87:DC87" si="163">+IF(CB87="","",CB87*$AH87)</f>
        <v/>
      </c>
      <c r="CQ87" s="591" t="str">
        <f t="shared" si="163"/>
        <v/>
      </c>
      <c r="CR87" s="591" t="str">
        <f t="shared" si="163"/>
        <v/>
      </c>
      <c r="CS87" s="591" t="str">
        <f t="shared" si="163"/>
        <v/>
      </c>
      <c r="CT87" s="591" t="str">
        <f t="shared" si="163"/>
        <v/>
      </c>
      <c r="CU87" s="591" t="str">
        <f t="shared" si="163"/>
        <v/>
      </c>
      <c r="CV87" s="591" t="str">
        <f t="shared" si="163"/>
        <v/>
      </c>
      <c r="CW87" s="591" t="str">
        <f t="shared" si="163"/>
        <v/>
      </c>
      <c r="CX87" s="591" t="str">
        <f t="shared" si="163"/>
        <v/>
      </c>
      <c r="CY87" s="591" t="str">
        <f t="shared" si="163"/>
        <v/>
      </c>
      <c r="CZ87" s="591" t="str">
        <f t="shared" si="163"/>
        <v/>
      </c>
      <c r="DA87" s="591" t="str">
        <f t="shared" si="163"/>
        <v/>
      </c>
      <c r="DB87" s="591" t="str">
        <f t="shared" si="163"/>
        <v/>
      </c>
      <c r="DC87" s="592" t="str">
        <f t="shared" si="163"/>
        <v/>
      </c>
      <c r="DD87" s="594">
        <v>1.0840525806313783</v>
      </c>
      <c r="DE87" s="595">
        <v>1.1263827718978625</v>
      </c>
      <c r="DF87" s="595">
        <v>1.4482064210115375</v>
      </c>
      <c r="DG87" s="595">
        <v>1.2250061482391499</v>
      </c>
      <c r="DH87" s="596">
        <f t="shared" si="151"/>
        <v>1.0734375909146447</v>
      </c>
      <c r="DI87" s="595">
        <v>0.84608475492788726</v>
      </c>
      <c r="DJ87" s="596">
        <f t="shared" si="152"/>
        <v>0.68724921197823496</v>
      </c>
      <c r="DK87" s="595">
        <v>0.5813588500118001</v>
      </c>
      <c r="DL87" s="596">
        <f t="shared" si="153"/>
        <v>0.51076527536751015</v>
      </c>
      <c r="DM87" s="595">
        <v>0.40487491340107512</v>
      </c>
      <c r="DN87" s="596">
        <f t="shared" si="144"/>
        <v>0.3301287755424151</v>
      </c>
      <c r="DO87" s="595">
        <v>0.28029801696997508</v>
      </c>
      <c r="DP87" s="596">
        <f t="shared" si="145"/>
        <v>0.24707751125501498</v>
      </c>
      <c r="DQ87" s="597">
        <v>0.19724675268257483</v>
      </c>
    </row>
    <row r="88" spans="9:121" ht="15.75" customHeight="1" x14ac:dyDescent="0.25">
      <c r="I88" s="432" t="s">
        <v>1266</v>
      </c>
      <c r="J88" s="440" t="s">
        <v>1270</v>
      </c>
      <c r="K88" s="431" t="s">
        <v>1101</v>
      </c>
      <c r="L88" s="434" t="s">
        <v>7</v>
      </c>
      <c r="M88" s="434" t="s">
        <v>1398</v>
      </c>
      <c r="N88" s="583">
        <f t="shared" ref="N88:O88" si="164">Y56</f>
        <v>1.3579511620070052E-2</v>
      </c>
      <c r="O88" s="576">
        <f t="shared" si="164"/>
        <v>2.2925734862295029</v>
      </c>
      <c r="P88" s="577">
        <f t="shared" si="37"/>
        <v>0.99411161721154995</v>
      </c>
      <c r="Q88" s="578">
        <f t="shared" si="38"/>
        <v>2.2440339691202391</v>
      </c>
      <c r="R88" s="579">
        <f t="shared" ref="R88:V88" si="165">T56</f>
        <v>4.2906187128613207E-3</v>
      </c>
      <c r="S88" s="579">
        <f t="shared" si="165"/>
        <v>4.4248898396402753E-2</v>
      </c>
      <c r="T88" s="579">
        <f t="shared" si="165"/>
        <v>0</v>
      </c>
      <c r="U88" s="579">
        <f t="shared" si="165"/>
        <v>0</v>
      </c>
      <c r="V88" s="579">
        <f t="shared" si="165"/>
        <v>2.2440339691202391</v>
      </c>
      <c r="W88" s="580">
        <f t="shared" ref="W88:Y88" si="166">+IF($O88=0,"-",R88/$O88)</f>
        <v>1.8715294138369877E-3</v>
      </c>
      <c r="X88" s="580">
        <f t="shared" si="166"/>
        <v>1.9300972754935336E-2</v>
      </c>
      <c r="Y88" s="580">
        <f t="shared" si="166"/>
        <v>0</v>
      </c>
      <c r="Z88" s="580">
        <f t="shared" si="41"/>
        <v>0.9788274978312278</v>
      </c>
      <c r="AA88" s="581" t="str">
        <f t="shared" si="42"/>
        <v>-</v>
      </c>
      <c r="AB88" s="593">
        <f>+'5. GlobalData'!M27*1000*$D$21/1000</f>
        <v>24.410274168000001</v>
      </c>
      <c r="AC88" s="562">
        <f t="shared" si="43"/>
        <v>10.81242399385189</v>
      </c>
      <c r="AD88" s="598">
        <f t="shared" si="44"/>
        <v>0.14373703827219958</v>
      </c>
      <c r="AE88" s="582">
        <f t="shared" si="45"/>
        <v>10.5848459277255</v>
      </c>
      <c r="AF88" s="563">
        <f t="shared" si="46"/>
        <v>24.266537129727801</v>
      </c>
      <c r="AG88" s="565">
        <f t="shared" si="47"/>
        <v>10.584845927725498</v>
      </c>
      <c r="AH88" s="402">
        <f t="shared" si="48"/>
        <v>2.3061529978495727</v>
      </c>
      <c r="AI88" s="587">
        <v>1</v>
      </c>
      <c r="AJ88" s="588">
        <v>0.96350436681900098</v>
      </c>
      <c r="AK88" s="588">
        <v>0.95578856498458908</v>
      </c>
      <c r="AL88" s="588">
        <v>0.79066894578459357</v>
      </c>
      <c r="AM88" s="588">
        <v>0.64750687806795737</v>
      </c>
      <c r="AN88" s="588">
        <v>0.47856950639927948</v>
      </c>
      <c r="AO88" s="588">
        <v>0.35727009383312897</v>
      </c>
      <c r="AP88" s="588">
        <v>0.30204772781862993</v>
      </c>
      <c r="AQ88" s="588">
        <v>0.24685456067578454</v>
      </c>
      <c r="AR88" s="588">
        <v>0.19152999861049871</v>
      </c>
      <c r="AS88" s="588">
        <v>0.14718421228689244</v>
      </c>
      <c r="AT88" s="588">
        <v>0.12494927152282567</v>
      </c>
      <c r="AU88" s="588">
        <v>0.10271433075875916</v>
      </c>
      <c r="AV88" s="589">
        <v>6.9361919612657696E-2</v>
      </c>
      <c r="AW88" s="590">
        <f t="shared" ref="AW88:BJ88" si="167">+IF(AI88="","",AI88*$AH88)</f>
        <v>2.3061529978495727</v>
      </c>
      <c r="AX88" s="591">
        <f t="shared" si="167"/>
        <v>2.2219884839807933</v>
      </c>
      <c r="AY88" s="591">
        <f t="shared" si="167"/>
        <v>2.2041946644495511</v>
      </c>
      <c r="AZ88" s="591">
        <f t="shared" si="167"/>
        <v>1.8234035596277018</v>
      </c>
      <c r="BA88" s="591">
        <f t="shared" si="167"/>
        <v>1.4932499279846376</v>
      </c>
      <c r="BB88" s="591">
        <f t="shared" si="167"/>
        <v>1.1036545018620887</v>
      </c>
      <c r="BC88" s="591">
        <f t="shared" si="167"/>
        <v>0.82391949793526853</v>
      </c>
      <c r="BD88" s="591">
        <f t="shared" si="167"/>
        <v>0.69656827300258517</v>
      </c>
      <c r="BE88" s="591">
        <f t="shared" si="167"/>
        <v>0.56928438513529978</v>
      </c>
      <c r="BF88" s="591">
        <f t="shared" si="167"/>
        <v>0.44169748047372609</v>
      </c>
      <c r="BG88" s="591">
        <f t="shared" si="167"/>
        <v>0.33942931240154489</v>
      </c>
      <c r="BH88" s="591">
        <f t="shared" si="167"/>
        <v>0.28815213710148468</v>
      </c>
      <c r="BI88" s="591">
        <f t="shared" si="167"/>
        <v>0.236874961801425</v>
      </c>
      <c r="BJ88" s="592">
        <f t="shared" si="167"/>
        <v>0.15995919885133161</v>
      </c>
      <c r="BK88" s="569">
        <v>2.3061529978495727</v>
      </c>
      <c r="BL88" s="570">
        <v>2.2219884839807933</v>
      </c>
      <c r="BM88" s="570">
        <v>2.2041946644495511</v>
      </c>
      <c r="BN88" s="570">
        <v>1.8234035596277018</v>
      </c>
      <c r="BO88" s="570">
        <v>1.4932499279846376</v>
      </c>
      <c r="BP88" s="570">
        <v>1.1036545018620887</v>
      </c>
      <c r="BQ88" s="570">
        <v>0.82391949793526853</v>
      </c>
      <c r="BR88" s="570">
        <v>0.69656827300258517</v>
      </c>
      <c r="BS88" s="570">
        <v>0.56928438513529978</v>
      </c>
      <c r="BT88" s="570">
        <v>0.44169748047372609</v>
      </c>
      <c r="BU88" s="570">
        <v>0.33942931240154489</v>
      </c>
      <c r="BV88" s="570">
        <v>0.28815213710148468</v>
      </c>
      <c r="BW88" s="570">
        <v>0.236874961801425</v>
      </c>
      <c r="BX88" s="574">
        <v>0.15995919885133161</v>
      </c>
      <c r="BY88" s="400"/>
      <c r="BZ88" s="400"/>
      <c r="CA88" s="400"/>
      <c r="CB88" s="587" t="str">
        <f>+IF('5. GlobalData'!BF138="","",'5. GlobalData'!BF138)</f>
        <v/>
      </c>
      <c r="CC88" s="588" t="str">
        <f>+IF('5. GlobalData'!BG138="","",'5. GlobalData'!BG138)</f>
        <v/>
      </c>
      <c r="CD88" s="588" t="str">
        <f>+IF('5. GlobalData'!BH138="","",'5. GlobalData'!BH138)</f>
        <v/>
      </c>
      <c r="CE88" s="588" t="str">
        <f>+IF('5. GlobalData'!BI138="","",'5. GlobalData'!BI138)</f>
        <v/>
      </c>
      <c r="CF88" s="588" t="str">
        <f>+IF('5. GlobalData'!BJ138="","",'5. GlobalData'!BJ138)</f>
        <v/>
      </c>
      <c r="CG88" s="588" t="str">
        <f>+IF('5. GlobalData'!BK138="","",'5. GlobalData'!BK138)</f>
        <v/>
      </c>
      <c r="CH88" s="588" t="str">
        <f>+IF('5. GlobalData'!BL138="","",'5. GlobalData'!BL138)</f>
        <v/>
      </c>
      <c r="CI88" s="588" t="str">
        <f>+IF('5. GlobalData'!BM138="","",'5. GlobalData'!BM138)</f>
        <v/>
      </c>
      <c r="CJ88" s="588" t="str">
        <f>+IF('5. GlobalData'!BN138="","",'5. GlobalData'!BN138)</f>
        <v/>
      </c>
      <c r="CK88" s="588" t="str">
        <f>+IF('5. GlobalData'!BO138="","",'5. GlobalData'!BO138)</f>
        <v/>
      </c>
      <c r="CL88" s="588" t="str">
        <f>+IF('5. GlobalData'!BP138="","",'5. GlobalData'!BP138)</f>
        <v/>
      </c>
      <c r="CM88" s="588" t="str">
        <f>+IF('5. GlobalData'!BQ138="","",'5. GlobalData'!BQ138)</f>
        <v/>
      </c>
      <c r="CN88" s="588" t="str">
        <f>+IF('5. GlobalData'!BR138="","",'5. GlobalData'!BR138)</f>
        <v/>
      </c>
      <c r="CO88" s="589" t="str">
        <f>+IF('5. GlobalData'!BS138="","",'5. GlobalData'!BS138)</f>
        <v/>
      </c>
      <c r="CP88" s="590" t="str">
        <f t="shared" ref="CP88:DC88" si="168">+IF(CB88="","",CB88*$AH88)</f>
        <v/>
      </c>
      <c r="CQ88" s="591" t="str">
        <f t="shared" si="168"/>
        <v/>
      </c>
      <c r="CR88" s="591" t="str">
        <f t="shared" si="168"/>
        <v/>
      </c>
      <c r="CS88" s="591" t="str">
        <f t="shared" si="168"/>
        <v/>
      </c>
      <c r="CT88" s="591" t="str">
        <f t="shared" si="168"/>
        <v/>
      </c>
      <c r="CU88" s="591" t="str">
        <f t="shared" si="168"/>
        <v/>
      </c>
      <c r="CV88" s="591" t="str">
        <f t="shared" si="168"/>
        <v/>
      </c>
      <c r="CW88" s="591" t="str">
        <f t="shared" si="168"/>
        <v/>
      </c>
      <c r="CX88" s="591" t="str">
        <f t="shared" si="168"/>
        <v/>
      </c>
      <c r="CY88" s="591" t="str">
        <f t="shared" si="168"/>
        <v/>
      </c>
      <c r="CZ88" s="591" t="str">
        <f t="shared" si="168"/>
        <v/>
      </c>
      <c r="DA88" s="591" t="str">
        <f t="shared" si="168"/>
        <v/>
      </c>
      <c r="DB88" s="591" t="str">
        <f t="shared" si="168"/>
        <v/>
      </c>
      <c r="DC88" s="592" t="str">
        <f t="shared" si="168"/>
        <v/>
      </c>
      <c r="DD88" s="569">
        <v>2.2925734862295029</v>
      </c>
      <c r="DE88" s="570">
        <v>2.2089045652355868</v>
      </c>
      <c r="DF88" s="570">
        <v>2.1912155225250132</v>
      </c>
      <c r="DG88" s="570">
        <v>1.8126666614907914</v>
      </c>
      <c r="DH88" s="570">
        <v>1.4844571008098386</v>
      </c>
      <c r="DI88" s="570">
        <v>1.0971557616889285</v>
      </c>
      <c r="DJ88" s="570">
        <v>0.81906794454455811</v>
      </c>
      <c r="DK88" s="570">
        <v>0.69246661237285645</v>
      </c>
      <c r="DL88" s="570">
        <v>0.56593222076013572</v>
      </c>
      <c r="DM88" s="570">
        <v>0.4390965966320029</v>
      </c>
      <c r="DN88" s="570">
        <v>0.33743062268050422</v>
      </c>
      <c r="DO88" s="570">
        <v>0.28645538701692119</v>
      </c>
      <c r="DP88" s="570">
        <v>0.23548015135333875</v>
      </c>
      <c r="DQ88" s="574" t="s">
        <v>1443</v>
      </c>
    </row>
    <row r="89" spans="9:121" ht="15.75" customHeight="1" x14ac:dyDescent="0.25">
      <c r="I89" s="432" t="s">
        <v>1266</v>
      </c>
      <c r="J89" s="440" t="s">
        <v>1271</v>
      </c>
      <c r="K89" s="431" t="s">
        <v>1101</v>
      </c>
      <c r="L89" s="434" t="s">
        <v>7</v>
      </c>
      <c r="M89" s="434" t="s">
        <v>1398</v>
      </c>
      <c r="N89" s="583">
        <f t="shared" ref="N89:O89" si="169">Y57</f>
        <v>6.1343436802343387E-2</v>
      </c>
      <c r="O89" s="576">
        <f t="shared" si="169"/>
        <v>10.354312893772342</v>
      </c>
      <c r="P89" s="577">
        <f t="shared" si="37"/>
        <v>0.99411045882703797</v>
      </c>
      <c r="Q89" s="578">
        <f t="shared" si="38"/>
        <v>10.137571027545471</v>
      </c>
      <c r="R89" s="579">
        <f t="shared" ref="R89:V89" si="170">T57</f>
        <v>1.8616237427097122E-2</v>
      </c>
      <c r="S89" s="579">
        <f t="shared" si="170"/>
        <v>0.19812562879977277</v>
      </c>
      <c r="T89" s="579">
        <f t="shared" si="170"/>
        <v>0</v>
      </c>
      <c r="U89" s="579">
        <f t="shared" si="170"/>
        <v>0</v>
      </c>
      <c r="V89" s="579">
        <f t="shared" si="170"/>
        <v>10.137571027545471</v>
      </c>
      <c r="W89" s="580">
        <f t="shared" ref="W89:Y89" si="171">+IF($O89=0,"-",R89/$O89)</f>
        <v>1.79792108062467E-3</v>
      </c>
      <c r="X89" s="580">
        <f t="shared" si="171"/>
        <v>1.913459935317741E-2</v>
      </c>
      <c r="Y89" s="580">
        <f t="shared" si="171"/>
        <v>0</v>
      </c>
      <c r="Z89" s="580">
        <f t="shared" si="41"/>
        <v>0.97906747956619788</v>
      </c>
      <c r="AA89" s="581" t="str">
        <f t="shared" si="42"/>
        <v>-</v>
      </c>
      <c r="AB89" s="593">
        <f>+'5. GlobalData'!M28*1000*$D$21/1000</f>
        <v>115.07700679200001</v>
      </c>
      <c r="AC89" s="562">
        <f t="shared" si="43"/>
        <v>11.283260311111825</v>
      </c>
      <c r="AD89" s="598">
        <f t="shared" si="44"/>
        <v>0.67775076956272806</v>
      </c>
      <c r="AE89" s="582">
        <f t="shared" si="45"/>
        <v>11.048464267604212</v>
      </c>
      <c r="AF89" s="563">
        <f t="shared" si="46"/>
        <v>114.39925602243729</v>
      </c>
      <c r="AG89" s="565">
        <f t="shared" si="47"/>
        <v>11.048464267604212</v>
      </c>
      <c r="AH89" s="402">
        <f t="shared" si="48"/>
        <v>10.415656330574684</v>
      </c>
      <c r="AI89" s="587">
        <v>1</v>
      </c>
      <c r="AJ89" s="588">
        <v>0.97993311036789299</v>
      </c>
      <c r="AK89" s="588">
        <v>0.95317725752508342</v>
      </c>
      <c r="AL89" s="588">
        <v>0.81270903010033435</v>
      </c>
      <c r="AM89" s="588">
        <v>0.69565217391304335</v>
      </c>
      <c r="AN89" s="588">
        <v>0.55183946488294311</v>
      </c>
      <c r="AO89" s="588">
        <v>0.45150501672240795</v>
      </c>
      <c r="AP89" s="588">
        <v>0.38795986622073569</v>
      </c>
      <c r="AQ89" s="588">
        <v>0.334448160535117</v>
      </c>
      <c r="AR89" s="588">
        <v>0.27090301003344475</v>
      </c>
      <c r="AS89" s="588">
        <v>0.20735785953177308</v>
      </c>
      <c r="AT89" s="588">
        <v>0.16499442586398799</v>
      </c>
      <c r="AU89" s="588">
        <v>0.12263099219620927</v>
      </c>
      <c r="AV89" s="589">
        <v>5.9085841694537997E-2</v>
      </c>
      <c r="AW89" s="590">
        <f t="shared" ref="AW89:BJ89" si="172">+IF(AI89="","",AI89*$AH89)</f>
        <v>10.415656330574684</v>
      </c>
      <c r="AX89" s="591">
        <f t="shared" si="172"/>
        <v>10.206646504543086</v>
      </c>
      <c r="AY89" s="591">
        <f t="shared" si="172"/>
        <v>9.9279667365009505</v>
      </c>
      <c r="AZ89" s="591">
        <f t="shared" si="172"/>
        <v>8.4648979542797598</v>
      </c>
      <c r="BA89" s="591">
        <f t="shared" si="172"/>
        <v>7.2456739690954315</v>
      </c>
      <c r="BB89" s="591">
        <f t="shared" si="172"/>
        <v>5.7477702158689725</v>
      </c>
      <c r="BC89" s="591">
        <f t="shared" si="172"/>
        <v>4.7027210857109774</v>
      </c>
      <c r="BD89" s="591">
        <f t="shared" si="172"/>
        <v>4.0408566366109131</v>
      </c>
      <c r="BE89" s="591">
        <f t="shared" si="172"/>
        <v>3.4834971005266495</v>
      </c>
      <c r="BF89" s="591">
        <f t="shared" si="172"/>
        <v>2.8216326514265861</v>
      </c>
      <c r="BG89" s="591">
        <f t="shared" si="172"/>
        <v>2.1597682023265286</v>
      </c>
      <c r="BH89" s="591">
        <f t="shared" si="172"/>
        <v>1.718525236259782</v>
      </c>
      <c r="BI89" s="591">
        <f t="shared" si="172"/>
        <v>1.2772822701931017</v>
      </c>
      <c r="BJ89" s="592">
        <f t="shared" si="172"/>
        <v>0.61541782109304832</v>
      </c>
      <c r="BK89" s="590">
        <v>10.415656330574684</v>
      </c>
      <c r="BL89" s="591">
        <v>10.206646504543086</v>
      </c>
      <c r="BM89" s="591">
        <v>9.9279667365009505</v>
      </c>
      <c r="BN89" s="591">
        <v>8.4648979542797598</v>
      </c>
      <c r="BO89" s="591">
        <v>7.2456739690954315</v>
      </c>
      <c r="BP89" s="591">
        <v>5.7477702158689725</v>
      </c>
      <c r="BQ89" s="591">
        <v>4.7027210857109774</v>
      </c>
      <c r="BR89" s="591">
        <v>4.0408566366109131</v>
      </c>
      <c r="BS89" s="591">
        <v>3.4834971005266495</v>
      </c>
      <c r="BT89" s="591">
        <v>2.8216326514265861</v>
      </c>
      <c r="BU89" s="599">
        <v>2.1597682023265286</v>
      </c>
      <c r="BV89" s="599">
        <v>1.718525236259782</v>
      </c>
      <c r="BW89" s="599">
        <v>1.2772822701931017</v>
      </c>
      <c r="BX89" s="600">
        <v>0.61541782109304832</v>
      </c>
      <c r="BY89" s="400"/>
      <c r="BZ89" s="400"/>
      <c r="CA89" s="400"/>
      <c r="CB89" s="587" t="str">
        <f>+IF('5. GlobalData'!BF139="","",'5. GlobalData'!BF139)</f>
        <v/>
      </c>
      <c r="CC89" s="588" t="str">
        <f>+IF('5. GlobalData'!BG139="","",'5. GlobalData'!BG139)</f>
        <v/>
      </c>
      <c r="CD89" s="588" t="str">
        <f>+IF('5. GlobalData'!BH139="","",'5. GlobalData'!BH139)</f>
        <v/>
      </c>
      <c r="CE89" s="588" t="str">
        <f>+IF('5. GlobalData'!BI139="","",'5. GlobalData'!BI139)</f>
        <v/>
      </c>
      <c r="CF89" s="588" t="str">
        <f>+IF('5. GlobalData'!BJ139="","",'5. GlobalData'!BJ139)</f>
        <v/>
      </c>
      <c r="CG89" s="588" t="str">
        <f>+IF('5. GlobalData'!BK139="","",'5. GlobalData'!BK139)</f>
        <v/>
      </c>
      <c r="CH89" s="588" t="str">
        <f>+IF('5. GlobalData'!BL139="","",'5. GlobalData'!BL139)</f>
        <v/>
      </c>
      <c r="CI89" s="588" t="str">
        <f>+IF('5. GlobalData'!BM139="","",'5. GlobalData'!BM139)</f>
        <v/>
      </c>
      <c r="CJ89" s="588" t="str">
        <f>+IF('5. GlobalData'!BN139="","",'5. GlobalData'!BN139)</f>
        <v/>
      </c>
      <c r="CK89" s="588" t="str">
        <f>+IF('5. GlobalData'!BO139="","",'5. GlobalData'!BO139)</f>
        <v/>
      </c>
      <c r="CL89" s="588" t="str">
        <f>+IF('5. GlobalData'!BP139="","",'5. GlobalData'!BP139)</f>
        <v/>
      </c>
      <c r="CM89" s="588" t="str">
        <f>+IF('5. GlobalData'!BQ139="","",'5. GlobalData'!BQ139)</f>
        <v/>
      </c>
      <c r="CN89" s="588" t="str">
        <f>+IF('5. GlobalData'!BR139="","",'5. GlobalData'!BR139)</f>
        <v/>
      </c>
      <c r="CO89" s="589" t="str">
        <f>+IF('5. GlobalData'!BS139="","",'5. GlobalData'!BS139)</f>
        <v/>
      </c>
      <c r="CP89" s="590" t="str">
        <f t="shared" ref="CP89:DC89" si="173">+IF(CB89="","",CB89*$AH89)</f>
        <v/>
      </c>
      <c r="CQ89" s="591" t="str">
        <f t="shared" si="173"/>
        <v/>
      </c>
      <c r="CR89" s="591" t="str">
        <f t="shared" si="173"/>
        <v/>
      </c>
      <c r="CS89" s="591" t="str">
        <f t="shared" si="173"/>
        <v/>
      </c>
      <c r="CT89" s="591" t="str">
        <f t="shared" si="173"/>
        <v/>
      </c>
      <c r="CU89" s="591" t="str">
        <f t="shared" si="173"/>
        <v/>
      </c>
      <c r="CV89" s="591" t="str">
        <f t="shared" si="173"/>
        <v/>
      </c>
      <c r="CW89" s="591" t="str">
        <f t="shared" si="173"/>
        <v/>
      </c>
      <c r="CX89" s="591" t="str">
        <f t="shared" si="173"/>
        <v/>
      </c>
      <c r="CY89" s="591" t="str">
        <f t="shared" si="173"/>
        <v/>
      </c>
      <c r="CZ89" s="591" t="str">
        <f t="shared" si="173"/>
        <v/>
      </c>
      <c r="DA89" s="591" t="str">
        <f t="shared" si="173"/>
        <v/>
      </c>
      <c r="DB89" s="591" t="str">
        <f t="shared" si="173"/>
        <v/>
      </c>
      <c r="DC89" s="592" t="str">
        <f t="shared" si="173"/>
        <v/>
      </c>
      <c r="DD89" s="590">
        <v>10.354312893772342</v>
      </c>
      <c r="DE89" s="591">
        <v>10.146534039716709</v>
      </c>
      <c r="DF89" s="591">
        <v>9.8694955676425309</v>
      </c>
      <c r="DG89" s="591">
        <v>8.4150435892531057</v>
      </c>
      <c r="DH89" s="591">
        <v>7.2030002739285841</v>
      </c>
      <c r="DI89" s="591">
        <v>5.7139184865298871</v>
      </c>
      <c r="DJ89" s="591">
        <v>4.6750242162517255</v>
      </c>
      <c r="DK89" s="591">
        <v>4.0170578450755565</v>
      </c>
      <c r="DL89" s="591">
        <v>3.4629809009272039</v>
      </c>
      <c r="DM89" s="591">
        <v>2.8050145297510349</v>
      </c>
      <c r="DN89" s="599" t="s">
        <v>1443</v>
      </c>
      <c r="DO89" s="599" t="s">
        <v>1443</v>
      </c>
      <c r="DP89" s="599" t="s">
        <v>1443</v>
      </c>
      <c r="DQ89" s="600" t="s">
        <v>1443</v>
      </c>
    </row>
    <row r="90" spans="9:121" ht="15.75" customHeight="1" x14ac:dyDescent="0.25">
      <c r="J90" s="389"/>
      <c r="K90" s="243"/>
      <c r="L90" s="16"/>
      <c r="M90" s="16"/>
      <c r="N90" s="539"/>
      <c r="O90" s="540"/>
      <c r="P90" s="601"/>
      <c r="Q90" s="601"/>
      <c r="R90" s="602"/>
      <c r="S90" s="602"/>
      <c r="T90" s="602"/>
      <c r="U90" s="602"/>
      <c r="V90" s="602"/>
      <c r="W90" s="603"/>
      <c r="X90" s="603"/>
      <c r="Y90" s="603"/>
      <c r="Z90" s="603"/>
      <c r="AA90" s="604"/>
      <c r="AB90" s="231"/>
      <c r="AC90" s="228"/>
      <c r="AH90" s="400" t="str">
        <f>+IF('5. GlobalData'!M140="","",'5. GlobalData'!M140)</f>
        <v/>
      </c>
      <c r="AI90" s="400" t="str">
        <f>+IF('5. GlobalData'!N140="","",'5. GlobalData'!N140)</f>
        <v/>
      </c>
      <c r="AJ90" s="400" t="str">
        <f>+IF('5. GlobalData'!O140="","",'5. GlobalData'!O140)</f>
        <v/>
      </c>
      <c r="AK90" s="400" t="str">
        <f>+IF('5. GlobalData'!P140="","",'5. GlobalData'!P140)</f>
        <v/>
      </c>
      <c r="AL90" s="400" t="str">
        <f>+IF('5. GlobalData'!Q140="","",'5. GlobalData'!Q140)</f>
        <v/>
      </c>
      <c r="AM90" s="400" t="str">
        <f>+IF('5. GlobalData'!R140="","",'5. GlobalData'!R140)</f>
        <v/>
      </c>
      <c r="AN90" s="400" t="str">
        <f>+IF('5. GlobalData'!S140="","",'5. GlobalData'!S140)</f>
        <v/>
      </c>
      <c r="AO90" s="400" t="str">
        <f>+IF('5. GlobalData'!T140="","",'5. GlobalData'!T140)</f>
        <v/>
      </c>
      <c r="AP90" s="400" t="str">
        <f>+IF('5. GlobalData'!U140="","",'5. GlobalData'!U140)</f>
        <v/>
      </c>
      <c r="AQ90" s="400" t="str">
        <f>+IF('5. GlobalData'!V140="","",'5. GlobalData'!V140)</f>
        <v/>
      </c>
      <c r="AR90" s="400" t="str">
        <f>+IF('5. GlobalData'!W140="","",'5. GlobalData'!W140)</f>
        <v/>
      </c>
      <c r="AS90" s="400" t="str">
        <f>+IF('5. GlobalData'!X140="","",'5. GlobalData'!X140)</f>
        <v/>
      </c>
      <c r="AT90" s="400" t="str">
        <f>+IF('5. GlobalData'!Y140="","",'5. GlobalData'!Y140)</f>
        <v/>
      </c>
      <c r="AU90" s="400" t="str">
        <f>+IF('5. GlobalData'!Z140="","",'5. GlobalData'!Z140)</f>
        <v/>
      </c>
      <c r="AV90" s="400"/>
      <c r="AW90" s="400"/>
      <c r="AX90" s="400"/>
      <c r="AY90" s="400"/>
      <c r="AZ90" s="400"/>
      <c r="BA90" s="400"/>
      <c r="BB90" s="400"/>
      <c r="BC90" s="400"/>
      <c r="BD90" s="400"/>
      <c r="BE90" s="400"/>
      <c r="BF90" s="400"/>
      <c r="BG90" s="400"/>
      <c r="BH90" s="400"/>
      <c r="BI90" s="400"/>
      <c r="BJ90" s="400"/>
      <c r="BK90" s="400"/>
      <c r="BL90" s="400"/>
      <c r="BM90" s="400"/>
      <c r="BN90" s="400"/>
      <c r="BO90" s="400"/>
      <c r="BP90" s="400"/>
      <c r="BQ90" s="400"/>
      <c r="BR90" s="400"/>
      <c r="BS90" s="400"/>
      <c r="BT90" s="400"/>
      <c r="BU90" s="400"/>
      <c r="BV90" s="400"/>
      <c r="BW90" s="400"/>
      <c r="BX90" s="400"/>
      <c r="BY90" s="400"/>
      <c r="BZ90" s="400"/>
      <c r="CA90" s="400"/>
      <c r="CB90" s="400"/>
      <c r="CC90" s="16"/>
      <c r="CD90" s="400"/>
      <c r="CE90" s="400"/>
      <c r="CF90" s="400"/>
      <c r="CG90" s="400"/>
      <c r="CH90" s="400"/>
      <c r="CI90" s="400"/>
      <c r="CJ90" s="400"/>
      <c r="CK90" s="400"/>
      <c r="CL90" s="400"/>
      <c r="CM90" s="400"/>
      <c r="CN90" s="400"/>
      <c r="CO90" s="400"/>
      <c r="CP90" s="400"/>
      <c r="CQ90" s="400"/>
      <c r="CR90" s="400"/>
      <c r="CS90" s="400"/>
      <c r="CT90" s="400"/>
      <c r="CU90" s="400"/>
      <c r="CV90" s="605"/>
      <c r="CW90" s="605"/>
      <c r="CX90" s="605"/>
      <c r="CY90" s="605"/>
      <c r="CZ90" s="605"/>
      <c r="DA90" s="605"/>
      <c r="DB90" s="605"/>
    </row>
    <row r="91" spans="9:121" ht="15.75" customHeight="1" x14ac:dyDescent="0.25">
      <c r="J91" s="16"/>
      <c r="K91" s="243"/>
      <c r="L91" s="16"/>
      <c r="N91" s="539"/>
      <c r="O91" s="540"/>
      <c r="P91" s="601"/>
      <c r="Q91" s="601"/>
      <c r="R91" s="602"/>
      <c r="S91" s="602"/>
      <c r="T91" s="602"/>
      <c r="U91" s="602"/>
      <c r="V91" s="602"/>
      <c r="W91" s="603"/>
      <c r="X91" s="603"/>
      <c r="Y91" s="603"/>
      <c r="Z91" s="603"/>
      <c r="AA91" s="604"/>
      <c r="AB91" s="231"/>
      <c r="AC91" s="222"/>
      <c r="AF91" s="12" t="s">
        <v>1444</v>
      </c>
      <c r="AG91" s="606">
        <f>+SUM(AF67:AF86)/SUM(O67:O86)</f>
        <v>5.3157502484075962</v>
      </c>
      <c r="CV91" s="1"/>
      <c r="CW91" s="1"/>
      <c r="CX91" s="1"/>
      <c r="CY91" s="1"/>
      <c r="CZ91" s="1"/>
      <c r="DA91" s="1"/>
      <c r="DB91" s="1"/>
    </row>
    <row r="92" spans="9:121" ht="15.75" customHeight="1" x14ac:dyDescent="0.25">
      <c r="J92" s="389"/>
      <c r="K92" s="243"/>
      <c r="L92" s="16"/>
      <c r="M92" s="16"/>
      <c r="N92" s="539"/>
      <c r="O92" s="540"/>
      <c r="P92" s="601"/>
      <c r="Q92" s="601"/>
      <c r="R92" s="602"/>
      <c r="S92" s="602"/>
      <c r="T92" s="602"/>
      <c r="U92" s="602"/>
      <c r="V92" s="602"/>
      <c r="W92" s="603"/>
      <c r="X92" s="603"/>
      <c r="Y92" s="603"/>
      <c r="Z92" s="603"/>
      <c r="AA92" s="604"/>
      <c r="AB92" s="231"/>
      <c r="AC92" s="222"/>
      <c r="AF92" s="12" t="s">
        <v>1445</v>
      </c>
      <c r="AG92" s="274">
        <f>+SUM(AF67:AF86)/(SUM(T67:T86,V67:V86)-SUM(U67:U86))</f>
        <v>6.3532002292489826</v>
      </c>
      <c r="AH92" s="607">
        <f>+IF((T67+V67-U67)=0,"-",AF67/(T67+V67-U67))</f>
        <v>3.0484936597423249</v>
      </c>
      <c r="AW92" s="222">
        <f t="shared" ref="AW92:BJ92" si="174">0.05*BK78</f>
        <v>0.45976135716123356</v>
      </c>
      <c r="AX92" s="222">
        <f t="shared" si="174"/>
        <v>0.35887383114809163</v>
      </c>
      <c r="AY92" s="222">
        <f t="shared" si="174"/>
        <v>0.15821478661537516</v>
      </c>
      <c r="AZ92" s="222">
        <f t="shared" si="174"/>
        <v>9.9788867633869835E-2</v>
      </c>
      <c r="BA92" s="222">
        <f t="shared" si="174"/>
        <v>7.9246601656003113E-2</v>
      </c>
      <c r="BB92" s="222">
        <f t="shared" si="174"/>
        <v>4.8433202689203016E-2</v>
      </c>
      <c r="BC92" s="222">
        <f t="shared" si="174"/>
        <v>1.7807392237011568E-2</v>
      </c>
      <c r="BD92" s="222">
        <f t="shared" si="174"/>
        <v>1.3469739604707842E-2</v>
      </c>
      <c r="BE92" s="222">
        <f t="shared" si="174"/>
        <v>1.0699240411137064E-2</v>
      </c>
      <c r="BF92" s="222">
        <f t="shared" si="174"/>
        <v>6.5434916207808948E-3</v>
      </c>
      <c r="BG92" s="222">
        <f t="shared" si="174"/>
        <v>2.3877428304250412E-3</v>
      </c>
      <c r="BH92" s="222">
        <f t="shared" si="174"/>
        <v>0</v>
      </c>
      <c r="BI92" s="222">
        <f t="shared" si="174"/>
        <v>0</v>
      </c>
      <c r="BJ92" s="222">
        <f t="shared" si="174"/>
        <v>0</v>
      </c>
      <c r="CV92" s="1"/>
      <c r="CW92" s="1"/>
      <c r="CX92" s="1"/>
      <c r="CY92" s="1"/>
      <c r="CZ92" s="1"/>
      <c r="DA92" s="1"/>
      <c r="DB92" s="1"/>
    </row>
    <row r="93" spans="9:121" ht="15.75" customHeight="1" x14ac:dyDescent="0.25">
      <c r="CV93" s="1"/>
      <c r="CW93" s="1"/>
      <c r="CX93" s="1"/>
      <c r="CY93" s="1"/>
      <c r="CZ93" s="1"/>
      <c r="DA93" s="1"/>
      <c r="DB93" s="1"/>
    </row>
    <row r="94" spans="9:121" ht="15.75" customHeight="1" x14ac:dyDescent="0.25">
      <c r="CV94" s="1"/>
      <c r="CW94" s="1"/>
      <c r="CX94" s="1"/>
      <c r="CY94" s="1"/>
      <c r="CZ94" s="1"/>
      <c r="DA94" s="1"/>
      <c r="DB94" s="1"/>
    </row>
    <row r="95" spans="9:121" ht="15.75" customHeight="1" x14ac:dyDescent="0.25">
      <c r="AV95" s="231"/>
      <c r="AW95" s="231"/>
      <c r="CV95" s="1"/>
      <c r="CW95" s="1"/>
      <c r="CX95" s="1"/>
      <c r="CY95" s="1"/>
      <c r="CZ95" s="1"/>
      <c r="DA95" s="1"/>
      <c r="DB95" s="1"/>
    </row>
    <row r="96" spans="9:121" ht="15.75" customHeight="1" x14ac:dyDescent="0.25">
      <c r="R96" s="857" t="s">
        <v>1413</v>
      </c>
      <c r="S96" s="809"/>
      <c r="T96" s="809"/>
      <c r="U96" s="809"/>
      <c r="V96" s="810"/>
      <c r="W96" s="858" t="s">
        <v>1414</v>
      </c>
      <c r="X96" s="809"/>
      <c r="Y96" s="809"/>
      <c r="Z96" s="810"/>
      <c r="AA96" s="541" t="s">
        <v>1415</v>
      </c>
      <c r="CV96" s="1"/>
      <c r="CW96" s="1"/>
      <c r="CX96" s="1"/>
      <c r="CY96" s="1"/>
      <c r="CZ96" s="1"/>
      <c r="DA96" s="1"/>
      <c r="DB96" s="1"/>
    </row>
    <row r="97" spans="10:106" ht="15.75" customHeight="1" x14ac:dyDescent="0.25">
      <c r="N97" s="446" t="s">
        <v>59</v>
      </c>
      <c r="O97" s="446" t="s">
        <v>59</v>
      </c>
      <c r="P97" s="542" t="s">
        <v>1417</v>
      </c>
      <c r="Q97" s="542" t="s">
        <v>59</v>
      </c>
      <c r="R97" s="543" t="s">
        <v>59</v>
      </c>
      <c r="S97" s="543" t="s">
        <v>59</v>
      </c>
      <c r="T97" s="543" t="s">
        <v>59</v>
      </c>
      <c r="U97" s="543" t="s">
        <v>59</v>
      </c>
      <c r="V97" s="543" t="s">
        <v>59</v>
      </c>
      <c r="W97" s="544" t="s">
        <v>1417</v>
      </c>
      <c r="X97" s="544" t="s">
        <v>1417</v>
      </c>
      <c r="Y97" s="544" t="s">
        <v>1417</v>
      </c>
      <c r="Z97" s="544" t="s">
        <v>1417</v>
      </c>
      <c r="AA97" s="263" t="s">
        <v>1417</v>
      </c>
      <c r="AB97" s="439" t="s">
        <v>59</v>
      </c>
      <c r="AC97" s="439" t="s">
        <v>1418</v>
      </c>
      <c r="AD97" s="542" t="s">
        <v>59</v>
      </c>
      <c r="AE97" s="542" t="s">
        <v>1418</v>
      </c>
      <c r="AF97" s="542" t="s">
        <v>59</v>
      </c>
      <c r="AG97" s="542" t="s">
        <v>1418</v>
      </c>
      <c r="AH97" s="14" t="s">
        <v>59</v>
      </c>
      <c r="AI97" s="860" t="s">
        <v>1446</v>
      </c>
      <c r="AJ97" s="841"/>
      <c r="AK97" s="841"/>
      <c r="AL97" s="841"/>
      <c r="AM97" s="841"/>
      <c r="AN97" s="841"/>
      <c r="AO97" s="841"/>
      <c r="AP97" s="841"/>
      <c r="AQ97" s="841"/>
      <c r="AR97" s="841"/>
      <c r="AS97" s="841"/>
      <c r="AT97" s="841"/>
      <c r="AU97" s="841"/>
      <c r="AV97" s="824"/>
      <c r="AW97" s="860" t="s">
        <v>1447</v>
      </c>
      <c r="AX97" s="841"/>
      <c r="AY97" s="841"/>
      <c r="AZ97" s="841"/>
      <c r="BA97" s="841"/>
      <c r="BB97" s="841"/>
      <c r="BC97" s="841"/>
      <c r="BD97" s="841"/>
      <c r="BE97" s="841"/>
      <c r="BF97" s="841"/>
      <c r="BG97" s="841"/>
      <c r="BH97" s="841"/>
      <c r="BI97" s="841"/>
      <c r="BJ97" s="824"/>
      <c r="BK97" s="860" t="s">
        <v>1448</v>
      </c>
      <c r="BL97" s="841"/>
      <c r="BM97" s="841"/>
      <c r="BN97" s="841"/>
      <c r="BO97" s="841"/>
      <c r="BP97" s="841"/>
      <c r="BQ97" s="841"/>
      <c r="BR97" s="841"/>
      <c r="BS97" s="841"/>
      <c r="BT97" s="841"/>
      <c r="BU97" s="841"/>
      <c r="BV97" s="841"/>
      <c r="BW97" s="841"/>
      <c r="BX97" s="824"/>
      <c r="BY97" s="214"/>
      <c r="BZ97" s="214"/>
      <c r="CA97" s="214"/>
      <c r="CB97" s="214"/>
      <c r="CC97" s="214"/>
      <c r="CD97" s="214"/>
      <c r="CE97" s="214"/>
      <c r="CF97" s="214"/>
      <c r="CG97" s="214"/>
      <c r="CH97" s="214"/>
      <c r="CI97" s="214"/>
      <c r="CJ97" s="214"/>
      <c r="CK97" s="214"/>
      <c r="CL97" s="214"/>
      <c r="CM97" s="214"/>
      <c r="CN97" s="214"/>
      <c r="CO97" s="214"/>
      <c r="CP97" s="214"/>
      <c r="CQ97" s="214"/>
      <c r="CR97" s="214"/>
      <c r="CS97" s="214"/>
      <c r="CT97" s="214"/>
      <c r="CU97" s="214"/>
      <c r="CV97" s="16"/>
      <c r="CW97" s="16"/>
      <c r="CX97" s="16"/>
      <c r="CY97" s="16"/>
      <c r="CZ97" s="16"/>
      <c r="DA97" s="16"/>
      <c r="DB97" s="16"/>
    </row>
    <row r="98" spans="10:106" ht="15.75" customHeight="1" x14ac:dyDescent="0.25">
      <c r="J98" s="608" t="s">
        <v>1204</v>
      </c>
      <c r="K98" s="608" t="s">
        <v>1449</v>
      </c>
      <c r="L98" s="608" t="s">
        <v>1450</v>
      </c>
      <c r="M98" s="608" t="str">
        <f>+M66</f>
        <v>Type of Oil producing</v>
      </c>
      <c r="N98" s="608" t="s">
        <v>1451</v>
      </c>
      <c r="O98" s="608" t="s">
        <v>1452</v>
      </c>
      <c r="P98" s="609" t="s">
        <v>1424</v>
      </c>
      <c r="Q98" s="609" t="s">
        <v>1453</v>
      </c>
      <c r="R98" s="610" t="s">
        <v>1454</v>
      </c>
      <c r="S98" s="610" t="s">
        <v>1455</v>
      </c>
      <c r="T98" s="610" t="s">
        <v>1456</v>
      </c>
      <c r="U98" s="610" t="s">
        <v>1457</v>
      </c>
      <c r="V98" s="610" t="s">
        <v>1458</v>
      </c>
      <c r="W98" s="611" t="s">
        <v>1459</v>
      </c>
      <c r="X98" s="611" t="s">
        <v>1460</v>
      </c>
      <c r="Y98" s="611" t="s">
        <v>1461</v>
      </c>
      <c r="Z98" s="611" t="s">
        <v>1462</v>
      </c>
      <c r="AA98" s="612" t="s">
        <v>1463</v>
      </c>
      <c r="AB98" s="552" t="s">
        <v>1464</v>
      </c>
      <c r="AC98" s="552" t="s">
        <v>1437</v>
      </c>
      <c r="AD98" s="549" t="s">
        <v>1465</v>
      </c>
      <c r="AE98" s="549" t="s">
        <v>1466</v>
      </c>
      <c r="AF98" s="549" t="s">
        <v>1467</v>
      </c>
      <c r="AG98" s="549" t="s">
        <v>1468</v>
      </c>
      <c r="AH98" s="553" t="s">
        <v>1469</v>
      </c>
      <c r="AI98" s="554">
        <v>2019</v>
      </c>
      <c r="AJ98" s="527">
        <v>2020</v>
      </c>
      <c r="AK98" s="527">
        <v>2023</v>
      </c>
      <c r="AL98" s="527">
        <v>2025</v>
      </c>
      <c r="AM98" s="527">
        <v>2027</v>
      </c>
      <c r="AN98" s="527">
        <v>2030</v>
      </c>
      <c r="AO98" s="527">
        <v>2033</v>
      </c>
      <c r="AP98" s="527">
        <v>2035</v>
      </c>
      <c r="AQ98" s="527">
        <v>2037</v>
      </c>
      <c r="AR98" s="527">
        <v>2040</v>
      </c>
      <c r="AS98" s="527">
        <v>2043</v>
      </c>
      <c r="AT98" s="527">
        <v>2045</v>
      </c>
      <c r="AU98" s="527">
        <v>2047</v>
      </c>
      <c r="AV98" s="555">
        <v>2050</v>
      </c>
      <c r="AW98" s="554">
        <v>2019</v>
      </c>
      <c r="AX98" s="527">
        <v>2020</v>
      </c>
      <c r="AY98" s="527">
        <v>2023</v>
      </c>
      <c r="AZ98" s="527">
        <v>2025</v>
      </c>
      <c r="BA98" s="527">
        <v>2027</v>
      </c>
      <c r="BB98" s="527">
        <v>2030</v>
      </c>
      <c r="BC98" s="527">
        <v>2033</v>
      </c>
      <c r="BD98" s="527">
        <v>2035</v>
      </c>
      <c r="BE98" s="527">
        <v>2037</v>
      </c>
      <c r="BF98" s="527">
        <v>2040</v>
      </c>
      <c r="BG98" s="527">
        <v>2043</v>
      </c>
      <c r="BH98" s="527">
        <v>2045</v>
      </c>
      <c r="BI98" s="527">
        <v>2047</v>
      </c>
      <c r="BJ98" s="555">
        <v>2050</v>
      </c>
      <c r="BK98" s="554">
        <v>2019</v>
      </c>
      <c r="BL98" s="527">
        <v>2020</v>
      </c>
      <c r="BM98" s="527">
        <v>2023</v>
      </c>
      <c r="BN98" s="527">
        <v>2025</v>
      </c>
      <c r="BO98" s="527">
        <v>2027</v>
      </c>
      <c r="BP98" s="527">
        <v>2030</v>
      </c>
      <c r="BQ98" s="527">
        <v>2033</v>
      </c>
      <c r="BR98" s="527">
        <v>2035</v>
      </c>
      <c r="BS98" s="527">
        <v>2037</v>
      </c>
      <c r="BT98" s="527">
        <v>2040</v>
      </c>
      <c r="BU98" s="527">
        <v>2043</v>
      </c>
      <c r="BV98" s="527">
        <v>2045</v>
      </c>
      <c r="BW98" s="527">
        <v>2047</v>
      </c>
      <c r="BX98" s="555">
        <v>2050</v>
      </c>
      <c r="CV98" s="613"/>
      <c r="CW98" s="613"/>
      <c r="CX98" s="613"/>
      <c r="CY98" s="613"/>
      <c r="CZ98" s="613"/>
      <c r="DA98" s="613"/>
      <c r="DB98" s="613"/>
    </row>
    <row r="99" spans="10:106" ht="15.75" customHeight="1" x14ac:dyDescent="0.25">
      <c r="J99" s="103" t="s">
        <v>1224</v>
      </c>
      <c r="K99" s="103" t="s">
        <v>1398</v>
      </c>
      <c r="L99" s="614" t="s">
        <v>6</v>
      </c>
      <c r="M99" s="615" t="s">
        <v>1470</v>
      </c>
      <c r="N99" s="616">
        <f t="shared" ref="N99:O99" si="175">+SUMIFS(N$67:N$89,$I$67:$I$89,$J99,$M$67:$M$89,$K99)</f>
        <v>0</v>
      </c>
      <c r="O99" s="616">
        <f t="shared" si="175"/>
        <v>68.585731940983607</v>
      </c>
      <c r="P99" s="617">
        <f t="shared" ref="P99:P105" si="176">+O99/(N99+O99)</f>
        <v>1</v>
      </c>
      <c r="Q99" s="618">
        <f t="shared" ref="Q99:V99" si="177">+SUMIFS(Q$67:Q$89,$I$67:$I$89,$J99,$M$67:$M$89,$K99)</f>
        <v>66.042848806832495</v>
      </c>
      <c r="R99" s="619">
        <f t="shared" si="177"/>
        <v>2.4500442407782339</v>
      </c>
      <c r="S99" s="620">
        <f t="shared" si="177"/>
        <v>9.2838893372876957E-2</v>
      </c>
      <c r="T99" s="619">
        <f t="shared" si="177"/>
        <v>5.6186813035864835</v>
      </c>
      <c r="U99" s="619">
        <f t="shared" si="177"/>
        <v>0</v>
      </c>
      <c r="V99" s="619">
        <f t="shared" si="177"/>
        <v>60.424167503246018</v>
      </c>
      <c r="W99" s="559">
        <f t="shared" ref="W99:Y99" si="178">+IF($O99=0,"-",R99/$O99)</f>
        <v>3.5722360488715625E-2</v>
      </c>
      <c r="X99" s="621">
        <f t="shared" si="178"/>
        <v>1.3536181760480828E-3</v>
      </c>
      <c r="Y99" s="559">
        <f t="shared" si="178"/>
        <v>8.1922014165004831E-2</v>
      </c>
      <c r="Z99" s="559">
        <f t="shared" ref="Z99:Z112" si="179">+IF($O99=0,"-",V99/$O99)</f>
        <v>0.88100200717023158</v>
      </c>
      <c r="AA99" s="560">
        <f t="shared" ref="AA99:AA101" si="180">+IF($T99=0,"-",U99/$T99)</f>
        <v>0</v>
      </c>
      <c r="AB99" s="622">
        <f t="shared" ref="AB99:AB105" si="181">+SUMIFS(AB$67:AB$89,$I$67:$I$89,$J99,$M$67:$M$89,$K99)</f>
        <v>266.73883552000007</v>
      </c>
      <c r="AC99" s="623">
        <f t="shared" ref="AC99:AC105" si="182">+IF((N99+O99)=0,"-",AB99/(N99+O99))</f>
        <v>3.8891301145480592</v>
      </c>
      <c r="AD99" s="563">
        <f t="shared" ref="AD99:AD112" si="183">+AB99*(100%-P99)</f>
        <v>0</v>
      </c>
      <c r="AE99" s="564" t="str">
        <f t="shared" ref="AE99:AE112" si="184">+IF(N99=0,"-",AD99/N99)</f>
        <v>-</v>
      </c>
      <c r="AF99" s="563">
        <f t="shared" ref="AF99:AF112" si="185">+AB99*(P99)</f>
        <v>266.73883552000007</v>
      </c>
      <c r="AG99" s="624">
        <f t="shared" ref="AG99:AG105" si="186">+AF99/O99</f>
        <v>3.8891301145480592</v>
      </c>
      <c r="AH99" s="616">
        <f t="shared" ref="AH99:AH105" si="187">+SUMIFS(AH$67:AH$89,$I$67:$I$89,$J99,$M$67:$M$89,$K99)</f>
        <v>68.585731940983607</v>
      </c>
      <c r="AI99" s="616">
        <f t="shared" ref="AI99:AV99" si="188">+SUMIFS(BK$67:BK$89,$I$67:$I$89,$J99,$M$67:$M$89,$K99)</f>
        <v>68.585731940983607</v>
      </c>
      <c r="AJ99" s="616">
        <f t="shared" si="188"/>
        <v>55.42289382660443</v>
      </c>
      <c r="AK99" s="616">
        <f t="shared" si="188"/>
        <v>48.301053084017497</v>
      </c>
      <c r="AL99" s="616">
        <f t="shared" si="188"/>
        <v>38.921861734744084</v>
      </c>
      <c r="AM99" s="616">
        <f t="shared" si="188"/>
        <v>31.12573621980787</v>
      </c>
      <c r="AN99" s="616">
        <f t="shared" si="188"/>
        <v>20.101904077407454</v>
      </c>
      <c r="AO99" s="616">
        <f t="shared" si="188"/>
        <v>8.0077874319897546</v>
      </c>
      <c r="AP99" s="616">
        <f t="shared" si="188"/>
        <v>2.86729599242289</v>
      </c>
      <c r="AQ99" s="616">
        <f t="shared" si="188"/>
        <v>2.3371052350566992</v>
      </c>
      <c r="AR99" s="616">
        <f t="shared" si="188"/>
        <v>1.5418190990073675</v>
      </c>
      <c r="AS99" s="616">
        <f t="shared" si="188"/>
        <v>0.74653296295810601</v>
      </c>
      <c r="AT99" s="616">
        <f t="shared" si="188"/>
        <v>0.21634220559186546</v>
      </c>
      <c r="AU99" s="616">
        <f t="shared" si="188"/>
        <v>0</v>
      </c>
      <c r="AV99" s="616">
        <f t="shared" si="188"/>
        <v>0</v>
      </c>
      <c r="AW99" s="625">
        <f t="shared" ref="AW99:BJ99" si="189">+AI99*(100%-$P99)</f>
        <v>0</v>
      </c>
      <c r="AX99" s="625">
        <f t="shared" si="189"/>
        <v>0</v>
      </c>
      <c r="AY99" s="625">
        <f t="shared" si="189"/>
        <v>0</v>
      </c>
      <c r="AZ99" s="625">
        <f t="shared" si="189"/>
        <v>0</v>
      </c>
      <c r="BA99" s="625">
        <f t="shared" si="189"/>
        <v>0</v>
      </c>
      <c r="BB99" s="625">
        <f t="shared" si="189"/>
        <v>0</v>
      </c>
      <c r="BC99" s="625">
        <f t="shared" si="189"/>
        <v>0</v>
      </c>
      <c r="BD99" s="625">
        <f t="shared" si="189"/>
        <v>0</v>
      </c>
      <c r="BE99" s="625">
        <f t="shared" si="189"/>
        <v>0</v>
      </c>
      <c r="BF99" s="625">
        <f t="shared" si="189"/>
        <v>0</v>
      </c>
      <c r="BG99" s="625">
        <f t="shared" si="189"/>
        <v>0</v>
      </c>
      <c r="BH99" s="625">
        <f t="shared" si="189"/>
        <v>0</v>
      </c>
      <c r="BI99" s="625">
        <f t="shared" si="189"/>
        <v>0</v>
      </c>
      <c r="BJ99" s="625">
        <f t="shared" si="189"/>
        <v>0</v>
      </c>
      <c r="BK99" s="625">
        <f t="shared" ref="BK99:BX99" si="190">+AI99*($P99)</f>
        <v>68.585731940983607</v>
      </c>
      <c r="BL99" s="625">
        <f t="shared" si="190"/>
        <v>55.42289382660443</v>
      </c>
      <c r="BM99" s="625">
        <f t="shared" si="190"/>
        <v>48.301053084017497</v>
      </c>
      <c r="BN99" s="625">
        <f t="shared" si="190"/>
        <v>38.921861734744084</v>
      </c>
      <c r="BO99" s="625">
        <f t="shared" si="190"/>
        <v>31.12573621980787</v>
      </c>
      <c r="BP99" s="625">
        <f t="shared" si="190"/>
        <v>20.101904077407454</v>
      </c>
      <c r="BQ99" s="625">
        <f t="shared" si="190"/>
        <v>8.0077874319897546</v>
      </c>
      <c r="BR99" s="625">
        <f t="shared" si="190"/>
        <v>2.86729599242289</v>
      </c>
      <c r="BS99" s="625">
        <f t="shared" si="190"/>
        <v>2.3371052350566992</v>
      </c>
      <c r="BT99" s="625">
        <f t="shared" si="190"/>
        <v>1.5418190990073675</v>
      </c>
      <c r="BU99" s="625">
        <f t="shared" si="190"/>
        <v>0.74653296295810601</v>
      </c>
      <c r="BV99" s="625">
        <f t="shared" si="190"/>
        <v>0.21634220559186546</v>
      </c>
      <c r="BW99" s="625">
        <f t="shared" si="190"/>
        <v>0</v>
      </c>
      <c r="BX99" s="625">
        <f t="shared" si="190"/>
        <v>0</v>
      </c>
      <c r="CV99" s="16"/>
      <c r="CW99" s="16"/>
      <c r="CX99" s="16"/>
      <c r="CY99" s="16"/>
      <c r="CZ99" s="16"/>
      <c r="DA99" s="16"/>
      <c r="DB99" s="16"/>
    </row>
    <row r="100" spans="10:106" ht="15.75" customHeight="1" x14ac:dyDescent="0.25">
      <c r="J100" s="103" t="s">
        <v>1228</v>
      </c>
      <c r="K100" s="103" t="s">
        <v>1198</v>
      </c>
      <c r="L100" s="614" t="s">
        <v>12</v>
      </c>
      <c r="M100" s="626" t="s">
        <v>1471</v>
      </c>
      <c r="N100" s="616">
        <f t="shared" ref="N100:O100" si="191">+SUMIFS(N$67:N$89,$I$67:$I$89,$J100,$M$67:$M$89,$K100)</f>
        <v>107.6091233110016</v>
      </c>
      <c r="O100" s="616">
        <f t="shared" si="191"/>
        <v>256.07651205217701</v>
      </c>
      <c r="P100" s="617">
        <f t="shared" si="176"/>
        <v>0.70411500249785086</v>
      </c>
      <c r="Q100" s="618">
        <f t="shared" ref="Q100:V100" si="192">+SUMIFS(Q$67:Q$89,$I$67:$I$89,$J100,$M$67:$M$89,$K100)</f>
        <v>209.74608813235034</v>
      </c>
      <c r="R100" s="619">
        <f t="shared" si="192"/>
        <v>28.837995441575647</v>
      </c>
      <c r="S100" s="619">
        <f t="shared" si="192"/>
        <v>3.2629701010505454</v>
      </c>
      <c r="T100" s="619">
        <f t="shared" si="192"/>
        <v>69.637902700685089</v>
      </c>
      <c r="U100" s="619">
        <f t="shared" si="192"/>
        <v>14.229458377200496</v>
      </c>
      <c r="V100" s="619">
        <f t="shared" si="192"/>
        <v>154.33764380886575</v>
      </c>
      <c r="W100" s="559">
        <f t="shared" ref="W100:Y100" si="193">+IF($O100=0,"-",R100/$O100)</f>
        <v>0.11261476193372918</v>
      </c>
      <c r="X100" s="559">
        <f t="shared" si="193"/>
        <v>1.2742168638979654E-2</v>
      </c>
      <c r="Y100" s="559">
        <f t="shared" si="193"/>
        <v>0.27194178076939746</v>
      </c>
      <c r="Z100" s="559">
        <f t="shared" si="179"/>
        <v>0.60270128865789374</v>
      </c>
      <c r="AA100" s="560">
        <f t="shared" si="180"/>
        <v>0.20433496451438232</v>
      </c>
      <c r="AB100" s="622">
        <f t="shared" si="181"/>
        <v>2135.7396415784524</v>
      </c>
      <c r="AC100" s="623">
        <f t="shared" si="182"/>
        <v>5.8724883083317003</v>
      </c>
      <c r="AD100" s="563">
        <f t="shared" si="183"/>
        <v>631.93331851368123</v>
      </c>
      <c r="AE100" s="627">
        <f t="shared" si="184"/>
        <v>5.8724883083317012</v>
      </c>
      <c r="AF100" s="563">
        <f t="shared" si="185"/>
        <v>1503.806323064771</v>
      </c>
      <c r="AG100" s="627">
        <f t="shared" si="186"/>
        <v>5.8724883083316994</v>
      </c>
      <c r="AH100" s="616">
        <f t="shared" si="187"/>
        <v>363.68563536317856</v>
      </c>
      <c r="AI100" s="616">
        <f t="shared" ref="AI100:AV100" si="194">+SUMIFS(BK$67:BK$89,$I$67:$I$89,$J100,$M$67:$M$89,$K100)</f>
        <v>363.68563536317856</v>
      </c>
      <c r="AJ100" s="616">
        <f t="shared" si="194"/>
        <v>357.03963544887284</v>
      </c>
      <c r="AK100" s="616">
        <f t="shared" si="194"/>
        <v>291.71333965512213</v>
      </c>
      <c r="AL100" s="616">
        <f t="shared" si="194"/>
        <v>219.06541620476196</v>
      </c>
      <c r="AM100" s="616">
        <f t="shared" si="194"/>
        <v>170.23519767765302</v>
      </c>
      <c r="AN100" s="616">
        <f t="shared" si="194"/>
        <v>111.95261234678644</v>
      </c>
      <c r="AO100" s="616">
        <f t="shared" si="194"/>
        <v>72.379931845519636</v>
      </c>
      <c r="AP100" s="616">
        <f t="shared" si="194"/>
        <v>52.2350632561674</v>
      </c>
      <c r="AQ100" s="616">
        <f t="shared" si="194"/>
        <v>39.077990841053399</v>
      </c>
      <c r="AR100" s="616">
        <f t="shared" si="194"/>
        <v>23.3968962245543</v>
      </c>
      <c r="AS100" s="616">
        <f t="shared" si="194"/>
        <v>17.354491524384926</v>
      </c>
      <c r="AT100" s="616">
        <f t="shared" si="194"/>
        <v>13.326221724272058</v>
      </c>
      <c r="AU100" s="616">
        <f t="shared" si="194"/>
        <v>10.029486407153993</v>
      </c>
      <c r="AV100" s="616">
        <f t="shared" si="194"/>
        <v>6.6898601086639449</v>
      </c>
      <c r="AW100" s="625">
        <f t="shared" ref="AW100:BJ100" si="195">+AI100*(100%-$P100)</f>
        <v>107.60912331100161</v>
      </c>
      <c r="AX100" s="625">
        <f t="shared" si="195"/>
        <v>105.64267164295798</v>
      </c>
      <c r="AY100" s="625">
        <f t="shared" si="195"/>
        <v>86.31360077519939</v>
      </c>
      <c r="AZ100" s="625">
        <f t="shared" si="195"/>
        <v>64.818170126553255</v>
      </c>
      <c r="BA100" s="625">
        <f t="shared" si="195"/>
        <v>50.37004103963023</v>
      </c>
      <c r="BB100" s="625">
        <f t="shared" si="195"/>
        <v>33.125098424587975</v>
      </c>
      <c r="BC100" s="625">
        <f t="shared" si="195"/>
        <v>21.416135953317301</v>
      </c>
      <c r="BD100" s="625">
        <f t="shared" si="195"/>
        <v>15.455571561075693</v>
      </c>
      <c r="BE100" s="625">
        <f t="shared" si="195"/>
        <v>11.562591222394092</v>
      </c>
      <c r="BF100" s="625">
        <f t="shared" si="195"/>
        <v>6.9227905809602914</v>
      </c>
      <c r="BG100" s="625">
        <f t="shared" si="195"/>
        <v>5.1349336813437025</v>
      </c>
      <c r="BH100" s="625">
        <f t="shared" si="195"/>
        <v>3.9430290815993234</v>
      </c>
      <c r="BI100" s="625">
        <f t="shared" si="195"/>
        <v>2.9675745605285977</v>
      </c>
      <c r="BJ100" s="625">
        <f t="shared" si="195"/>
        <v>1.9794292415417585</v>
      </c>
      <c r="BK100" s="625">
        <f t="shared" ref="BK100:BX100" si="196">+AI100*($P100)</f>
        <v>256.07651205217695</v>
      </c>
      <c r="BL100" s="625">
        <f t="shared" si="196"/>
        <v>251.39696380591485</v>
      </c>
      <c r="BM100" s="625">
        <f t="shared" si="196"/>
        <v>205.39973887992272</v>
      </c>
      <c r="BN100" s="625">
        <f t="shared" si="196"/>
        <v>154.24724607820872</v>
      </c>
      <c r="BO100" s="625">
        <f t="shared" si="196"/>
        <v>119.8651566380228</v>
      </c>
      <c r="BP100" s="625">
        <f t="shared" si="196"/>
        <v>78.827513922198463</v>
      </c>
      <c r="BQ100" s="625">
        <f t="shared" si="196"/>
        <v>50.963795892202334</v>
      </c>
      <c r="BR100" s="625">
        <f t="shared" si="196"/>
        <v>36.779491695091707</v>
      </c>
      <c r="BS100" s="625">
        <f t="shared" si="196"/>
        <v>27.515399618659306</v>
      </c>
      <c r="BT100" s="625">
        <f t="shared" si="196"/>
        <v>16.474105643594008</v>
      </c>
      <c r="BU100" s="625">
        <f t="shared" si="196"/>
        <v>12.219557843041224</v>
      </c>
      <c r="BV100" s="625">
        <f t="shared" si="196"/>
        <v>9.3831926426727339</v>
      </c>
      <c r="BW100" s="625">
        <f t="shared" si="196"/>
        <v>7.061911846625395</v>
      </c>
      <c r="BX100" s="625">
        <f t="shared" si="196"/>
        <v>4.7104308671221862</v>
      </c>
      <c r="CV100" s="16"/>
      <c r="CW100" s="16"/>
      <c r="CX100" s="16"/>
      <c r="CY100" s="16"/>
      <c r="CZ100" s="16"/>
      <c r="DA100" s="16"/>
      <c r="DB100" s="16"/>
    </row>
    <row r="101" spans="10:106" ht="15.75" customHeight="1" x14ac:dyDescent="0.25">
      <c r="J101" s="103" t="s">
        <v>1228</v>
      </c>
      <c r="K101" s="103" t="s">
        <v>1196</v>
      </c>
      <c r="L101" s="614" t="s">
        <v>16</v>
      </c>
      <c r="M101" s="34" t="s">
        <v>1472</v>
      </c>
      <c r="N101" s="616">
        <f t="shared" ref="N101:O101" si="197">+SUMIFS(N$67:N$89,$I$67:$I$89,$J101,$M$67:$M$89,$K101)</f>
        <v>724.65339318846713</v>
      </c>
      <c r="O101" s="616">
        <f t="shared" si="197"/>
        <v>2.0511176562165518</v>
      </c>
      <c r="P101" s="617">
        <f t="shared" si="176"/>
        <v>2.8224919834781799E-3</v>
      </c>
      <c r="Q101" s="618">
        <f t="shared" ref="Q101:V101" si="198">+SUMIFS(Q$67:Q$89,$I$67:$I$89,$J101,$M$67:$M$89,$K101)</f>
        <v>0.23786180586758954</v>
      </c>
      <c r="R101" s="619">
        <f t="shared" si="198"/>
        <v>0.32681390346528633</v>
      </c>
      <c r="S101" s="619">
        <f t="shared" si="198"/>
        <v>1.2912743211024171</v>
      </c>
      <c r="T101" s="619">
        <f t="shared" si="198"/>
        <v>0.4330294316488485</v>
      </c>
      <c r="U101" s="619">
        <f t="shared" si="198"/>
        <v>0.19516762578125896</v>
      </c>
      <c r="V101" s="619">
        <f t="shared" si="198"/>
        <v>0</v>
      </c>
      <c r="W101" s="559">
        <f t="shared" ref="W101:Y101" si="199">+IF($O101=0,"-",R101/$O101)</f>
        <v>0.15933454742334008</v>
      </c>
      <c r="X101" s="559">
        <f t="shared" si="199"/>
        <v>0.629546685042083</v>
      </c>
      <c r="Y101" s="559">
        <f t="shared" si="199"/>
        <v>0.21111876753457692</v>
      </c>
      <c r="Z101" s="559">
        <f t="shared" si="179"/>
        <v>0</v>
      </c>
      <c r="AA101" s="560">
        <f t="shared" si="180"/>
        <v>0.4507029118970462</v>
      </c>
      <c r="AB101" s="622">
        <f t="shared" si="181"/>
        <v>6496.7121983715815</v>
      </c>
      <c r="AC101" s="623">
        <f t="shared" si="182"/>
        <v>8.9399640451111821</v>
      </c>
      <c r="AD101" s="563">
        <f t="shared" si="183"/>
        <v>6478.3752802727131</v>
      </c>
      <c r="AE101" s="627">
        <f t="shared" si="184"/>
        <v>8.9399640451111821</v>
      </c>
      <c r="AF101" s="563">
        <f t="shared" si="185"/>
        <v>18.33691809886869</v>
      </c>
      <c r="AG101" s="627">
        <f t="shared" si="186"/>
        <v>8.9399640451111804</v>
      </c>
      <c r="AH101" s="616">
        <f t="shared" si="187"/>
        <v>726.70451084468357</v>
      </c>
      <c r="AI101" s="616">
        <f t="shared" ref="AI101:AV101" si="200">+SUMIFS(BK$67:BK$89,$I$67:$I$89,$J101,$M$67:$M$89,$K101)</f>
        <v>726.70451084468357</v>
      </c>
      <c r="AJ101" s="616">
        <f t="shared" si="200"/>
        <v>687.86225103060212</v>
      </c>
      <c r="AK101" s="616">
        <f t="shared" si="200"/>
        <v>587.55750824736049</v>
      </c>
      <c r="AL101" s="616">
        <f t="shared" si="200"/>
        <v>494.42471335568871</v>
      </c>
      <c r="AM101" s="616">
        <f t="shared" si="200"/>
        <v>420.57125502833946</v>
      </c>
      <c r="AN101" s="616">
        <f t="shared" si="200"/>
        <v>309.7910675373156</v>
      </c>
      <c r="AO101" s="616">
        <f t="shared" si="200"/>
        <v>257.83201320744161</v>
      </c>
      <c r="AP101" s="616">
        <f t="shared" si="200"/>
        <v>218.66172919585773</v>
      </c>
      <c r="AQ101" s="616">
        <f t="shared" si="200"/>
        <v>182.14935775491111</v>
      </c>
      <c r="AR101" s="616">
        <f t="shared" si="200"/>
        <v>127.3982825137665</v>
      </c>
      <c r="AS101" s="616">
        <f t="shared" si="200"/>
        <v>81.49849118140061</v>
      </c>
      <c r="AT101" s="616">
        <f t="shared" si="200"/>
        <v>70.347634082399537</v>
      </c>
      <c r="AU101" s="616">
        <f t="shared" si="200"/>
        <v>64.244040865995586</v>
      </c>
      <c r="AV101" s="616">
        <f t="shared" si="200"/>
        <v>55.088651041389411</v>
      </c>
      <c r="AW101" s="625">
        <f t="shared" ref="AW101:BJ101" si="201">+AI101*(100%-$P101)</f>
        <v>724.65339318846702</v>
      </c>
      <c r="AX101" s="625">
        <f t="shared" si="201"/>
        <v>685.92076534133105</v>
      </c>
      <c r="AY101" s="625">
        <f t="shared" si="201"/>
        <v>585.89913189049992</v>
      </c>
      <c r="AZ101" s="625">
        <f t="shared" si="201"/>
        <v>493.02920356580881</v>
      </c>
      <c r="BA101" s="625">
        <f t="shared" si="201"/>
        <v>419.38419603254061</v>
      </c>
      <c r="BB101" s="625">
        <f t="shared" si="201"/>
        <v>308.91668473263837</v>
      </c>
      <c r="BC101" s="625">
        <f t="shared" si="201"/>
        <v>257.10428441707955</v>
      </c>
      <c r="BD101" s="625">
        <f t="shared" si="201"/>
        <v>218.04455821810896</v>
      </c>
      <c r="BE101" s="625">
        <f t="shared" si="201"/>
        <v>181.63524265285218</v>
      </c>
      <c r="BF101" s="625">
        <f t="shared" si="201"/>
        <v>127.03870188266251</v>
      </c>
      <c r="BG101" s="625">
        <f t="shared" si="201"/>
        <v>81.268462343375546</v>
      </c>
      <c r="BH101" s="625">
        <f t="shared" si="201"/>
        <v>70.149078449145307</v>
      </c>
      <c r="BI101" s="625">
        <f t="shared" si="201"/>
        <v>64.062712575665074</v>
      </c>
      <c r="BJ101" s="625">
        <f t="shared" si="201"/>
        <v>54.933163765444462</v>
      </c>
      <c r="BK101" s="625">
        <f t="shared" ref="BK101:BX101" si="202">+AI101*($P101)</f>
        <v>2.0511176562165514</v>
      </c>
      <c r="BL101" s="625">
        <f t="shared" si="202"/>
        <v>1.9414856892711299</v>
      </c>
      <c r="BM101" s="625">
        <f t="shared" si="202"/>
        <v>1.6583763568605896</v>
      </c>
      <c r="BN101" s="625">
        <f t="shared" si="202"/>
        <v>1.3955097898799282</v>
      </c>
      <c r="BO101" s="625">
        <f t="shared" si="202"/>
        <v>1.1870589957988453</v>
      </c>
      <c r="BP101" s="625">
        <f t="shared" si="202"/>
        <v>0.87438280467722063</v>
      </c>
      <c r="BQ101" s="625">
        <f t="shared" si="202"/>
        <v>0.72772879036204408</v>
      </c>
      <c r="BR101" s="625">
        <f t="shared" si="202"/>
        <v>0.61717097774878515</v>
      </c>
      <c r="BS101" s="625">
        <f t="shared" si="202"/>
        <v>0.51411510205893562</v>
      </c>
      <c r="BT101" s="625">
        <f t="shared" si="202"/>
        <v>0.35958063110399435</v>
      </c>
      <c r="BU101" s="625">
        <f t="shared" si="202"/>
        <v>0.23002883802507035</v>
      </c>
      <c r="BV101" s="625">
        <f t="shared" si="202"/>
        <v>0.19855563325422906</v>
      </c>
      <c r="BW101" s="625">
        <f t="shared" si="202"/>
        <v>0.18132829033051712</v>
      </c>
      <c r="BX101" s="625">
        <f t="shared" si="202"/>
        <v>0.15548727594494849</v>
      </c>
      <c r="CV101" s="16"/>
      <c r="CW101" s="16"/>
      <c r="CX101" s="16"/>
      <c r="CY101" s="16"/>
      <c r="CZ101" s="16"/>
      <c r="DA101" s="16"/>
      <c r="DB101" s="16"/>
    </row>
    <row r="102" spans="10:106" ht="15.75" customHeight="1" x14ac:dyDescent="0.25">
      <c r="J102" s="103" t="s">
        <v>1247</v>
      </c>
      <c r="K102" s="103" t="s">
        <v>1198</v>
      </c>
      <c r="L102" s="614" t="s">
        <v>20</v>
      </c>
      <c r="M102" s="34" t="s">
        <v>1473</v>
      </c>
      <c r="N102" s="616">
        <f t="shared" ref="N102:O102" si="203">+SUMIFS(N$67:N$89,$I$67:$I$89,$J102,$M$67:$M$89,$K102)</f>
        <v>4.3593517548323124</v>
      </c>
      <c r="O102" s="616">
        <f t="shared" si="203"/>
        <v>1.2759391450439788</v>
      </c>
      <c r="P102" s="617">
        <f t="shared" si="176"/>
        <v>0.2264193930205074</v>
      </c>
      <c r="Q102" s="618">
        <f t="shared" ref="Q102:V102" si="204">+SUMIFS(Q$67:Q$89,$I$67:$I$89,$J102,$M$67:$M$89,$K102)</f>
        <v>0</v>
      </c>
      <c r="R102" s="619">
        <f t="shared" si="204"/>
        <v>0</v>
      </c>
      <c r="S102" s="619">
        <f t="shared" si="204"/>
        <v>1.2759391450439788</v>
      </c>
      <c r="T102" s="619">
        <f t="shared" si="204"/>
        <v>0</v>
      </c>
      <c r="U102" s="619">
        <f t="shared" si="204"/>
        <v>0</v>
      </c>
      <c r="V102" s="619">
        <f t="shared" si="204"/>
        <v>0</v>
      </c>
      <c r="W102" s="559">
        <f t="shared" ref="W102:Y102" si="205">+IF($O102=0,"-",R102/$O102)</f>
        <v>0</v>
      </c>
      <c r="X102" s="559">
        <f t="shared" si="205"/>
        <v>1</v>
      </c>
      <c r="Y102" s="559">
        <f t="shared" si="205"/>
        <v>0</v>
      </c>
      <c r="Z102" s="559">
        <f t="shared" si="179"/>
        <v>0</v>
      </c>
      <c r="AA102" s="560">
        <f>+IF($T102=0,0,U102/$T102)</f>
        <v>0</v>
      </c>
      <c r="AB102" s="622">
        <f t="shared" si="181"/>
        <v>44.660401360000002</v>
      </c>
      <c r="AC102" s="623">
        <f t="shared" si="182"/>
        <v>7.9251279398869023</v>
      </c>
      <c r="AD102" s="563">
        <f t="shared" si="183"/>
        <v>34.54842039201656</v>
      </c>
      <c r="AE102" s="627">
        <f t="shared" si="184"/>
        <v>7.9251279398869032</v>
      </c>
      <c r="AF102" s="563">
        <f t="shared" si="185"/>
        <v>10.111980967983444</v>
      </c>
      <c r="AG102" s="627">
        <f t="shared" si="186"/>
        <v>7.9251279398869032</v>
      </c>
      <c r="AH102" s="616">
        <f t="shared" si="187"/>
        <v>5.6352908998762912</v>
      </c>
      <c r="AI102" s="616">
        <f t="shared" ref="AI102:AV102" si="206">+SUMIFS(BK$67:BK$89,$I$67:$I$89,$J102,$M$67:$M$89,$K102)</f>
        <v>5.6352908998762912</v>
      </c>
      <c r="AJ102" s="616">
        <f t="shared" si="206"/>
        <v>5.3251450871105153</v>
      </c>
      <c r="AK102" s="616">
        <f t="shared" si="206"/>
        <v>4.6229281525464918</v>
      </c>
      <c r="AL102" s="616">
        <f t="shared" si="206"/>
        <v>4.1547835295038089</v>
      </c>
      <c r="AM102" s="616">
        <f t="shared" si="206"/>
        <v>3.4993810572440527</v>
      </c>
      <c r="AN102" s="616">
        <f t="shared" si="206"/>
        <v>2.5162773488544192</v>
      </c>
      <c r="AO102" s="616">
        <f t="shared" si="206"/>
        <v>2.0247254946596041</v>
      </c>
      <c r="AP102" s="616">
        <f t="shared" si="206"/>
        <v>1.6970242585297266</v>
      </c>
      <c r="AQ102" s="616">
        <f t="shared" si="206"/>
        <v>1.4629519470083854</v>
      </c>
      <c r="AR102" s="616">
        <f t="shared" si="206"/>
        <v>1.1118434797263739</v>
      </c>
      <c r="AS102" s="616">
        <f t="shared" si="206"/>
        <v>0.99480732396570282</v>
      </c>
      <c r="AT102" s="616">
        <f t="shared" si="206"/>
        <v>0.9167832201252627</v>
      </c>
      <c r="AU102" s="616">
        <f t="shared" si="206"/>
        <v>0.83875911628481048</v>
      </c>
      <c r="AV102" s="616">
        <f t="shared" si="206"/>
        <v>0.72172296052414664</v>
      </c>
      <c r="AW102" s="625">
        <f t="shared" ref="AW102:BJ102" si="207">+AI102*(100%-$P102)</f>
        <v>4.3593517548323124</v>
      </c>
      <c r="AX102" s="625">
        <f t="shared" si="207"/>
        <v>4.1194289687408157</v>
      </c>
      <c r="AY102" s="625">
        <f t="shared" si="207"/>
        <v>3.5762075662694994</v>
      </c>
      <c r="AZ102" s="625">
        <f t="shared" si="207"/>
        <v>3.214059964621955</v>
      </c>
      <c r="BA102" s="625">
        <f t="shared" si="207"/>
        <v>2.7070533223153928</v>
      </c>
      <c r="BB102" s="625">
        <f t="shared" si="207"/>
        <v>1.9465433588555501</v>
      </c>
      <c r="BC102" s="625">
        <f t="shared" si="207"/>
        <v>1.56628837712563</v>
      </c>
      <c r="BD102" s="625">
        <f t="shared" si="207"/>
        <v>1.3127850559723493</v>
      </c>
      <c r="BE102" s="625">
        <f t="shared" si="207"/>
        <v>1.1317112551485773</v>
      </c>
      <c r="BF102" s="625">
        <f t="shared" si="207"/>
        <v>0.86010055391291951</v>
      </c>
      <c r="BG102" s="625">
        <f t="shared" si="207"/>
        <v>0.76956365350103317</v>
      </c>
      <c r="BH102" s="625">
        <f t="shared" si="207"/>
        <v>0.70920571989311454</v>
      </c>
      <c r="BI102" s="625">
        <f t="shared" si="207"/>
        <v>0.64884778628518647</v>
      </c>
      <c r="BJ102" s="625">
        <f t="shared" si="207"/>
        <v>0.55831088587330568</v>
      </c>
      <c r="BK102" s="625">
        <f t="shared" ref="BK102:BX102" si="208">+AI102*($P102)</f>
        <v>1.2759391450439788</v>
      </c>
      <c r="BL102" s="625">
        <f t="shared" si="208"/>
        <v>1.2057161183696998</v>
      </c>
      <c r="BM102" s="625">
        <f t="shared" si="208"/>
        <v>1.0467205862769924</v>
      </c>
      <c r="BN102" s="625">
        <f t="shared" si="208"/>
        <v>0.94072356488185382</v>
      </c>
      <c r="BO102" s="625">
        <f t="shared" si="208"/>
        <v>0.79232773492865982</v>
      </c>
      <c r="BP102" s="625">
        <f t="shared" si="208"/>
        <v>0.56973398999886915</v>
      </c>
      <c r="BQ102" s="625">
        <f t="shared" si="208"/>
        <v>0.45843711753397415</v>
      </c>
      <c r="BR102" s="625">
        <f t="shared" si="208"/>
        <v>0.38423920255737731</v>
      </c>
      <c r="BS102" s="625">
        <f t="shared" si="208"/>
        <v>0.33124069185980815</v>
      </c>
      <c r="BT102" s="625">
        <f t="shared" si="208"/>
        <v>0.25174292581345442</v>
      </c>
      <c r="BU102" s="625">
        <f t="shared" si="208"/>
        <v>0.2252436704646697</v>
      </c>
      <c r="BV102" s="625">
        <f t="shared" si="208"/>
        <v>0.20757750023214822</v>
      </c>
      <c r="BW102" s="625">
        <f t="shared" si="208"/>
        <v>0.18991132999962398</v>
      </c>
      <c r="BX102" s="625">
        <f t="shared" si="208"/>
        <v>0.1634120746508409</v>
      </c>
      <c r="CV102" s="16"/>
      <c r="CW102" s="16"/>
      <c r="CX102" s="16"/>
      <c r="CY102" s="16"/>
      <c r="CZ102" s="16"/>
      <c r="DA102" s="16"/>
      <c r="DB102" s="16"/>
    </row>
    <row r="103" spans="10:106" ht="15.75" customHeight="1" x14ac:dyDescent="0.25">
      <c r="J103" s="103" t="s">
        <v>1249</v>
      </c>
      <c r="K103" s="103" t="s">
        <v>1197</v>
      </c>
      <c r="L103" s="614" t="s">
        <v>24</v>
      </c>
      <c r="M103" s="34" t="s">
        <v>1474</v>
      </c>
      <c r="N103" s="616">
        <f t="shared" ref="N103:O103" si="209">+SUMIFS(N$67:N$89,$I$67:$I$89,$J103,$M$67:$M$89,$K103)</f>
        <v>160.64590837999947</v>
      </c>
      <c r="O103" s="616">
        <f t="shared" si="209"/>
        <v>4.7988803578001527</v>
      </c>
      <c r="P103" s="617">
        <f t="shared" si="176"/>
        <v>2.9005932398423979E-2</v>
      </c>
      <c r="Q103" s="618">
        <f t="shared" ref="Q103:V103" si="210">+SUMIFS(Q$67:Q$89,$I$67:$I$89,$J103,$M$67:$M$89,$K103)</f>
        <v>2.2768748695271519</v>
      </c>
      <c r="R103" s="619">
        <f t="shared" si="210"/>
        <v>1.7521170575840492</v>
      </c>
      <c r="S103" s="619">
        <f t="shared" si="210"/>
        <v>0.7698884306889513</v>
      </c>
      <c r="T103" s="619">
        <f t="shared" si="210"/>
        <v>1.3766222989813104</v>
      </c>
      <c r="U103" s="619">
        <f t="shared" si="210"/>
        <v>0</v>
      </c>
      <c r="V103" s="619">
        <f t="shared" si="210"/>
        <v>0.90025257054584151</v>
      </c>
      <c r="W103" s="559">
        <f t="shared" ref="W103:Y103" si="211">+IF($O103=0,"-",R103/$O103)</f>
        <v>0.36510955200959305</v>
      </c>
      <c r="X103" s="559">
        <f t="shared" si="211"/>
        <v>0.16043084496523574</v>
      </c>
      <c r="Y103" s="559">
        <f t="shared" si="211"/>
        <v>0.28686322565715427</v>
      </c>
      <c r="Z103" s="559">
        <f t="shared" si="179"/>
        <v>0.18759637736801693</v>
      </c>
      <c r="AA103" s="560">
        <f t="shared" ref="AA103:AA104" si="212">+IF($T103=0,"-",U103/$T103)</f>
        <v>0</v>
      </c>
      <c r="AB103" s="622">
        <f t="shared" si="181"/>
        <v>1058.6607668001971</v>
      </c>
      <c r="AC103" s="623">
        <f t="shared" si="182"/>
        <v>6.3988764764176702</v>
      </c>
      <c r="AD103" s="563">
        <f t="shared" si="183"/>
        <v>1027.9533241655267</v>
      </c>
      <c r="AE103" s="627">
        <f t="shared" si="184"/>
        <v>6.3988764764176693</v>
      </c>
      <c r="AF103" s="563">
        <f t="shared" si="185"/>
        <v>30.707442634670208</v>
      </c>
      <c r="AG103" s="627">
        <f t="shared" si="186"/>
        <v>6.3988764764176702</v>
      </c>
      <c r="AH103" s="616">
        <f t="shared" si="187"/>
        <v>165.44478873779963</v>
      </c>
      <c r="AI103" s="616">
        <f t="shared" ref="AI103:AV103" si="213">+SUMIFS(BK$67:BK$89,$I$67:$I$89,$J103,$M$67:$M$89,$K103)</f>
        <v>165.44478873779963</v>
      </c>
      <c r="AJ103" s="616">
        <f t="shared" si="213"/>
        <v>153.89107121101256</v>
      </c>
      <c r="AK103" s="616">
        <f t="shared" si="213"/>
        <v>117.34515536171116</v>
      </c>
      <c r="AL103" s="616">
        <f t="shared" si="213"/>
        <v>91.230677358831571</v>
      </c>
      <c r="AM103" s="616">
        <f t="shared" si="213"/>
        <v>73.19355276753096</v>
      </c>
      <c r="AN103" s="616">
        <f t="shared" si="213"/>
        <v>46.137865880580037</v>
      </c>
      <c r="AO103" s="616">
        <f t="shared" si="213"/>
        <v>34.93812928869707</v>
      </c>
      <c r="AP103" s="616">
        <f t="shared" si="213"/>
        <v>27.471638227441758</v>
      </c>
      <c r="AQ103" s="616">
        <f t="shared" si="213"/>
        <v>23.215461459279428</v>
      </c>
      <c r="AR103" s="616">
        <f t="shared" si="213"/>
        <v>16.831196307035714</v>
      </c>
      <c r="AS103" s="616">
        <f t="shared" si="213"/>
        <v>12.14520015893914</v>
      </c>
      <c r="AT103" s="616">
        <f t="shared" si="213"/>
        <v>9.7568222406346106</v>
      </c>
      <c r="AU103" s="616">
        <f t="shared" si="213"/>
        <v>7.7567559465187346</v>
      </c>
      <c r="AV103" s="616">
        <f t="shared" si="213"/>
        <v>5.7455960840757854</v>
      </c>
      <c r="AW103" s="625">
        <f t="shared" ref="AW103:BJ103" si="214">+AI103*(100%-$P103)</f>
        <v>160.64590837999947</v>
      </c>
      <c r="AX103" s="625">
        <f t="shared" si="214"/>
        <v>149.42731720274489</v>
      </c>
      <c r="AY103" s="625">
        <f t="shared" si="214"/>
        <v>113.94144971800681</v>
      </c>
      <c r="AZ103" s="625">
        <f t="shared" si="214"/>
        <v>88.584446498698867</v>
      </c>
      <c r="BA103" s="625">
        <f t="shared" si="214"/>
        <v>71.070505523955475</v>
      </c>
      <c r="BB103" s="625">
        <f t="shared" si="214"/>
        <v>44.799594061840381</v>
      </c>
      <c r="BC103" s="625">
        <f t="shared" si="214"/>
        <v>33.924716272421726</v>
      </c>
      <c r="BD103" s="625">
        <f t="shared" si="214"/>
        <v>26.674797746142623</v>
      </c>
      <c r="BE103" s="625">
        <f t="shared" si="214"/>
        <v>22.542075353593351</v>
      </c>
      <c r="BF103" s="625">
        <f t="shared" si="214"/>
        <v>16.342991764769234</v>
      </c>
      <c r="BG103" s="625">
        <f t="shared" si="214"/>
        <v>11.792917304163623</v>
      </c>
      <c r="BH103" s="625">
        <f t="shared" si="214"/>
        <v>9.4738165142993243</v>
      </c>
      <c r="BI103" s="625">
        <f t="shared" si="214"/>
        <v>7.5317640079029387</v>
      </c>
      <c r="BJ103" s="625">
        <f t="shared" si="214"/>
        <v>5.578939712472434</v>
      </c>
      <c r="BK103" s="625">
        <f t="shared" ref="BK103:BX103" si="215">+AI103*($P103)</f>
        <v>4.7988803578001527</v>
      </c>
      <c r="BL103" s="625">
        <f t="shared" si="215"/>
        <v>4.4637540082676805</v>
      </c>
      <c r="BM103" s="625">
        <f t="shared" si="215"/>
        <v>3.4037056437043534</v>
      </c>
      <c r="BN103" s="625">
        <f t="shared" si="215"/>
        <v>2.6462308601326976</v>
      </c>
      <c r="BO103" s="625">
        <f t="shared" si="215"/>
        <v>2.1230472435754812</v>
      </c>
      <c r="BP103" s="625">
        <f t="shared" si="215"/>
        <v>1.3382718187396567</v>
      </c>
      <c r="BQ103" s="625">
        <f t="shared" si="215"/>
        <v>1.0134130162753441</v>
      </c>
      <c r="BR103" s="625">
        <f t="shared" si="215"/>
        <v>0.79684048129913565</v>
      </c>
      <c r="BS103" s="625">
        <f t="shared" si="215"/>
        <v>0.67338610568607637</v>
      </c>
      <c r="BT103" s="625">
        <f t="shared" si="215"/>
        <v>0.48820454226648125</v>
      </c>
      <c r="BU103" s="625">
        <f t="shared" si="215"/>
        <v>0.35228285477551685</v>
      </c>
      <c r="BV103" s="625">
        <f t="shared" si="215"/>
        <v>0.28300572633528709</v>
      </c>
      <c r="BW103" s="625">
        <f t="shared" si="215"/>
        <v>0.22499193861579561</v>
      </c>
      <c r="BX103" s="625">
        <f t="shared" si="215"/>
        <v>0.16665637160335178</v>
      </c>
      <c r="CV103" s="16"/>
      <c r="CW103" s="16"/>
      <c r="CX103" s="16"/>
      <c r="CY103" s="16"/>
      <c r="CZ103" s="16"/>
      <c r="DA103" s="16"/>
      <c r="DB103" s="16"/>
    </row>
    <row r="104" spans="10:106" ht="15.75" customHeight="1" x14ac:dyDescent="0.25">
      <c r="J104" s="103" t="s">
        <v>1258</v>
      </c>
      <c r="K104" s="103" t="s">
        <v>1197</v>
      </c>
      <c r="L104" s="614" t="s">
        <v>28</v>
      </c>
      <c r="M104" s="626" t="s">
        <v>1475</v>
      </c>
      <c r="N104" s="616">
        <f t="shared" ref="N104:O104" si="216">+SUMIFS(N$67:N$89,$I$67:$I$89,$J104,$M$67:$M$89,$K104)</f>
        <v>28.394686542809108</v>
      </c>
      <c r="O104" s="616">
        <f t="shared" si="216"/>
        <v>1.4684920173037528</v>
      </c>
      <c r="P104" s="617">
        <f t="shared" si="176"/>
        <v>4.9174002504380532E-2</v>
      </c>
      <c r="Q104" s="618">
        <f t="shared" ref="Q104:V104" si="217">+SUMIFS(Q$67:Q$89,$I$67:$I$89,$J104,$M$67:$M$89,$K104)</f>
        <v>0.61987830491387741</v>
      </c>
      <c r="R104" s="619">
        <f t="shared" si="217"/>
        <v>0.20575788232194489</v>
      </c>
      <c r="S104" s="619">
        <f t="shared" si="217"/>
        <v>0.24158707246769739</v>
      </c>
      <c r="T104" s="619">
        <f t="shared" si="217"/>
        <v>1.0198649246869729</v>
      </c>
      <c r="U104" s="619">
        <f t="shared" si="217"/>
        <v>0.40126875760023273</v>
      </c>
      <c r="V104" s="619">
        <f t="shared" si="217"/>
        <v>1.2821378271373829E-3</v>
      </c>
      <c r="W104" s="559">
        <f t="shared" ref="W104:Y104" si="218">+IF($O104=0,"-",R104/$O104)</f>
        <v>0.14011508397555322</v>
      </c>
      <c r="X104" s="559">
        <f t="shared" si="218"/>
        <v>0.16451371176757706</v>
      </c>
      <c r="Y104" s="559">
        <f t="shared" si="218"/>
        <v>0.69449810599550377</v>
      </c>
      <c r="Z104" s="559">
        <f t="shared" si="179"/>
        <v>8.7309826136574556E-4</v>
      </c>
      <c r="AA104" s="560">
        <f t="shared" si="212"/>
        <v>0.39345284643786937</v>
      </c>
      <c r="AB104" s="622">
        <f t="shared" si="181"/>
        <v>283.33235609852005</v>
      </c>
      <c r="AC104" s="623">
        <f t="shared" si="182"/>
        <v>9.4876824825658908</v>
      </c>
      <c r="AD104" s="563">
        <f t="shared" si="183"/>
        <v>269.39977011015941</v>
      </c>
      <c r="AE104" s="627">
        <f t="shared" si="184"/>
        <v>9.4876824825658908</v>
      </c>
      <c r="AF104" s="563">
        <f t="shared" si="185"/>
        <v>13.932585988360662</v>
      </c>
      <c r="AG104" s="627">
        <f t="shared" si="186"/>
        <v>9.4876824825658908</v>
      </c>
      <c r="AH104" s="616">
        <f t="shared" si="187"/>
        <v>29.863178560112861</v>
      </c>
      <c r="AI104" s="616">
        <f t="shared" ref="AI104:AV104" si="219">+SUMIFS(BK$67:BK$89,$I$67:$I$89,$J104,$M$67:$M$89,$K104)</f>
        <v>29.863178560112861</v>
      </c>
      <c r="AJ104" s="616">
        <f t="shared" si="219"/>
        <v>27.835107673690871</v>
      </c>
      <c r="AK104" s="616">
        <f t="shared" si="219"/>
        <v>23.993658119029163</v>
      </c>
      <c r="AL104" s="616">
        <f t="shared" si="219"/>
        <v>20.274712206938659</v>
      </c>
      <c r="AM104" s="616">
        <f t="shared" si="219"/>
        <v>17.1777557482433</v>
      </c>
      <c r="AN104" s="616">
        <f t="shared" si="219"/>
        <v>12.747595139993381</v>
      </c>
      <c r="AO104" s="616">
        <f t="shared" si="219"/>
        <v>10.454848192395344</v>
      </c>
      <c r="AP104" s="616">
        <f t="shared" si="219"/>
        <v>8.9263502273299657</v>
      </c>
      <c r="AQ104" s="616">
        <f t="shared" si="219"/>
        <v>7.8276051073700268</v>
      </c>
      <c r="AR104" s="616">
        <f t="shared" si="219"/>
        <v>6.2430911328234622</v>
      </c>
      <c r="AS104" s="616">
        <f t="shared" si="219"/>
        <v>4.9217966700768256</v>
      </c>
      <c r="AT104" s="616">
        <f t="shared" si="219"/>
        <v>4.3266071106673554</v>
      </c>
      <c r="AU104" s="616">
        <f t="shared" si="219"/>
        <v>3.9981896052775259</v>
      </c>
      <c r="AV104" s="616">
        <f t="shared" si="219"/>
        <v>3.5055633471927838</v>
      </c>
      <c r="AW104" s="625">
        <f t="shared" ref="AW104:BJ104" si="220">+AI104*(100%-$P104)</f>
        <v>28.394686542809108</v>
      </c>
      <c r="AX104" s="625">
        <f t="shared" si="220"/>
        <v>26.466344019235095</v>
      </c>
      <c r="AY104" s="625">
        <f t="shared" si="220"/>
        <v>22.813793914594772</v>
      </c>
      <c r="AZ104" s="625">
        <f t="shared" si="220"/>
        <v>19.277723458099064</v>
      </c>
      <c r="BA104" s="625">
        <f t="shared" si="220"/>
        <v>16.333056744059547</v>
      </c>
      <c r="BB104" s="625">
        <f t="shared" si="220"/>
        <v>12.120744864654517</v>
      </c>
      <c r="BC104" s="625">
        <f t="shared" si="220"/>
        <v>9.9407414611995772</v>
      </c>
      <c r="BD104" s="625">
        <f t="shared" si="220"/>
        <v>8.4874058588962651</v>
      </c>
      <c r="BE104" s="625">
        <f t="shared" si="220"/>
        <v>7.4426904342169111</v>
      </c>
      <c r="BF104" s="625">
        <f t="shared" si="220"/>
        <v>5.9360933538229252</v>
      </c>
      <c r="BG104" s="625">
        <f t="shared" si="220"/>
        <v>4.6797722282964163</v>
      </c>
      <c r="BH104" s="625">
        <f t="shared" si="220"/>
        <v>4.1138505217719281</v>
      </c>
      <c r="BI104" s="625">
        <f t="shared" si="220"/>
        <v>3.8015826196146207</v>
      </c>
      <c r="BJ104" s="625">
        <f t="shared" si="220"/>
        <v>3.3331807663786615</v>
      </c>
      <c r="BK104" s="625">
        <f t="shared" ref="BK104:BX104" si="221">+AI104*($P104)</f>
        <v>1.4684920173037528</v>
      </c>
      <c r="BL104" s="625">
        <f t="shared" si="221"/>
        <v>1.3687636544557766</v>
      </c>
      <c r="BM104" s="625">
        <f t="shared" si="221"/>
        <v>1.1798642044343903</v>
      </c>
      <c r="BN104" s="625">
        <f t="shared" si="221"/>
        <v>0.99698874883959621</v>
      </c>
      <c r="BO104" s="625">
        <f t="shared" si="221"/>
        <v>0.8446990041837531</v>
      </c>
      <c r="BP104" s="625">
        <f t="shared" si="221"/>
        <v>0.62685027533886362</v>
      </c>
      <c r="BQ104" s="625">
        <f t="shared" si="221"/>
        <v>0.51410673119576689</v>
      </c>
      <c r="BR104" s="625">
        <f t="shared" si="221"/>
        <v>0.43894436843370144</v>
      </c>
      <c r="BS104" s="625">
        <f t="shared" si="221"/>
        <v>0.38491467315311556</v>
      </c>
      <c r="BT104" s="625">
        <f t="shared" si="221"/>
        <v>0.30699777900053682</v>
      </c>
      <c r="BU104" s="625">
        <f t="shared" si="221"/>
        <v>0.24202444178040958</v>
      </c>
      <c r="BV104" s="625">
        <f t="shared" si="221"/>
        <v>0.21275658889542715</v>
      </c>
      <c r="BW104" s="625">
        <f t="shared" si="221"/>
        <v>0.19660698566290527</v>
      </c>
      <c r="BX104" s="625">
        <f t="shared" si="221"/>
        <v>0.17238258081412255</v>
      </c>
      <c r="CV104" s="16"/>
      <c r="CW104" s="16"/>
      <c r="CX104" s="16"/>
      <c r="CY104" s="16"/>
      <c r="CZ104" s="16"/>
      <c r="DA104" s="16"/>
      <c r="DB104" s="16"/>
    </row>
    <row r="105" spans="10:106" ht="15.75" customHeight="1" x14ac:dyDescent="0.25">
      <c r="J105" s="103" t="s">
        <v>1266</v>
      </c>
      <c r="K105" s="103" t="s">
        <v>1398</v>
      </c>
      <c r="L105" s="614" t="s">
        <v>31</v>
      </c>
      <c r="M105" s="626" t="s">
        <v>1476</v>
      </c>
      <c r="N105" s="616">
        <f t="shared" ref="N105:O105" si="222">+SUMIFS(N$67:N$89,$I$67:$I$89,$J105,$M$67:$M$89,$K105)</f>
        <v>7.4922948422413441E-2</v>
      </c>
      <c r="O105" s="616">
        <f t="shared" si="222"/>
        <v>13.730938960633223</v>
      </c>
      <c r="P105" s="617">
        <f t="shared" si="176"/>
        <v>0.99457310605335914</v>
      </c>
      <c r="Q105" s="618">
        <f t="shared" ref="Q105:V105" si="223">+SUMIFS(Q$67:Q$89,$I$67:$I$89,$J105,$M$67:$M$89,$K105)</f>
        <v>13.465657577297089</v>
      </c>
      <c r="R105" s="619">
        <f t="shared" si="223"/>
        <v>2.2906856139958444E-2</v>
      </c>
      <c r="S105" s="619">
        <f t="shared" si="223"/>
        <v>0.24237452719617553</v>
      </c>
      <c r="T105" s="619">
        <f t="shared" si="223"/>
        <v>0</v>
      </c>
      <c r="U105" s="619">
        <f t="shared" si="223"/>
        <v>0</v>
      </c>
      <c r="V105" s="619">
        <f t="shared" si="223"/>
        <v>13.465657577297089</v>
      </c>
      <c r="W105" s="559">
        <f t="shared" ref="W105:Y105" si="224">+IF($O105=0,"-",R105/$O105)</f>
        <v>1.6682658196670085E-3</v>
      </c>
      <c r="X105" s="559">
        <f t="shared" si="224"/>
        <v>1.7651708152739327E-2</v>
      </c>
      <c r="Y105" s="559">
        <f t="shared" si="224"/>
        <v>0</v>
      </c>
      <c r="Z105" s="559">
        <f t="shared" si="179"/>
        <v>0.98068002602759363</v>
      </c>
      <c r="AA105" s="560">
        <f>+IF($T105=0,0,U105/$T105)</f>
        <v>0</v>
      </c>
      <c r="AB105" s="622">
        <f t="shared" si="181"/>
        <v>157.75252398843665</v>
      </c>
      <c r="AC105" s="623">
        <f t="shared" si="182"/>
        <v>11.426488619661082</v>
      </c>
      <c r="AD105" s="563">
        <f t="shared" si="183"/>
        <v>0.85610621750016469</v>
      </c>
      <c r="AE105" s="627">
        <f t="shared" si="184"/>
        <v>11.426488619661127</v>
      </c>
      <c r="AF105" s="563">
        <f t="shared" si="185"/>
        <v>156.89641777093649</v>
      </c>
      <c r="AG105" s="627">
        <f t="shared" si="186"/>
        <v>11.426488619661082</v>
      </c>
      <c r="AH105" s="616">
        <f t="shared" si="187"/>
        <v>13.805861909055636</v>
      </c>
      <c r="AI105" s="616">
        <f t="shared" ref="AI105:AV105" si="225">+SUMIFS(BK$67:BK$89,$I$67:$I$89,$J105,$M$67:$M$89,$K105)</f>
        <v>13.805861909055636</v>
      </c>
      <c r="AJ105" s="616">
        <f t="shared" si="225"/>
        <v>13.555017760421741</v>
      </c>
      <c r="AK105" s="616">
        <f t="shared" si="225"/>
        <v>13.580367821962039</v>
      </c>
      <c r="AL105" s="616">
        <f t="shared" si="225"/>
        <v>11.513307662146612</v>
      </c>
      <c r="AM105" s="616">
        <f t="shared" si="225"/>
        <v>9.8123614879947141</v>
      </c>
      <c r="AN105" s="616">
        <f t="shared" si="225"/>
        <v>7.6975094726589486</v>
      </c>
      <c r="AO105" s="616">
        <f t="shared" si="225"/>
        <v>6.213889795624481</v>
      </c>
      <c r="AP105" s="616">
        <f t="shared" si="225"/>
        <v>5.3187837596252985</v>
      </c>
      <c r="AQ105" s="616">
        <f t="shared" si="225"/>
        <v>4.5635467610294596</v>
      </c>
      <c r="AR105" s="616">
        <f t="shared" si="225"/>
        <v>3.6682050453013875</v>
      </c>
      <c r="AS105" s="616">
        <f t="shared" si="225"/>
        <v>2.8293262902704885</v>
      </c>
      <c r="AT105" s="616">
        <f t="shared" si="225"/>
        <v>2.286975390331242</v>
      </c>
      <c r="AU105" s="616">
        <f t="shared" si="225"/>
        <v>1.7612347432495417</v>
      </c>
      <c r="AV105" s="616">
        <f t="shared" si="225"/>
        <v>0.97262377262695476</v>
      </c>
      <c r="AW105" s="625">
        <f t="shared" ref="AW105:BJ105" si="226">+AI105*(100%-$P105)</f>
        <v>7.4922948422413732E-2</v>
      </c>
      <c r="AX105" s="625">
        <f t="shared" si="226"/>
        <v>7.3561643830642162E-2</v>
      </c>
      <c r="AY105" s="625">
        <f t="shared" si="226"/>
        <v>7.3699215926162173E-2</v>
      </c>
      <c r="AZ105" s="625">
        <f t="shared" si="226"/>
        <v>6.2481499657517342E-2</v>
      </c>
      <c r="BA105" s="625">
        <f t="shared" si="226"/>
        <v>5.3250645161450463E-2</v>
      </c>
      <c r="BB105" s="625">
        <f t="shared" si="226"/>
        <v>4.1773567561383562E-2</v>
      </c>
      <c r="BC105" s="625">
        <f t="shared" si="226"/>
        <v>3.372212091696794E-2</v>
      </c>
      <c r="BD105" s="625">
        <f t="shared" si="226"/>
        <v>2.8864475388602272E-2</v>
      </c>
      <c r="BE105" s="625">
        <f t="shared" si="226"/>
        <v>2.47658842926433E-2</v>
      </c>
      <c r="BF105" s="625">
        <f t="shared" si="226"/>
        <v>1.990695975538358E-2</v>
      </c>
      <c r="BG105" s="625">
        <f t="shared" si="226"/>
        <v>1.5354453717740768E-2</v>
      </c>
      <c r="BH105" s="625">
        <f t="shared" si="226"/>
        <v>1.2411172901905246E-2</v>
      </c>
      <c r="BI105" s="625">
        <f t="shared" si="226"/>
        <v>9.5580341667545164E-3</v>
      </c>
      <c r="BJ105" s="625">
        <f t="shared" si="226"/>
        <v>5.2783260640282218E-3</v>
      </c>
      <c r="BK105" s="625">
        <f t="shared" ref="BK105:BX105" si="227">+AI105*($P105)</f>
        <v>13.730938960633223</v>
      </c>
      <c r="BL105" s="625">
        <f t="shared" si="227"/>
        <v>13.481456116591099</v>
      </c>
      <c r="BM105" s="625">
        <f t="shared" si="227"/>
        <v>13.506668606035877</v>
      </c>
      <c r="BN105" s="625">
        <f t="shared" si="227"/>
        <v>11.450826162489095</v>
      </c>
      <c r="BO105" s="625">
        <f t="shared" si="227"/>
        <v>9.7591108428332642</v>
      </c>
      <c r="BP105" s="625">
        <f t="shared" si="227"/>
        <v>7.6557359050975649</v>
      </c>
      <c r="BQ105" s="625">
        <f t="shared" si="227"/>
        <v>6.1801676747075129</v>
      </c>
      <c r="BR105" s="625">
        <f t="shared" si="227"/>
        <v>5.2899192842366958</v>
      </c>
      <c r="BS105" s="625">
        <f t="shared" si="227"/>
        <v>4.5387808767368165</v>
      </c>
      <c r="BT105" s="625">
        <f t="shared" si="227"/>
        <v>3.6482980855460041</v>
      </c>
      <c r="BU105" s="625">
        <f t="shared" si="227"/>
        <v>2.813971836552748</v>
      </c>
      <c r="BV105" s="625">
        <f t="shared" si="227"/>
        <v>2.2745642174293366</v>
      </c>
      <c r="BW105" s="625">
        <f t="shared" si="227"/>
        <v>1.7516767090827872</v>
      </c>
      <c r="BX105" s="625">
        <f t="shared" si="227"/>
        <v>0.96734544656292654</v>
      </c>
      <c r="CV105" s="16"/>
      <c r="CW105" s="16"/>
      <c r="CX105" s="16"/>
      <c r="CY105" s="16"/>
      <c r="CZ105" s="16"/>
      <c r="DA105" s="16"/>
      <c r="DB105" s="16"/>
    </row>
    <row r="106" spans="10:106" ht="15.75" customHeight="1" x14ac:dyDescent="0.25">
      <c r="J106" s="103" t="s">
        <v>1228</v>
      </c>
      <c r="K106" s="103" t="s">
        <v>1197</v>
      </c>
      <c r="L106" s="614" t="s">
        <v>1477</v>
      </c>
      <c r="M106" s="103"/>
      <c r="N106" s="616">
        <f t="shared" ref="N106:V106" si="228">+SUMIFS(N$67:N$86,$I$67:$I$86,$J106,$M$67:$M$86,$K106)</f>
        <v>0</v>
      </c>
      <c r="O106" s="616">
        <f t="shared" si="228"/>
        <v>0</v>
      </c>
      <c r="P106" s="618">
        <f t="shared" si="228"/>
        <v>0</v>
      </c>
      <c r="Q106" s="618">
        <f t="shared" si="228"/>
        <v>0</v>
      </c>
      <c r="R106" s="619">
        <f t="shared" si="228"/>
        <v>0</v>
      </c>
      <c r="S106" s="619">
        <f t="shared" si="228"/>
        <v>0</v>
      </c>
      <c r="T106" s="619">
        <f t="shared" si="228"/>
        <v>0</v>
      </c>
      <c r="U106" s="619">
        <f t="shared" si="228"/>
        <v>0</v>
      </c>
      <c r="V106" s="619">
        <f t="shared" si="228"/>
        <v>0</v>
      </c>
      <c r="W106" s="559" t="str">
        <f t="shared" ref="W106:Y106" si="229">+IF($O106=0,"-",R106/$O106)</f>
        <v>-</v>
      </c>
      <c r="X106" s="559" t="str">
        <f t="shared" si="229"/>
        <v>-</v>
      </c>
      <c r="Y106" s="559" t="str">
        <f t="shared" si="229"/>
        <v>-</v>
      </c>
      <c r="Z106" s="559" t="str">
        <f t="shared" si="179"/>
        <v>-</v>
      </c>
      <c r="AA106" s="560" t="str">
        <f t="shared" ref="AA106:AA112" si="230">+IF($T106=0,"-",U106/$T106)</f>
        <v>-</v>
      </c>
      <c r="AB106" s="622">
        <f t="shared" ref="AB106:AC106" si="231">+SUMIFS(AB$67:AB$86,$I$67:$I$86,$J106,$M$67:$M$86,$K106)</f>
        <v>0</v>
      </c>
      <c r="AC106" s="622">
        <f t="shared" si="231"/>
        <v>0</v>
      </c>
      <c r="AD106" s="627">
        <f t="shared" si="183"/>
        <v>0</v>
      </c>
      <c r="AE106" s="628" t="str">
        <f t="shared" si="184"/>
        <v>-</v>
      </c>
      <c r="AF106" s="627">
        <f t="shared" si="185"/>
        <v>0</v>
      </c>
      <c r="AG106" s="628" t="str">
        <f t="shared" ref="AG106:AG112" si="232">+IF(P106=0,"-",AF106/P106)</f>
        <v>-</v>
      </c>
      <c r="AH106" s="616">
        <f t="shared" ref="AH106:AH112" si="233">+SUMIFS(AH$67:AH$86,$I$67:$I$86,$J106,$M$67:$M$86,$K106)</f>
        <v>0</v>
      </c>
      <c r="AI106" s="616">
        <f t="shared" ref="AI106:AV106" si="234">+SUMIFS(BK$67:BK$86,$I$67:$I$86,$J106,$M$67:$M$86,$K106)</f>
        <v>0</v>
      </c>
      <c r="AJ106" s="616">
        <f t="shared" si="234"/>
        <v>0</v>
      </c>
      <c r="AK106" s="616">
        <f t="shared" si="234"/>
        <v>0</v>
      </c>
      <c r="AL106" s="616">
        <f t="shared" si="234"/>
        <v>0</v>
      </c>
      <c r="AM106" s="616">
        <f t="shared" si="234"/>
        <v>0</v>
      </c>
      <c r="AN106" s="616">
        <f t="shared" si="234"/>
        <v>0</v>
      </c>
      <c r="AO106" s="616">
        <f t="shared" si="234"/>
        <v>0</v>
      </c>
      <c r="AP106" s="616">
        <f t="shared" si="234"/>
        <v>0</v>
      </c>
      <c r="AQ106" s="616">
        <f t="shared" si="234"/>
        <v>0</v>
      </c>
      <c r="AR106" s="616">
        <f t="shared" si="234"/>
        <v>0</v>
      </c>
      <c r="AS106" s="616">
        <f t="shared" si="234"/>
        <v>0</v>
      </c>
      <c r="AT106" s="616">
        <f t="shared" si="234"/>
        <v>0</v>
      </c>
      <c r="AU106" s="616">
        <f t="shared" si="234"/>
        <v>0</v>
      </c>
      <c r="AV106" s="616">
        <f t="shared" si="234"/>
        <v>0</v>
      </c>
      <c r="AW106" s="625">
        <f t="shared" ref="AW106:BJ106" si="235">+AI106*(100%-$P106)</f>
        <v>0</v>
      </c>
      <c r="AX106" s="625">
        <f t="shared" si="235"/>
        <v>0</v>
      </c>
      <c r="AY106" s="625">
        <f t="shared" si="235"/>
        <v>0</v>
      </c>
      <c r="AZ106" s="625">
        <f t="shared" si="235"/>
        <v>0</v>
      </c>
      <c r="BA106" s="625">
        <f t="shared" si="235"/>
        <v>0</v>
      </c>
      <c r="BB106" s="625">
        <f t="shared" si="235"/>
        <v>0</v>
      </c>
      <c r="BC106" s="625">
        <f t="shared" si="235"/>
        <v>0</v>
      </c>
      <c r="BD106" s="625">
        <f t="shared" si="235"/>
        <v>0</v>
      </c>
      <c r="BE106" s="625">
        <f t="shared" si="235"/>
        <v>0</v>
      </c>
      <c r="BF106" s="625">
        <f t="shared" si="235"/>
        <v>0</v>
      </c>
      <c r="BG106" s="625">
        <f t="shared" si="235"/>
        <v>0</v>
      </c>
      <c r="BH106" s="625">
        <f t="shared" si="235"/>
        <v>0</v>
      </c>
      <c r="BI106" s="625">
        <f t="shared" si="235"/>
        <v>0</v>
      </c>
      <c r="BJ106" s="625">
        <f t="shared" si="235"/>
        <v>0</v>
      </c>
      <c r="BK106" s="625">
        <f t="shared" ref="BK106:BX106" si="236">+AI106*($P106)</f>
        <v>0</v>
      </c>
      <c r="BL106" s="625">
        <f t="shared" si="236"/>
        <v>0</v>
      </c>
      <c r="BM106" s="625">
        <f t="shared" si="236"/>
        <v>0</v>
      </c>
      <c r="BN106" s="625">
        <f t="shared" si="236"/>
        <v>0</v>
      </c>
      <c r="BO106" s="625">
        <f t="shared" si="236"/>
        <v>0</v>
      </c>
      <c r="BP106" s="625">
        <f t="shared" si="236"/>
        <v>0</v>
      </c>
      <c r="BQ106" s="625">
        <f t="shared" si="236"/>
        <v>0</v>
      </c>
      <c r="BR106" s="625">
        <f t="shared" si="236"/>
        <v>0</v>
      </c>
      <c r="BS106" s="625">
        <f t="shared" si="236"/>
        <v>0</v>
      </c>
      <c r="BT106" s="625">
        <f t="shared" si="236"/>
        <v>0</v>
      </c>
      <c r="BU106" s="625">
        <f t="shared" si="236"/>
        <v>0</v>
      </c>
      <c r="BV106" s="625">
        <f t="shared" si="236"/>
        <v>0</v>
      </c>
      <c r="BW106" s="625">
        <f t="shared" si="236"/>
        <v>0</v>
      </c>
      <c r="BX106" s="625">
        <f t="shared" si="236"/>
        <v>0</v>
      </c>
      <c r="CV106" s="16"/>
      <c r="CW106" s="16"/>
      <c r="CX106" s="16"/>
      <c r="CY106" s="16"/>
      <c r="CZ106" s="16"/>
      <c r="DA106" s="16"/>
      <c r="DB106" s="16"/>
    </row>
    <row r="107" spans="10:106" ht="15.75" customHeight="1" x14ac:dyDescent="0.25">
      <c r="J107" s="103" t="s">
        <v>1247</v>
      </c>
      <c r="K107" s="103" t="s">
        <v>1197</v>
      </c>
      <c r="L107" s="614" t="s">
        <v>1477</v>
      </c>
      <c r="M107" s="103"/>
      <c r="N107" s="616">
        <f t="shared" ref="N107:V107" si="237">+SUMIFS(N$67:N$86,$I$67:$I$86,$J107,$M$67:$M$86,$K107)</f>
        <v>0</v>
      </c>
      <c r="O107" s="616">
        <f t="shared" si="237"/>
        <v>0</v>
      </c>
      <c r="P107" s="618">
        <f t="shared" si="237"/>
        <v>0</v>
      </c>
      <c r="Q107" s="618">
        <f t="shared" si="237"/>
        <v>0</v>
      </c>
      <c r="R107" s="619">
        <f t="shared" si="237"/>
        <v>0</v>
      </c>
      <c r="S107" s="619">
        <f t="shared" si="237"/>
        <v>0</v>
      </c>
      <c r="T107" s="619">
        <f t="shared" si="237"/>
        <v>0</v>
      </c>
      <c r="U107" s="619">
        <f t="shared" si="237"/>
        <v>0</v>
      </c>
      <c r="V107" s="619">
        <f t="shared" si="237"/>
        <v>0</v>
      </c>
      <c r="W107" s="559" t="str">
        <f t="shared" ref="W107:Y107" si="238">+IF($O107=0,"-",R107/$O107)</f>
        <v>-</v>
      </c>
      <c r="X107" s="559" t="str">
        <f t="shared" si="238"/>
        <v>-</v>
      </c>
      <c r="Y107" s="559" t="str">
        <f t="shared" si="238"/>
        <v>-</v>
      </c>
      <c r="Z107" s="559" t="str">
        <f t="shared" si="179"/>
        <v>-</v>
      </c>
      <c r="AA107" s="560" t="str">
        <f t="shared" si="230"/>
        <v>-</v>
      </c>
      <c r="AB107" s="622">
        <f t="shared" ref="AB107:AC107" si="239">+SUMIFS(AB$67:AB$86,$I$67:$I$86,$J107,$M$67:$M$86,$K107)</f>
        <v>0</v>
      </c>
      <c r="AC107" s="622">
        <f t="shared" si="239"/>
        <v>0</v>
      </c>
      <c r="AD107" s="627">
        <f t="shared" si="183"/>
        <v>0</v>
      </c>
      <c r="AE107" s="628" t="str">
        <f t="shared" si="184"/>
        <v>-</v>
      </c>
      <c r="AF107" s="627">
        <f t="shared" si="185"/>
        <v>0</v>
      </c>
      <c r="AG107" s="628" t="str">
        <f t="shared" si="232"/>
        <v>-</v>
      </c>
      <c r="AH107" s="616">
        <f t="shared" si="233"/>
        <v>0</v>
      </c>
      <c r="AI107" s="616">
        <f t="shared" ref="AI107:AV107" si="240">+SUMIFS(BK$67:BK$86,$I$67:$I$86,$J107,$M$67:$M$86,$K107)</f>
        <v>0</v>
      </c>
      <c r="AJ107" s="616">
        <f t="shared" si="240"/>
        <v>0</v>
      </c>
      <c r="AK107" s="616">
        <f t="shared" si="240"/>
        <v>0</v>
      </c>
      <c r="AL107" s="616">
        <f t="shared" si="240"/>
        <v>0</v>
      </c>
      <c r="AM107" s="616">
        <f t="shared" si="240"/>
        <v>0</v>
      </c>
      <c r="AN107" s="616">
        <f t="shared" si="240"/>
        <v>0</v>
      </c>
      <c r="AO107" s="616">
        <f t="shared" si="240"/>
        <v>0</v>
      </c>
      <c r="AP107" s="616">
        <f t="shared" si="240"/>
        <v>0</v>
      </c>
      <c r="AQ107" s="616">
        <f t="shared" si="240"/>
        <v>0</v>
      </c>
      <c r="AR107" s="616">
        <f t="shared" si="240"/>
        <v>0</v>
      </c>
      <c r="AS107" s="616">
        <f t="shared" si="240"/>
        <v>0</v>
      </c>
      <c r="AT107" s="616">
        <f t="shared" si="240"/>
        <v>0</v>
      </c>
      <c r="AU107" s="616">
        <f t="shared" si="240"/>
        <v>0</v>
      </c>
      <c r="AV107" s="616">
        <f t="shared" si="240"/>
        <v>0</v>
      </c>
      <c r="AW107" s="625">
        <f t="shared" ref="AW107:BJ107" si="241">+AI107*(100%-$P107)</f>
        <v>0</v>
      </c>
      <c r="AX107" s="625">
        <f t="shared" si="241"/>
        <v>0</v>
      </c>
      <c r="AY107" s="625">
        <f t="shared" si="241"/>
        <v>0</v>
      </c>
      <c r="AZ107" s="625">
        <f t="shared" si="241"/>
        <v>0</v>
      </c>
      <c r="BA107" s="625">
        <f t="shared" si="241"/>
        <v>0</v>
      </c>
      <c r="BB107" s="625">
        <f t="shared" si="241"/>
        <v>0</v>
      </c>
      <c r="BC107" s="625">
        <f t="shared" si="241"/>
        <v>0</v>
      </c>
      <c r="BD107" s="625">
        <f t="shared" si="241"/>
        <v>0</v>
      </c>
      <c r="BE107" s="625">
        <f t="shared" si="241"/>
        <v>0</v>
      </c>
      <c r="BF107" s="625">
        <f t="shared" si="241"/>
        <v>0</v>
      </c>
      <c r="BG107" s="625">
        <f t="shared" si="241"/>
        <v>0</v>
      </c>
      <c r="BH107" s="625">
        <f t="shared" si="241"/>
        <v>0</v>
      </c>
      <c r="BI107" s="625">
        <f t="shared" si="241"/>
        <v>0</v>
      </c>
      <c r="BJ107" s="625">
        <f t="shared" si="241"/>
        <v>0</v>
      </c>
      <c r="BK107" s="625">
        <f t="shared" ref="BK107:BX107" si="242">+AI107*($P107)</f>
        <v>0</v>
      </c>
      <c r="BL107" s="625">
        <f t="shared" si="242"/>
        <v>0</v>
      </c>
      <c r="BM107" s="625">
        <f t="shared" si="242"/>
        <v>0</v>
      </c>
      <c r="BN107" s="625">
        <f t="shared" si="242"/>
        <v>0</v>
      </c>
      <c r="BO107" s="625">
        <f t="shared" si="242"/>
        <v>0</v>
      </c>
      <c r="BP107" s="625">
        <f t="shared" si="242"/>
        <v>0</v>
      </c>
      <c r="BQ107" s="625">
        <f t="shared" si="242"/>
        <v>0</v>
      </c>
      <c r="BR107" s="625">
        <f t="shared" si="242"/>
        <v>0</v>
      </c>
      <c r="BS107" s="625">
        <f t="shared" si="242"/>
        <v>0</v>
      </c>
      <c r="BT107" s="625">
        <f t="shared" si="242"/>
        <v>0</v>
      </c>
      <c r="BU107" s="625">
        <f t="shared" si="242"/>
        <v>0</v>
      </c>
      <c r="BV107" s="625">
        <f t="shared" si="242"/>
        <v>0</v>
      </c>
      <c r="BW107" s="625">
        <f t="shared" si="242"/>
        <v>0</v>
      </c>
      <c r="BX107" s="625">
        <f t="shared" si="242"/>
        <v>0</v>
      </c>
      <c r="CV107" s="1"/>
      <c r="CW107" s="1"/>
      <c r="CX107" s="1"/>
      <c r="CY107" s="1"/>
      <c r="CZ107" s="1"/>
      <c r="DA107" s="1"/>
      <c r="DB107" s="1"/>
    </row>
    <row r="108" spans="10:106" ht="15.75" customHeight="1" x14ac:dyDescent="0.25">
      <c r="J108" s="103" t="s">
        <v>1247</v>
      </c>
      <c r="K108" s="103" t="s">
        <v>1196</v>
      </c>
      <c r="L108" s="614" t="s">
        <v>1477</v>
      </c>
      <c r="M108" s="103"/>
      <c r="N108" s="616">
        <f t="shared" ref="N108:V108" si="243">+SUMIFS(N$67:N$86,$I$67:$I$86,$J108,$M$67:$M$86,$K108)</f>
        <v>0</v>
      </c>
      <c r="O108" s="616">
        <f t="shared" si="243"/>
        <v>0</v>
      </c>
      <c r="P108" s="618">
        <f t="shared" si="243"/>
        <v>0</v>
      </c>
      <c r="Q108" s="618">
        <f t="shared" si="243"/>
        <v>0</v>
      </c>
      <c r="R108" s="619">
        <f t="shared" si="243"/>
        <v>0</v>
      </c>
      <c r="S108" s="619">
        <f t="shared" si="243"/>
        <v>0</v>
      </c>
      <c r="T108" s="619">
        <f t="shared" si="243"/>
        <v>0</v>
      </c>
      <c r="U108" s="619">
        <f t="shared" si="243"/>
        <v>0</v>
      </c>
      <c r="V108" s="619">
        <f t="shared" si="243"/>
        <v>0</v>
      </c>
      <c r="W108" s="559" t="str">
        <f t="shared" ref="W108:Y108" si="244">+IF($O108=0,"-",R108/$O108)</f>
        <v>-</v>
      </c>
      <c r="X108" s="559" t="str">
        <f t="shared" si="244"/>
        <v>-</v>
      </c>
      <c r="Y108" s="559" t="str">
        <f t="shared" si="244"/>
        <v>-</v>
      </c>
      <c r="Z108" s="559" t="str">
        <f t="shared" si="179"/>
        <v>-</v>
      </c>
      <c r="AA108" s="560" t="str">
        <f t="shared" si="230"/>
        <v>-</v>
      </c>
      <c r="AB108" s="622">
        <f t="shared" ref="AB108:AC108" si="245">+SUMIFS(AB$67:AB$86,$I$67:$I$86,$J108,$M$67:$M$86,$K108)</f>
        <v>0</v>
      </c>
      <c r="AC108" s="622">
        <f t="shared" si="245"/>
        <v>0</v>
      </c>
      <c r="AD108" s="627">
        <f t="shared" si="183"/>
        <v>0</v>
      </c>
      <c r="AE108" s="628" t="str">
        <f t="shared" si="184"/>
        <v>-</v>
      </c>
      <c r="AF108" s="627">
        <f t="shared" si="185"/>
        <v>0</v>
      </c>
      <c r="AG108" s="628" t="str">
        <f t="shared" si="232"/>
        <v>-</v>
      </c>
      <c r="AH108" s="616">
        <f t="shared" si="233"/>
        <v>0</v>
      </c>
      <c r="AI108" s="616">
        <f t="shared" ref="AI108:AV108" si="246">+SUMIFS(BK$67:BK$86,$I$67:$I$86,$J108,$M$67:$M$86,$K108)</f>
        <v>0</v>
      </c>
      <c r="AJ108" s="616">
        <f t="shared" si="246"/>
        <v>0</v>
      </c>
      <c r="AK108" s="616">
        <f t="shared" si="246"/>
        <v>0</v>
      </c>
      <c r="AL108" s="616">
        <f t="shared" si="246"/>
        <v>0</v>
      </c>
      <c r="AM108" s="616">
        <f t="shared" si="246"/>
        <v>0</v>
      </c>
      <c r="AN108" s="616">
        <f t="shared" si="246"/>
        <v>0</v>
      </c>
      <c r="AO108" s="616">
        <f t="shared" si="246"/>
        <v>0</v>
      </c>
      <c r="AP108" s="616">
        <f t="shared" si="246"/>
        <v>0</v>
      </c>
      <c r="AQ108" s="616">
        <f t="shared" si="246"/>
        <v>0</v>
      </c>
      <c r="AR108" s="616">
        <f t="shared" si="246"/>
        <v>0</v>
      </c>
      <c r="AS108" s="616">
        <f t="shared" si="246"/>
        <v>0</v>
      </c>
      <c r="AT108" s="616">
        <f t="shared" si="246"/>
        <v>0</v>
      </c>
      <c r="AU108" s="616">
        <f t="shared" si="246"/>
        <v>0</v>
      </c>
      <c r="AV108" s="616">
        <f t="shared" si="246"/>
        <v>0</v>
      </c>
      <c r="AW108" s="625">
        <f t="shared" ref="AW108:BJ108" si="247">+AI108*(100%-$P108)</f>
        <v>0</v>
      </c>
      <c r="AX108" s="625">
        <f t="shared" si="247"/>
        <v>0</v>
      </c>
      <c r="AY108" s="625">
        <f t="shared" si="247"/>
        <v>0</v>
      </c>
      <c r="AZ108" s="625">
        <f t="shared" si="247"/>
        <v>0</v>
      </c>
      <c r="BA108" s="625">
        <f t="shared" si="247"/>
        <v>0</v>
      </c>
      <c r="BB108" s="625">
        <f t="shared" si="247"/>
        <v>0</v>
      </c>
      <c r="BC108" s="625">
        <f t="shared" si="247"/>
        <v>0</v>
      </c>
      <c r="BD108" s="625">
        <f t="shared" si="247"/>
        <v>0</v>
      </c>
      <c r="BE108" s="625">
        <f t="shared" si="247"/>
        <v>0</v>
      </c>
      <c r="BF108" s="625">
        <f t="shared" si="247"/>
        <v>0</v>
      </c>
      <c r="BG108" s="625">
        <f t="shared" si="247"/>
        <v>0</v>
      </c>
      <c r="BH108" s="625">
        <f t="shared" si="247"/>
        <v>0</v>
      </c>
      <c r="BI108" s="625">
        <f t="shared" si="247"/>
        <v>0</v>
      </c>
      <c r="BJ108" s="625">
        <f t="shared" si="247"/>
        <v>0</v>
      </c>
      <c r="BK108" s="625">
        <f t="shared" ref="BK108:BX108" si="248">+AI108*($P108)</f>
        <v>0</v>
      </c>
      <c r="BL108" s="625">
        <f t="shared" si="248"/>
        <v>0</v>
      </c>
      <c r="BM108" s="625">
        <f t="shared" si="248"/>
        <v>0</v>
      </c>
      <c r="BN108" s="625">
        <f t="shared" si="248"/>
        <v>0</v>
      </c>
      <c r="BO108" s="625">
        <f t="shared" si="248"/>
        <v>0</v>
      </c>
      <c r="BP108" s="625">
        <f t="shared" si="248"/>
        <v>0</v>
      </c>
      <c r="BQ108" s="625">
        <f t="shared" si="248"/>
        <v>0</v>
      </c>
      <c r="BR108" s="625">
        <f t="shared" si="248"/>
        <v>0</v>
      </c>
      <c r="BS108" s="625">
        <f t="shared" si="248"/>
        <v>0</v>
      </c>
      <c r="BT108" s="625">
        <f t="shared" si="248"/>
        <v>0</v>
      </c>
      <c r="BU108" s="625">
        <f t="shared" si="248"/>
        <v>0</v>
      </c>
      <c r="BV108" s="625">
        <f t="shared" si="248"/>
        <v>0</v>
      </c>
      <c r="BW108" s="625">
        <f t="shared" si="248"/>
        <v>0</v>
      </c>
      <c r="BX108" s="625">
        <f t="shared" si="248"/>
        <v>0</v>
      </c>
      <c r="CV108" s="1"/>
      <c r="CW108" s="1"/>
      <c r="CX108" s="1"/>
      <c r="CY108" s="1"/>
      <c r="CZ108" s="1"/>
      <c r="DA108" s="1"/>
      <c r="DB108" s="1"/>
    </row>
    <row r="109" spans="10:106" ht="15.75" customHeight="1" x14ac:dyDescent="0.25">
      <c r="J109" s="103" t="s">
        <v>1249</v>
      </c>
      <c r="K109" s="103" t="s">
        <v>1198</v>
      </c>
      <c r="L109" s="614" t="s">
        <v>1477</v>
      </c>
      <c r="M109" s="103"/>
      <c r="N109" s="616">
        <f t="shared" ref="N109:V109" si="249">+SUMIFS(N$67:N$86,$I$67:$I$86,$J109,$M$67:$M$86,$K109)</f>
        <v>0</v>
      </c>
      <c r="O109" s="616">
        <f t="shared" si="249"/>
        <v>0</v>
      </c>
      <c r="P109" s="618">
        <f t="shared" si="249"/>
        <v>0</v>
      </c>
      <c r="Q109" s="618">
        <f t="shared" si="249"/>
        <v>0</v>
      </c>
      <c r="R109" s="619">
        <f t="shared" si="249"/>
        <v>0</v>
      </c>
      <c r="S109" s="619">
        <f t="shared" si="249"/>
        <v>0</v>
      </c>
      <c r="T109" s="619">
        <f t="shared" si="249"/>
        <v>0</v>
      </c>
      <c r="U109" s="619">
        <f t="shared" si="249"/>
        <v>0</v>
      </c>
      <c r="V109" s="619">
        <f t="shared" si="249"/>
        <v>0</v>
      </c>
      <c r="W109" s="559" t="str">
        <f t="shared" ref="W109:Y109" si="250">+IF($O109=0,"-",R109/$O109)</f>
        <v>-</v>
      </c>
      <c r="X109" s="559" t="str">
        <f t="shared" si="250"/>
        <v>-</v>
      </c>
      <c r="Y109" s="559" t="str">
        <f t="shared" si="250"/>
        <v>-</v>
      </c>
      <c r="Z109" s="559" t="str">
        <f t="shared" si="179"/>
        <v>-</v>
      </c>
      <c r="AA109" s="560" t="str">
        <f t="shared" si="230"/>
        <v>-</v>
      </c>
      <c r="AB109" s="622">
        <f t="shared" ref="AB109:AC109" si="251">+SUMIFS(AB$67:AB$86,$I$67:$I$86,$J109,$M$67:$M$86,$K109)</f>
        <v>0</v>
      </c>
      <c r="AC109" s="622">
        <f t="shared" si="251"/>
        <v>0</v>
      </c>
      <c r="AD109" s="627">
        <f t="shared" si="183"/>
        <v>0</v>
      </c>
      <c r="AE109" s="628" t="str">
        <f t="shared" si="184"/>
        <v>-</v>
      </c>
      <c r="AF109" s="627">
        <f t="shared" si="185"/>
        <v>0</v>
      </c>
      <c r="AG109" s="628" t="str">
        <f t="shared" si="232"/>
        <v>-</v>
      </c>
      <c r="AH109" s="616">
        <f t="shared" si="233"/>
        <v>0</v>
      </c>
      <c r="AI109" s="616">
        <f t="shared" ref="AI109:AV109" si="252">+SUMIFS(BK$67:BK$86,$I$67:$I$86,$J109,$M$67:$M$86,$K109)</f>
        <v>0</v>
      </c>
      <c r="AJ109" s="616">
        <f t="shared" si="252"/>
        <v>0</v>
      </c>
      <c r="AK109" s="616">
        <f t="shared" si="252"/>
        <v>0</v>
      </c>
      <c r="AL109" s="616">
        <f t="shared" si="252"/>
        <v>0</v>
      </c>
      <c r="AM109" s="616">
        <f t="shared" si="252"/>
        <v>0</v>
      </c>
      <c r="AN109" s="616">
        <f t="shared" si="252"/>
        <v>0</v>
      </c>
      <c r="AO109" s="616">
        <f t="shared" si="252"/>
        <v>0</v>
      </c>
      <c r="AP109" s="616">
        <f t="shared" si="252"/>
        <v>0</v>
      </c>
      <c r="AQ109" s="616">
        <f t="shared" si="252"/>
        <v>0</v>
      </c>
      <c r="AR109" s="616">
        <f t="shared" si="252"/>
        <v>0</v>
      </c>
      <c r="AS109" s="616">
        <f t="shared" si="252"/>
        <v>0</v>
      </c>
      <c r="AT109" s="616">
        <f t="shared" si="252"/>
        <v>0</v>
      </c>
      <c r="AU109" s="616">
        <f t="shared" si="252"/>
        <v>0</v>
      </c>
      <c r="AV109" s="616">
        <f t="shared" si="252"/>
        <v>0</v>
      </c>
      <c r="AW109" s="625">
        <f t="shared" ref="AW109:BJ109" si="253">+AI109*(100%-$P109)</f>
        <v>0</v>
      </c>
      <c r="AX109" s="625">
        <f t="shared" si="253"/>
        <v>0</v>
      </c>
      <c r="AY109" s="625">
        <f t="shared" si="253"/>
        <v>0</v>
      </c>
      <c r="AZ109" s="625">
        <f t="shared" si="253"/>
        <v>0</v>
      </c>
      <c r="BA109" s="625">
        <f t="shared" si="253"/>
        <v>0</v>
      </c>
      <c r="BB109" s="625">
        <f t="shared" si="253"/>
        <v>0</v>
      </c>
      <c r="BC109" s="625">
        <f t="shared" si="253"/>
        <v>0</v>
      </c>
      <c r="BD109" s="625">
        <f t="shared" si="253"/>
        <v>0</v>
      </c>
      <c r="BE109" s="625">
        <f t="shared" si="253"/>
        <v>0</v>
      </c>
      <c r="BF109" s="625">
        <f t="shared" si="253"/>
        <v>0</v>
      </c>
      <c r="BG109" s="625">
        <f t="shared" si="253"/>
        <v>0</v>
      </c>
      <c r="BH109" s="625">
        <f t="shared" si="253"/>
        <v>0</v>
      </c>
      <c r="BI109" s="625">
        <f t="shared" si="253"/>
        <v>0</v>
      </c>
      <c r="BJ109" s="625">
        <f t="shared" si="253"/>
        <v>0</v>
      </c>
      <c r="BK109" s="625">
        <f t="shared" ref="BK109:BX109" si="254">+AI109*($P109)</f>
        <v>0</v>
      </c>
      <c r="BL109" s="625">
        <f t="shared" si="254"/>
        <v>0</v>
      </c>
      <c r="BM109" s="625">
        <f t="shared" si="254"/>
        <v>0</v>
      </c>
      <c r="BN109" s="625">
        <f t="shared" si="254"/>
        <v>0</v>
      </c>
      <c r="BO109" s="625">
        <f t="shared" si="254"/>
        <v>0</v>
      </c>
      <c r="BP109" s="625">
        <f t="shared" si="254"/>
        <v>0</v>
      </c>
      <c r="BQ109" s="625">
        <f t="shared" si="254"/>
        <v>0</v>
      </c>
      <c r="BR109" s="625">
        <f t="shared" si="254"/>
        <v>0</v>
      </c>
      <c r="BS109" s="625">
        <f t="shared" si="254"/>
        <v>0</v>
      </c>
      <c r="BT109" s="625">
        <f t="shared" si="254"/>
        <v>0</v>
      </c>
      <c r="BU109" s="625">
        <f t="shared" si="254"/>
        <v>0</v>
      </c>
      <c r="BV109" s="625">
        <f t="shared" si="254"/>
        <v>0</v>
      </c>
      <c r="BW109" s="625">
        <f t="shared" si="254"/>
        <v>0</v>
      </c>
      <c r="BX109" s="625">
        <f t="shared" si="254"/>
        <v>0</v>
      </c>
      <c r="CV109" s="1"/>
      <c r="CW109" s="1"/>
      <c r="CX109" s="1"/>
      <c r="CY109" s="1"/>
      <c r="CZ109" s="1"/>
      <c r="DA109" s="1"/>
      <c r="DB109" s="1"/>
    </row>
    <row r="110" spans="10:106" ht="15.75" customHeight="1" x14ac:dyDescent="0.25">
      <c r="J110" s="103" t="s">
        <v>1249</v>
      </c>
      <c r="K110" s="103" t="s">
        <v>1196</v>
      </c>
      <c r="L110" s="614" t="s">
        <v>1477</v>
      </c>
      <c r="M110" s="103"/>
      <c r="N110" s="616">
        <f t="shared" ref="N110:V110" si="255">+SUMIFS(N$67:N$86,$I$67:$I$86,$J110,$M$67:$M$86,$K110)</f>
        <v>3.2805677744000978</v>
      </c>
      <c r="O110" s="616">
        <f t="shared" si="255"/>
        <v>8.7791106651863626E-2</v>
      </c>
      <c r="P110" s="618">
        <f t="shared" si="255"/>
        <v>2.6063465845553212E-2</v>
      </c>
      <c r="Q110" s="618">
        <f t="shared" si="255"/>
        <v>0</v>
      </c>
      <c r="R110" s="619">
        <f t="shared" si="255"/>
        <v>3.6990181091585597E-2</v>
      </c>
      <c r="S110" s="619">
        <f t="shared" si="255"/>
        <v>5.0800925560278022E-2</v>
      </c>
      <c r="T110" s="619">
        <f t="shared" si="255"/>
        <v>0</v>
      </c>
      <c r="U110" s="619">
        <f t="shared" si="255"/>
        <v>0</v>
      </c>
      <c r="V110" s="619">
        <f t="shared" si="255"/>
        <v>0</v>
      </c>
      <c r="W110" s="559">
        <f t="shared" ref="W110:Y110" si="256">+IF($O110=0,"-",R110/$O110)</f>
        <v>0.42134314627414909</v>
      </c>
      <c r="X110" s="559">
        <f t="shared" si="256"/>
        <v>0.57865685372585085</v>
      </c>
      <c r="Y110" s="559">
        <f t="shared" si="256"/>
        <v>0</v>
      </c>
      <c r="Z110" s="559">
        <f t="shared" si="179"/>
        <v>0</v>
      </c>
      <c r="AA110" s="560" t="str">
        <f t="shared" si="230"/>
        <v>-</v>
      </c>
      <c r="AB110" s="622">
        <f t="shared" ref="AB110:AC110" si="257">+SUMIFS(AB$67:AB$86,$I$67:$I$86,$J110,$M$67:$M$86,$K110)</f>
        <v>34.198855287999997</v>
      </c>
      <c r="AC110" s="622">
        <f t="shared" si="257"/>
        <v>10.42467573902014</v>
      </c>
      <c r="AD110" s="627">
        <f t="shared" si="183"/>
        <v>33.307514591244193</v>
      </c>
      <c r="AE110" s="627">
        <f t="shared" si="184"/>
        <v>10.152972558945223</v>
      </c>
      <c r="AF110" s="627">
        <f t="shared" si="185"/>
        <v>0.89134069675580474</v>
      </c>
      <c r="AG110" s="627">
        <f t="shared" si="232"/>
        <v>34.198855287999997</v>
      </c>
      <c r="AH110" s="616">
        <f t="shared" si="233"/>
        <v>3.3683588810519614</v>
      </c>
      <c r="AI110" s="616">
        <f t="shared" ref="AI110:AV110" si="258">+SUMIFS(BK$67:BK$86,$I$67:$I$86,$J110,$M$67:$M$86,$K110)</f>
        <v>3.3683588810519614</v>
      </c>
      <c r="AJ110" s="616">
        <f t="shared" si="258"/>
        <v>3.0751987685605915</v>
      </c>
      <c r="AK110" s="616">
        <f t="shared" si="258"/>
        <v>3.4930679115729726</v>
      </c>
      <c r="AL110" s="616">
        <f t="shared" si="258"/>
        <v>2.7288246831254654</v>
      </c>
      <c r="AM110" s="616">
        <f t="shared" si="258"/>
        <v>0</v>
      </c>
      <c r="AN110" s="616">
        <f t="shared" si="258"/>
        <v>0</v>
      </c>
      <c r="AO110" s="616">
        <f t="shared" si="258"/>
        <v>1.6467059785204439</v>
      </c>
      <c r="AP110" s="616">
        <f t="shared" si="258"/>
        <v>0.98038529706751343</v>
      </c>
      <c r="AQ110" s="616">
        <f t="shared" si="258"/>
        <v>0.82911070247183327</v>
      </c>
      <c r="AR110" s="616">
        <f t="shared" si="258"/>
        <v>0.60219881057831304</v>
      </c>
      <c r="AS110" s="616">
        <f t="shared" si="258"/>
        <v>0.4903086312459346</v>
      </c>
      <c r="AT110" s="616">
        <f t="shared" si="258"/>
        <v>0.41571517835768235</v>
      </c>
      <c r="AU110" s="616">
        <f t="shared" si="258"/>
        <v>0.34112172546943498</v>
      </c>
      <c r="AV110" s="616">
        <f t="shared" si="258"/>
        <v>0.22923154613705787</v>
      </c>
      <c r="AW110" s="625">
        <f t="shared" ref="AW110:BJ110" si="259">+AI110*(100%-$P110)</f>
        <v>3.2805677744000978</v>
      </c>
      <c r="AX110" s="625">
        <f t="shared" si="259"/>
        <v>2.9950484304879255</v>
      </c>
      <c r="AY110" s="625">
        <f t="shared" si="259"/>
        <v>3.4020264553634925</v>
      </c>
      <c r="AZ110" s="625">
        <f t="shared" si="259"/>
        <v>2.6577020541983223</v>
      </c>
      <c r="BA110" s="625">
        <f t="shared" si="259"/>
        <v>0</v>
      </c>
      <c r="BB110" s="625">
        <f t="shared" si="259"/>
        <v>0</v>
      </c>
      <c r="BC110" s="625">
        <f t="shared" si="259"/>
        <v>1.603787113491608</v>
      </c>
      <c r="BD110" s="625">
        <f t="shared" si="259"/>
        <v>0.95483305836191179</v>
      </c>
      <c r="BE110" s="625">
        <f t="shared" si="259"/>
        <v>0.80750120399577607</v>
      </c>
      <c r="BF110" s="625">
        <f t="shared" si="259"/>
        <v>0.58650342244657239</v>
      </c>
      <c r="BG110" s="625">
        <f t="shared" si="259"/>
        <v>0.47752948898167624</v>
      </c>
      <c r="BH110" s="625">
        <f t="shared" si="259"/>
        <v>0.40488020000507885</v>
      </c>
      <c r="BI110" s="625">
        <f t="shared" si="259"/>
        <v>0.33223091102848618</v>
      </c>
      <c r="BJ110" s="625">
        <f t="shared" si="259"/>
        <v>0.22325697756359131</v>
      </c>
      <c r="BK110" s="625">
        <f t="shared" ref="BK110:BX110" si="260">+AI110*($P110)</f>
        <v>8.7791106651863626E-2</v>
      </c>
      <c r="BL110" s="625">
        <f t="shared" si="260"/>
        <v>8.0150338072666277E-2</v>
      </c>
      <c r="BM110" s="625">
        <f t="shared" si="260"/>
        <v>9.1041456209480051E-2</v>
      </c>
      <c r="BN110" s="625">
        <f t="shared" si="260"/>
        <v>7.1122628927143133E-2</v>
      </c>
      <c r="BO110" s="625">
        <f t="shared" si="260"/>
        <v>0</v>
      </c>
      <c r="BP110" s="625">
        <f t="shared" si="260"/>
        <v>0</v>
      </c>
      <c r="BQ110" s="625">
        <f t="shared" si="260"/>
        <v>4.2918865028835872E-2</v>
      </c>
      <c r="BR110" s="625">
        <f t="shared" si="260"/>
        <v>2.5552238705601676E-2</v>
      </c>
      <c r="BS110" s="625">
        <f t="shared" si="260"/>
        <v>2.1609498476057257E-2</v>
      </c>
      <c r="BT110" s="625">
        <f t="shared" si="260"/>
        <v>1.569538813174063E-2</v>
      </c>
      <c r="BU110" s="625">
        <f t="shared" si="260"/>
        <v>1.277914226425836E-2</v>
      </c>
      <c r="BV110" s="625">
        <f t="shared" si="260"/>
        <v>1.0834978352603516E-2</v>
      </c>
      <c r="BW110" s="625">
        <f t="shared" si="260"/>
        <v>8.8908144409487969E-3</v>
      </c>
      <c r="BX110" s="625">
        <f t="shared" si="260"/>
        <v>5.9745685734665628E-3</v>
      </c>
      <c r="CV110" s="1"/>
      <c r="CW110" s="1"/>
      <c r="CX110" s="1"/>
      <c r="CY110" s="1"/>
      <c r="CZ110" s="1"/>
      <c r="DA110" s="1"/>
      <c r="DB110" s="1"/>
    </row>
    <row r="111" spans="10:106" ht="15.75" customHeight="1" x14ac:dyDescent="0.25">
      <c r="J111" s="103" t="s">
        <v>1258</v>
      </c>
      <c r="K111" s="103" t="s">
        <v>1198</v>
      </c>
      <c r="L111" s="614" t="s">
        <v>1477</v>
      </c>
      <c r="M111" s="103"/>
      <c r="N111" s="616">
        <f t="shared" ref="N111:V111" si="261">+SUMIFS(N$67:N$86,$I$67:$I$86,$J111,$M$67:$M$86,$K111)</f>
        <v>0</v>
      </c>
      <c r="O111" s="616">
        <f t="shared" si="261"/>
        <v>0</v>
      </c>
      <c r="P111" s="618">
        <f t="shared" si="261"/>
        <v>0</v>
      </c>
      <c r="Q111" s="618">
        <f t="shared" si="261"/>
        <v>0</v>
      </c>
      <c r="R111" s="619">
        <f t="shared" si="261"/>
        <v>0</v>
      </c>
      <c r="S111" s="619">
        <f t="shared" si="261"/>
        <v>0</v>
      </c>
      <c r="T111" s="619">
        <f t="shared" si="261"/>
        <v>0</v>
      </c>
      <c r="U111" s="619">
        <f t="shared" si="261"/>
        <v>0</v>
      </c>
      <c r="V111" s="619">
        <f t="shared" si="261"/>
        <v>0</v>
      </c>
      <c r="W111" s="559" t="str">
        <f t="shared" ref="W111:Y111" si="262">+IF($O111=0,"-",R111/$O111)</f>
        <v>-</v>
      </c>
      <c r="X111" s="559" t="str">
        <f t="shared" si="262"/>
        <v>-</v>
      </c>
      <c r="Y111" s="559" t="str">
        <f t="shared" si="262"/>
        <v>-</v>
      </c>
      <c r="Z111" s="559" t="str">
        <f t="shared" si="179"/>
        <v>-</v>
      </c>
      <c r="AA111" s="560" t="str">
        <f t="shared" si="230"/>
        <v>-</v>
      </c>
      <c r="AB111" s="622">
        <f t="shared" ref="AB111:AC111" si="263">+SUMIFS(AB$67:AB$86,$I$67:$I$86,$J111,$M$67:$M$86,$K111)</f>
        <v>0</v>
      </c>
      <c r="AC111" s="622">
        <f t="shared" si="263"/>
        <v>0</v>
      </c>
      <c r="AD111" s="627">
        <f t="shared" si="183"/>
        <v>0</v>
      </c>
      <c r="AE111" s="628" t="str">
        <f t="shared" si="184"/>
        <v>-</v>
      </c>
      <c r="AF111" s="627">
        <f t="shared" si="185"/>
        <v>0</v>
      </c>
      <c r="AG111" s="628" t="str">
        <f t="shared" si="232"/>
        <v>-</v>
      </c>
      <c r="AH111" s="616">
        <f t="shared" si="233"/>
        <v>0</v>
      </c>
      <c r="AI111" s="616">
        <f t="shared" ref="AI111:AV111" si="264">+SUMIFS(BK$67:BK$86,$I$67:$I$86,$J111,$M$67:$M$86,$K111)</f>
        <v>0</v>
      </c>
      <c r="AJ111" s="616">
        <f t="shared" si="264"/>
        <v>0</v>
      </c>
      <c r="AK111" s="616">
        <f t="shared" si="264"/>
        <v>0</v>
      </c>
      <c r="AL111" s="616">
        <f t="shared" si="264"/>
        <v>0</v>
      </c>
      <c r="AM111" s="616">
        <f t="shared" si="264"/>
        <v>0</v>
      </c>
      <c r="AN111" s="616">
        <f t="shared" si="264"/>
        <v>0</v>
      </c>
      <c r="AO111" s="616">
        <f t="shared" si="264"/>
        <v>0</v>
      </c>
      <c r="AP111" s="616">
        <f t="shared" si="264"/>
        <v>0</v>
      </c>
      <c r="AQ111" s="616">
        <f t="shared" si="264"/>
        <v>0</v>
      </c>
      <c r="AR111" s="616">
        <f t="shared" si="264"/>
        <v>0</v>
      </c>
      <c r="AS111" s="616">
        <f t="shared" si="264"/>
        <v>0</v>
      </c>
      <c r="AT111" s="616">
        <f t="shared" si="264"/>
        <v>0</v>
      </c>
      <c r="AU111" s="616">
        <f t="shared" si="264"/>
        <v>0</v>
      </c>
      <c r="AV111" s="616">
        <f t="shared" si="264"/>
        <v>0</v>
      </c>
      <c r="AW111" s="625">
        <f t="shared" ref="AW111:BJ111" si="265">+AI111*(100%-$P111)</f>
        <v>0</v>
      </c>
      <c r="AX111" s="625">
        <f t="shared" si="265"/>
        <v>0</v>
      </c>
      <c r="AY111" s="625">
        <f t="shared" si="265"/>
        <v>0</v>
      </c>
      <c r="AZ111" s="625">
        <f t="shared" si="265"/>
        <v>0</v>
      </c>
      <c r="BA111" s="625">
        <f t="shared" si="265"/>
        <v>0</v>
      </c>
      <c r="BB111" s="625">
        <f t="shared" si="265"/>
        <v>0</v>
      </c>
      <c r="BC111" s="625">
        <f t="shared" si="265"/>
        <v>0</v>
      </c>
      <c r="BD111" s="625">
        <f t="shared" si="265"/>
        <v>0</v>
      </c>
      <c r="BE111" s="625">
        <f t="shared" si="265"/>
        <v>0</v>
      </c>
      <c r="BF111" s="625">
        <f t="shared" si="265"/>
        <v>0</v>
      </c>
      <c r="BG111" s="625">
        <f t="shared" si="265"/>
        <v>0</v>
      </c>
      <c r="BH111" s="625">
        <f t="shared" si="265"/>
        <v>0</v>
      </c>
      <c r="BI111" s="625">
        <f t="shared" si="265"/>
        <v>0</v>
      </c>
      <c r="BJ111" s="625">
        <f t="shared" si="265"/>
        <v>0</v>
      </c>
      <c r="BK111" s="625">
        <f t="shared" ref="BK111:BX111" si="266">+AI111*($P111)</f>
        <v>0</v>
      </c>
      <c r="BL111" s="625">
        <f t="shared" si="266"/>
        <v>0</v>
      </c>
      <c r="BM111" s="625">
        <f t="shared" si="266"/>
        <v>0</v>
      </c>
      <c r="BN111" s="625">
        <f t="shared" si="266"/>
        <v>0</v>
      </c>
      <c r="BO111" s="625">
        <f t="shared" si="266"/>
        <v>0</v>
      </c>
      <c r="BP111" s="625">
        <f t="shared" si="266"/>
        <v>0</v>
      </c>
      <c r="BQ111" s="625">
        <f t="shared" si="266"/>
        <v>0</v>
      </c>
      <c r="BR111" s="625">
        <f t="shared" si="266"/>
        <v>0</v>
      </c>
      <c r="BS111" s="625">
        <f t="shared" si="266"/>
        <v>0</v>
      </c>
      <c r="BT111" s="625">
        <f t="shared" si="266"/>
        <v>0</v>
      </c>
      <c r="BU111" s="625">
        <f t="shared" si="266"/>
        <v>0</v>
      </c>
      <c r="BV111" s="625">
        <f t="shared" si="266"/>
        <v>0</v>
      </c>
      <c r="BW111" s="625">
        <f t="shared" si="266"/>
        <v>0</v>
      </c>
      <c r="BX111" s="625">
        <f t="shared" si="266"/>
        <v>0</v>
      </c>
      <c r="CV111" s="1"/>
      <c r="CW111" s="1"/>
      <c r="CX111" s="1"/>
      <c r="CY111" s="1"/>
      <c r="CZ111" s="1"/>
      <c r="DA111" s="1"/>
      <c r="DB111" s="1"/>
    </row>
    <row r="112" spans="10:106" ht="15.75" customHeight="1" x14ac:dyDescent="0.25">
      <c r="J112" s="103" t="s">
        <v>1258</v>
      </c>
      <c r="K112" s="103" t="s">
        <v>1196</v>
      </c>
      <c r="L112" s="614" t="s">
        <v>1477</v>
      </c>
      <c r="M112" s="103"/>
      <c r="N112" s="616">
        <f t="shared" ref="N112:V112" si="267">+SUMIFS(N$67:N$86,$I$67:$I$86,$J112,$M$67:$M$86,$K112)</f>
        <v>0</v>
      </c>
      <c r="O112" s="616">
        <f t="shared" si="267"/>
        <v>0</v>
      </c>
      <c r="P112" s="618">
        <f t="shared" si="267"/>
        <v>0</v>
      </c>
      <c r="Q112" s="618">
        <f t="shared" si="267"/>
        <v>0</v>
      </c>
      <c r="R112" s="619">
        <f t="shared" si="267"/>
        <v>0</v>
      </c>
      <c r="S112" s="619">
        <f t="shared" si="267"/>
        <v>0</v>
      </c>
      <c r="T112" s="619">
        <f t="shared" si="267"/>
        <v>0</v>
      </c>
      <c r="U112" s="619">
        <f t="shared" si="267"/>
        <v>0</v>
      </c>
      <c r="V112" s="619">
        <f t="shared" si="267"/>
        <v>0</v>
      </c>
      <c r="W112" s="629" t="str">
        <f t="shared" ref="W112:Y112" si="268">+IF($O112=0,"-",R112/$O112)</f>
        <v>-</v>
      </c>
      <c r="X112" s="629" t="str">
        <f t="shared" si="268"/>
        <v>-</v>
      </c>
      <c r="Y112" s="629" t="str">
        <f t="shared" si="268"/>
        <v>-</v>
      </c>
      <c r="Z112" s="629" t="str">
        <f t="shared" si="179"/>
        <v>-</v>
      </c>
      <c r="AA112" s="630" t="str">
        <f t="shared" si="230"/>
        <v>-</v>
      </c>
      <c r="AB112" s="622">
        <f t="shared" ref="AB112:AC112" si="269">+SUMIFS(AB$67:AB$86,$I$67:$I$86,$J112,$M$67:$M$86,$K112)</f>
        <v>0</v>
      </c>
      <c r="AC112" s="622">
        <f t="shared" si="269"/>
        <v>0</v>
      </c>
      <c r="AD112" s="627">
        <f t="shared" si="183"/>
        <v>0</v>
      </c>
      <c r="AE112" s="628" t="str">
        <f t="shared" si="184"/>
        <v>-</v>
      </c>
      <c r="AF112" s="627">
        <f t="shared" si="185"/>
        <v>0</v>
      </c>
      <c r="AG112" s="628" t="str">
        <f t="shared" si="232"/>
        <v>-</v>
      </c>
      <c r="AH112" s="616">
        <f t="shared" si="233"/>
        <v>0</v>
      </c>
      <c r="AI112" s="616">
        <f t="shared" ref="AI112:AV112" si="270">+SUMIFS(BK$67:BK$86,$I$67:$I$86,$J112,$M$67:$M$86,$K112)</f>
        <v>0</v>
      </c>
      <c r="AJ112" s="616">
        <f t="shared" si="270"/>
        <v>0</v>
      </c>
      <c r="AK112" s="616">
        <f t="shared" si="270"/>
        <v>0</v>
      </c>
      <c r="AL112" s="616">
        <f t="shared" si="270"/>
        <v>0</v>
      </c>
      <c r="AM112" s="616">
        <f t="shared" si="270"/>
        <v>0</v>
      </c>
      <c r="AN112" s="616">
        <f t="shared" si="270"/>
        <v>0</v>
      </c>
      <c r="AO112" s="616">
        <f t="shared" si="270"/>
        <v>0</v>
      </c>
      <c r="AP112" s="616">
        <f t="shared" si="270"/>
        <v>0</v>
      </c>
      <c r="AQ112" s="616">
        <f t="shared" si="270"/>
        <v>0</v>
      </c>
      <c r="AR112" s="616">
        <f t="shared" si="270"/>
        <v>0</v>
      </c>
      <c r="AS112" s="616">
        <f t="shared" si="270"/>
        <v>0</v>
      </c>
      <c r="AT112" s="616">
        <f t="shared" si="270"/>
        <v>0</v>
      </c>
      <c r="AU112" s="616">
        <f t="shared" si="270"/>
        <v>0</v>
      </c>
      <c r="AV112" s="616">
        <f t="shared" si="270"/>
        <v>0</v>
      </c>
      <c r="AW112" s="625">
        <f t="shared" ref="AW112:BJ112" si="271">+AI112*(100%-$P112)</f>
        <v>0</v>
      </c>
      <c r="AX112" s="625">
        <f t="shared" si="271"/>
        <v>0</v>
      </c>
      <c r="AY112" s="625">
        <f t="shared" si="271"/>
        <v>0</v>
      </c>
      <c r="AZ112" s="625">
        <f t="shared" si="271"/>
        <v>0</v>
      </c>
      <c r="BA112" s="625">
        <f t="shared" si="271"/>
        <v>0</v>
      </c>
      <c r="BB112" s="625">
        <f t="shared" si="271"/>
        <v>0</v>
      </c>
      <c r="BC112" s="625">
        <f t="shared" si="271"/>
        <v>0</v>
      </c>
      <c r="BD112" s="625">
        <f t="shared" si="271"/>
        <v>0</v>
      </c>
      <c r="BE112" s="625">
        <f t="shared" si="271"/>
        <v>0</v>
      </c>
      <c r="BF112" s="625">
        <f t="shared" si="271"/>
        <v>0</v>
      </c>
      <c r="BG112" s="625">
        <f t="shared" si="271"/>
        <v>0</v>
      </c>
      <c r="BH112" s="625">
        <f t="shared" si="271"/>
        <v>0</v>
      </c>
      <c r="BI112" s="625">
        <f t="shared" si="271"/>
        <v>0</v>
      </c>
      <c r="BJ112" s="625">
        <f t="shared" si="271"/>
        <v>0</v>
      </c>
      <c r="BK112" s="625">
        <f t="shared" ref="BK112:BX112" si="272">+AI112*($P112)</f>
        <v>0</v>
      </c>
      <c r="BL112" s="625">
        <f t="shared" si="272"/>
        <v>0</v>
      </c>
      <c r="BM112" s="625">
        <f t="shared" si="272"/>
        <v>0</v>
      </c>
      <c r="BN112" s="625">
        <f t="shared" si="272"/>
        <v>0</v>
      </c>
      <c r="BO112" s="625">
        <f t="shared" si="272"/>
        <v>0</v>
      </c>
      <c r="BP112" s="625">
        <f t="shared" si="272"/>
        <v>0</v>
      </c>
      <c r="BQ112" s="625">
        <f t="shared" si="272"/>
        <v>0</v>
      </c>
      <c r="BR112" s="625">
        <f t="shared" si="272"/>
        <v>0</v>
      </c>
      <c r="BS112" s="625">
        <f t="shared" si="272"/>
        <v>0</v>
      </c>
      <c r="BT112" s="625">
        <f t="shared" si="272"/>
        <v>0</v>
      </c>
      <c r="BU112" s="625">
        <f t="shared" si="272"/>
        <v>0</v>
      </c>
      <c r="BV112" s="625">
        <f t="shared" si="272"/>
        <v>0</v>
      </c>
      <c r="BW112" s="625">
        <f t="shared" si="272"/>
        <v>0</v>
      </c>
      <c r="BX112" s="625">
        <f t="shared" si="272"/>
        <v>0</v>
      </c>
      <c r="CV112" s="1"/>
      <c r="CW112" s="1"/>
      <c r="CX112" s="1"/>
      <c r="CY112" s="1"/>
      <c r="CZ112" s="1"/>
      <c r="DA112" s="1"/>
      <c r="DB112" s="1"/>
    </row>
    <row r="113" spans="10:106" ht="15.75" customHeight="1" x14ac:dyDescent="0.25">
      <c r="CV113" s="1"/>
      <c r="CW113" s="1"/>
      <c r="CX113" s="1"/>
      <c r="CY113" s="1"/>
      <c r="CZ113" s="1"/>
      <c r="DA113" s="1"/>
      <c r="DB113" s="1"/>
    </row>
    <row r="114" spans="10:106" ht="15.75" customHeight="1" x14ac:dyDescent="0.25">
      <c r="CV114" s="1"/>
      <c r="CW114" s="1"/>
      <c r="CX114" s="1"/>
      <c r="CY114" s="1"/>
      <c r="CZ114" s="1"/>
      <c r="DA114" s="1"/>
      <c r="DB114" s="1"/>
    </row>
    <row r="115" spans="10:106" ht="15.75" customHeight="1" x14ac:dyDescent="0.25">
      <c r="N115" s="231"/>
      <c r="CV115" s="1"/>
      <c r="CW115" s="1"/>
      <c r="CX115" s="1"/>
      <c r="CY115" s="1"/>
      <c r="CZ115" s="1"/>
      <c r="DA115" s="1"/>
      <c r="DB115" s="1"/>
    </row>
    <row r="116" spans="10:106" ht="15.75" customHeight="1" x14ac:dyDescent="0.3">
      <c r="J116" s="861" t="s">
        <v>1478</v>
      </c>
      <c r="K116" s="862"/>
      <c r="L116" s="862"/>
      <c r="M116" s="862"/>
      <c r="N116" s="862"/>
      <c r="O116" s="862"/>
      <c r="P116" s="862"/>
      <c r="Q116" s="862"/>
      <c r="R116" s="862"/>
      <c r="S116" s="862"/>
      <c r="T116" s="862"/>
      <c r="U116" s="862"/>
      <c r="V116" s="862"/>
      <c r="W116" s="862"/>
      <c r="X116" s="862"/>
      <c r="Y116" s="862"/>
      <c r="Z116" s="862"/>
      <c r="AA116" s="862"/>
      <c r="AB116" s="862"/>
      <c r="AC116" s="862"/>
      <c r="AD116" s="862"/>
      <c r="AE116" s="862"/>
      <c r="AF116" s="862"/>
      <c r="AG116" s="863"/>
      <c r="CV116" s="1"/>
      <c r="CW116" s="1"/>
      <c r="CX116" s="1"/>
      <c r="CY116" s="1"/>
      <c r="CZ116" s="1"/>
      <c r="DA116" s="1"/>
      <c r="DB116" s="1"/>
    </row>
    <row r="117" spans="10:106" ht="15.75" customHeight="1" x14ac:dyDescent="0.25">
      <c r="R117" s="231"/>
      <c r="AB117" s="231"/>
      <c r="AF117" s="231">
        <f>+SUM(AF99:AF104)</f>
        <v>1843.6340862746542</v>
      </c>
      <c r="AI117" s="231"/>
      <c r="AJ117" s="231"/>
      <c r="AK117" s="231"/>
      <c r="AL117" s="231"/>
      <c r="AM117" s="231"/>
      <c r="AN117" s="231"/>
      <c r="AO117" s="231"/>
      <c r="AP117" s="231"/>
      <c r="AQ117" s="231"/>
      <c r="AR117" s="231"/>
      <c r="AS117" s="231"/>
      <c r="AT117" s="231"/>
      <c r="AU117" s="231"/>
      <c r="AV117" s="631" t="s">
        <v>59</v>
      </c>
      <c r="AW117" s="632">
        <f t="shared" ref="AW117:BX117" si="273">+SUM(AW99:AW104)</f>
        <v>1025.6624631771094</v>
      </c>
      <c r="AX117" s="632">
        <f t="shared" si="273"/>
        <v>971.57652717500991</v>
      </c>
      <c r="AY117" s="632">
        <f t="shared" si="273"/>
        <v>812.5441838645703</v>
      </c>
      <c r="AZ117" s="632">
        <f t="shared" si="273"/>
        <v>668.92360361378201</v>
      </c>
      <c r="BA117" s="632">
        <f t="shared" si="273"/>
        <v>559.86485266250133</v>
      </c>
      <c r="BB117" s="632">
        <f t="shared" si="273"/>
        <v>400.90866544257676</v>
      </c>
      <c r="BC117" s="632">
        <f t="shared" si="273"/>
        <v>323.95216648114376</v>
      </c>
      <c r="BD117" s="632">
        <f t="shared" si="273"/>
        <v>269.97511844019584</v>
      </c>
      <c r="BE117" s="632">
        <f t="shared" si="273"/>
        <v>224.31431091820514</v>
      </c>
      <c r="BF117" s="632">
        <f t="shared" si="273"/>
        <v>157.10067813612787</v>
      </c>
      <c r="BG117" s="632">
        <f t="shared" si="273"/>
        <v>103.64564921068032</v>
      </c>
      <c r="BH117" s="632">
        <f t="shared" si="273"/>
        <v>88.388980286709</v>
      </c>
      <c r="BI117" s="632">
        <f t="shared" si="273"/>
        <v>79.012481549996423</v>
      </c>
      <c r="BJ117" s="632">
        <f t="shared" si="273"/>
        <v>66.383024371710619</v>
      </c>
      <c r="BK117" s="633">
        <f t="shared" si="273"/>
        <v>334.25667316952502</v>
      </c>
      <c r="BL117" s="632">
        <f t="shared" si="273"/>
        <v>315.79957710288363</v>
      </c>
      <c r="BM117" s="632">
        <f t="shared" si="273"/>
        <v>260.98945875521662</v>
      </c>
      <c r="BN117" s="632">
        <f t="shared" si="273"/>
        <v>199.14856077668688</v>
      </c>
      <c r="BO117" s="632">
        <f t="shared" si="273"/>
        <v>155.93802583631739</v>
      </c>
      <c r="BP117" s="632">
        <f t="shared" si="273"/>
        <v>102.33865688836053</v>
      </c>
      <c r="BQ117" s="632">
        <f t="shared" si="273"/>
        <v>61.685268979559218</v>
      </c>
      <c r="BR117" s="632">
        <f t="shared" si="273"/>
        <v>41.883982717553593</v>
      </c>
      <c r="BS117" s="632">
        <f t="shared" si="273"/>
        <v>31.756161426473941</v>
      </c>
      <c r="BT117" s="632">
        <f t="shared" si="273"/>
        <v>19.422450620785838</v>
      </c>
      <c r="BU117" s="632">
        <f t="shared" si="273"/>
        <v>14.015670611044998</v>
      </c>
      <c r="BV117" s="632">
        <f t="shared" si="273"/>
        <v>10.50143029698169</v>
      </c>
      <c r="BW117" s="632">
        <f t="shared" si="273"/>
        <v>7.8547503912342362</v>
      </c>
      <c r="BX117" s="634">
        <f t="shared" si="273"/>
        <v>5.3683691701354501</v>
      </c>
      <c r="CV117" s="1"/>
      <c r="CW117" s="1"/>
      <c r="CX117" s="1"/>
      <c r="CY117" s="1"/>
      <c r="CZ117" s="1"/>
      <c r="DA117" s="1"/>
      <c r="DB117" s="1"/>
    </row>
    <row r="118" spans="10:106" ht="15.75" customHeight="1" x14ac:dyDescent="0.25">
      <c r="AB118" s="12" t="s">
        <v>1479</v>
      </c>
      <c r="AC118" s="12" t="s">
        <v>1480</v>
      </c>
      <c r="AF118" s="12">
        <f>+AF117*(1000/D8)/1000</f>
        <v>302.87191322450025</v>
      </c>
      <c r="AV118" s="47" t="s">
        <v>662</v>
      </c>
      <c r="AW118" s="635">
        <f t="shared" ref="AW118:BJ118" si="274">+AW117*1000/($D$8*365)</f>
        <v>461.63196063013703</v>
      </c>
      <c r="AX118" s="635">
        <f t="shared" si="274"/>
        <v>437.28886767748605</v>
      </c>
      <c r="AY118" s="635">
        <f t="shared" si="274"/>
        <v>365.71131162791244</v>
      </c>
      <c r="AZ118" s="635">
        <f t="shared" si="274"/>
        <v>301.07030893133543</v>
      </c>
      <c r="BA118" s="635">
        <f t="shared" si="274"/>
        <v>251.98495499377984</v>
      </c>
      <c r="BB118" s="635">
        <f t="shared" si="274"/>
        <v>180.4416754110172</v>
      </c>
      <c r="BC118" s="635">
        <f t="shared" si="274"/>
        <v>145.80495936239356</v>
      </c>
      <c r="BD118" s="635">
        <f t="shared" si="274"/>
        <v>121.51087489430755</v>
      </c>
      <c r="BE118" s="635">
        <f t="shared" si="274"/>
        <v>100.95977854723172</v>
      </c>
      <c r="BF118" s="635">
        <f t="shared" si="274"/>
        <v>70.708148799418154</v>
      </c>
      <c r="BG118" s="635">
        <f t="shared" si="274"/>
        <v>46.64901561055548</v>
      </c>
      <c r="BH118" s="635">
        <f t="shared" si="274"/>
        <v>39.782267298209774</v>
      </c>
      <c r="BI118" s="635">
        <f t="shared" si="274"/>
        <v>35.562076298661417</v>
      </c>
      <c r="BJ118" s="635">
        <f t="shared" si="274"/>
        <v>29.877788057433573</v>
      </c>
      <c r="BK118" s="636">
        <f t="shared" ref="BK118:BX118" si="275">+BK117*1000/($D$7*365)</f>
        <v>907.10221917808201</v>
      </c>
      <c r="BL118" s="635">
        <f t="shared" si="275"/>
        <v>857.01354737124529</v>
      </c>
      <c r="BM118" s="635">
        <f t="shared" si="275"/>
        <v>708.27042875184122</v>
      </c>
      <c r="BN118" s="635">
        <f t="shared" si="275"/>
        <v>540.44725484069693</v>
      </c>
      <c r="BO118" s="635">
        <f t="shared" si="275"/>
        <v>423.18296280844186</v>
      </c>
      <c r="BP118" s="635">
        <f t="shared" si="275"/>
        <v>277.72556308563128</v>
      </c>
      <c r="BQ118" s="635">
        <f t="shared" si="275"/>
        <v>167.40082958217096</v>
      </c>
      <c r="BR118" s="635">
        <f t="shared" si="275"/>
        <v>113.66430866090849</v>
      </c>
      <c r="BS118" s="635">
        <f t="shared" si="275"/>
        <v>86.179534515747221</v>
      </c>
      <c r="BT118" s="635">
        <f t="shared" si="275"/>
        <v>52.708440770773045</v>
      </c>
      <c r="BU118" s="635">
        <f t="shared" si="275"/>
        <v>38.035578449319281</v>
      </c>
      <c r="BV118" s="635">
        <f t="shared" si="275"/>
        <v>28.498670308086265</v>
      </c>
      <c r="BW118" s="635">
        <f t="shared" si="275"/>
        <v>21.316138413682069</v>
      </c>
      <c r="BX118" s="637">
        <f t="shared" si="275"/>
        <v>14.568623391782877</v>
      </c>
      <c r="CV118" s="1"/>
      <c r="CW118" s="1"/>
      <c r="CX118" s="1"/>
      <c r="CY118" s="1"/>
      <c r="CZ118" s="1"/>
      <c r="DA118" s="1"/>
      <c r="DB118" s="1"/>
    </row>
    <row r="119" spans="10:106" ht="15.75" customHeight="1" x14ac:dyDescent="0.25">
      <c r="AB119" s="12" t="s">
        <v>1481</v>
      </c>
      <c r="AC119" s="12" t="s">
        <v>1482</v>
      </c>
      <c r="CV119" s="1"/>
      <c r="CW119" s="1"/>
      <c r="CX119" s="1"/>
      <c r="CY119" s="1"/>
      <c r="CZ119" s="1"/>
      <c r="DA119" s="1"/>
      <c r="DB119" s="1"/>
    </row>
    <row r="120" spans="10:106" ht="15.75" customHeight="1" x14ac:dyDescent="0.25">
      <c r="J120" s="608" t="str">
        <f t="shared" ref="J120:M120" si="276">J98</f>
        <v>Basin</v>
      </c>
      <c r="K120" s="608" t="str">
        <f t="shared" si="276"/>
        <v>Type Fluid</v>
      </c>
      <c r="L120" s="608" t="str">
        <f t="shared" si="276"/>
        <v>CAM</v>
      </c>
      <c r="M120" s="608" t="str">
        <f t="shared" si="276"/>
        <v>Type of Oil producing</v>
      </c>
      <c r="N120" s="638" t="s">
        <v>1483</v>
      </c>
      <c r="Y120" s="639" t="s">
        <v>1424</v>
      </c>
      <c r="Z120" s="639" t="s">
        <v>1484</v>
      </c>
      <c r="AA120" s="640" t="s">
        <v>1485</v>
      </c>
      <c r="AB120" s="640" t="s">
        <v>1486</v>
      </c>
      <c r="AC120" s="640" t="s">
        <v>1487</v>
      </c>
      <c r="CV120" s="1"/>
      <c r="CW120" s="1"/>
      <c r="CX120" s="1"/>
      <c r="CY120" s="1"/>
      <c r="CZ120" s="1"/>
      <c r="DA120" s="1"/>
      <c r="DB120" s="1"/>
    </row>
    <row r="121" spans="10:106" ht="15.75" customHeight="1" x14ac:dyDescent="0.25">
      <c r="J121" s="103" t="str">
        <f t="shared" ref="J121:M121" si="277">J99</f>
        <v>Guajira</v>
      </c>
      <c r="K121" s="103" t="str">
        <f t="shared" si="277"/>
        <v>Doesn't Apply</v>
      </c>
      <c r="L121" s="614" t="str">
        <f t="shared" si="277"/>
        <v>CAM1</v>
      </c>
      <c r="M121" s="615" t="str">
        <f t="shared" si="277"/>
        <v>GU - Gas</v>
      </c>
      <c r="N121" s="379">
        <f t="shared" ref="N121:N122" si="278">+$T$133/1000</f>
        <v>1.0582000000000001E-2</v>
      </c>
      <c r="O121" s="379" t="s">
        <v>1488</v>
      </c>
      <c r="S121" s="12">
        <v>11.07</v>
      </c>
      <c r="U121" s="12">
        <f t="shared" ref="U121:U127" si="279">+S121*N121</f>
        <v>0.11714274000000001</v>
      </c>
      <c r="X121" s="615" t="s">
        <v>1470</v>
      </c>
      <c r="Y121" s="400">
        <f t="array" ref="Y121:Y127">+P99:P105</f>
        <v>1</v>
      </c>
      <c r="Z121" s="641">
        <f t="array" ref="Z121:Z127">+Q99:Q105</f>
        <v>66.042848806832495</v>
      </c>
      <c r="AA121" s="12" t="s">
        <v>1304</v>
      </c>
      <c r="AB121" s="12" t="s">
        <v>1304</v>
      </c>
      <c r="AC121" s="12" t="s">
        <v>607</v>
      </c>
      <c r="CV121" s="1"/>
      <c r="CW121" s="1"/>
      <c r="CX121" s="1"/>
      <c r="CY121" s="1"/>
      <c r="CZ121" s="1"/>
      <c r="DA121" s="1"/>
      <c r="DB121" s="1"/>
    </row>
    <row r="122" spans="10:106" ht="15.75" customHeight="1" x14ac:dyDescent="0.25">
      <c r="J122" s="103" t="str">
        <f t="shared" ref="J122:M122" si="280">J100</f>
        <v>Llanos Orientales</v>
      </c>
      <c r="K122" s="103" t="str">
        <f t="shared" si="280"/>
        <v>Light Oil</v>
      </c>
      <c r="L122" s="614" t="str">
        <f t="shared" si="280"/>
        <v>CAM2</v>
      </c>
      <c r="M122" s="626" t="str">
        <f t="shared" si="280"/>
        <v>LLO - Ligth</v>
      </c>
      <c r="N122" s="379">
        <f t="shared" si="278"/>
        <v>1.0582000000000001E-2</v>
      </c>
      <c r="O122" s="379" t="s">
        <v>1488</v>
      </c>
      <c r="S122" s="12">
        <v>363.69</v>
      </c>
      <c r="U122" s="12">
        <f t="shared" si="279"/>
        <v>3.8485675800000005</v>
      </c>
      <c r="X122" s="626" t="s">
        <v>1471</v>
      </c>
      <c r="Y122" s="400">
        <v>0.70411500249785086</v>
      </c>
      <c r="Z122" s="641">
        <v>209.74608813235034</v>
      </c>
      <c r="AA122" s="12" t="s">
        <v>1304</v>
      </c>
      <c r="AB122" s="12" t="s">
        <v>1304</v>
      </c>
      <c r="AC122" s="12" t="s">
        <v>607</v>
      </c>
      <c r="CV122" s="1"/>
      <c r="CW122" s="1"/>
      <c r="CX122" s="1"/>
      <c r="CY122" s="1"/>
      <c r="CZ122" s="1"/>
      <c r="DA122" s="1"/>
      <c r="DB122" s="1"/>
    </row>
    <row r="123" spans="10:106" ht="15.75" customHeight="1" x14ac:dyDescent="0.25">
      <c r="J123" s="103" t="str">
        <f t="shared" ref="J123:M123" si="281">J101</f>
        <v>Llanos Orientales</v>
      </c>
      <c r="K123" s="103" t="str">
        <f t="shared" si="281"/>
        <v>Heavy Oil</v>
      </c>
      <c r="L123" s="614" t="str">
        <f t="shared" si="281"/>
        <v>CAM3</v>
      </c>
      <c r="M123" s="34" t="str">
        <f t="shared" si="281"/>
        <v>LLO - Heavy</v>
      </c>
      <c r="N123" s="379">
        <f>+(T135+$T$133)/1000</f>
        <v>1.4998000000000001E-2</v>
      </c>
      <c r="O123" s="379" t="s">
        <v>1488</v>
      </c>
      <c r="S123" s="12">
        <v>726.7</v>
      </c>
      <c r="U123" s="12">
        <f t="shared" si="279"/>
        <v>10.899046600000002</v>
      </c>
      <c r="X123" s="34" t="s">
        <v>1472</v>
      </c>
      <c r="Y123" s="400">
        <v>2.8224919834781799E-3</v>
      </c>
      <c r="Z123" s="641">
        <v>0.23786180586758954</v>
      </c>
      <c r="AA123" s="12" t="s">
        <v>1304</v>
      </c>
      <c r="AB123" s="12" t="s">
        <v>607</v>
      </c>
      <c r="AC123" s="12" t="s">
        <v>1304</v>
      </c>
      <c r="CV123" s="1"/>
      <c r="CW123" s="1"/>
      <c r="CX123" s="1"/>
      <c r="CY123" s="1"/>
      <c r="CZ123" s="1"/>
      <c r="DA123" s="1"/>
      <c r="DB123" s="1"/>
    </row>
    <row r="124" spans="10:106" ht="15.75" customHeight="1" x14ac:dyDescent="0.25">
      <c r="J124" s="103" t="str">
        <f t="shared" ref="J124:M124" si="282">J102</f>
        <v>Putumayo</v>
      </c>
      <c r="K124" s="103" t="str">
        <f t="shared" si="282"/>
        <v>Light Oil</v>
      </c>
      <c r="L124" s="614" t="str">
        <f t="shared" si="282"/>
        <v>CAM4</v>
      </c>
      <c r="M124" s="34" t="str">
        <f t="shared" si="282"/>
        <v>PU - Ligth</v>
      </c>
      <c r="N124" s="379">
        <f t="shared" ref="N124:N127" si="283">+$T$133/1000</f>
        <v>1.0582000000000001E-2</v>
      </c>
      <c r="O124" s="379" t="s">
        <v>1488</v>
      </c>
      <c r="P124" s="1"/>
      <c r="S124" s="12">
        <v>5.64</v>
      </c>
      <c r="U124" s="12">
        <f t="shared" si="279"/>
        <v>5.9682480000000003E-2</v>
      </c>
      <c r="X124" s="34" t="s">
        <v>1473</v>
      </c>
      <c r="Y124" s="400">
        <v>0.2264193930205074</v>
      </c>
      <c r="Z124" s="641">
        <v>0</v>
      </c>
      <c r="AA124" s="12" t="s">
        <v>1304</v>
      </c>
      <c r="AB124" s="12" t="s">
        <v>607</v>
      </c>
      <c r="AC124" s="12" t="s">
        <v>1304</v>
      </c>
      <c r="CV124" s="1"/>
      <c r="CW124" s="1"/>
      <c r="CX124" s="1"/>
      <c r="CY124" s="1"/>
      <c r="CZ124" s="1"/>
      <c r="DA124" s="1"/>
      <c r="DB124" s="1"/>
    </row>
    <row r="125" spans="10:106" ht="15.75" customHeight="1" x14ac:dyDescent="0.25">
      <c r="J125" s="103" t="str">
        <f t="shared" ref="J125:M125" si="284">J103</f>
        <v>VMM</v>
      </c>
      <c r="K125" s="103" t="str">
        <f t="shared" si="284"/>
        <v>Medium Oil</v>
      </c>
      <c r="L125" s="614" t="str">
        <f t="shared" si="284"/>
        <v>CAM5</v>
      </c>
      <c r="M125" s="34" t="str">
        <f t="shared" si="284"/>
        <v>VMM - Medium</v>
      </c>
      <c r="N125" s="379">
        <f t="shared" si="283"/>
        <v>1.0582000000000001E-2</v>
      </c>
      <c r="O125" s="379" t="s">
        <v>1488</v>
      </c>
      <c r="P125" s="1"/>
      <c r="S125" s="12">
        <v>165.44</v>
      </c>
      <c r="U125" s="12">
        <f t="shared" si="279"/>
        <v>1.7506860800000001</v>
      </c>
      <c r="X125" s="34" t="s">
        <v>1474</v>
      </c>
      <c r="Y125" s="400">
        <v>2.9005932398423979E-2</v>
      </c>
      <c r="Z125" s="641">
        <v>2.2768748695271519</v>
      </c>
      <c r="AA125" s="12" t="s">
        <v>1304</v>
      </c>
      <c r="AB125" s="12" t="s">
        <v>607</v>
      </c>
      <c r="AC125" s="12" t="s">
        <v>1304</v>
      </c>
      <c r="CV125" s="1"/>
      <c r="CW125" s="1"/>
      <c r="CX125" s="1"/>
      <c r="CY125" s="1"/>
      <c r="CZ125" s="1"/>
      <c r="DA125" s="1"/>
      <c r="DB125" s="1"/>
    </row>
    <row r="126" spans="10:106" ht="15.75" customHeight="1" x14ac:dyDescent="0.25">
      <c r="J126" s="103" t="str">
        <f t="shared" ref="J126:M126" si="285">J104</f>
        <v>VSM</v>
      </c>
      <c r="K126" s="103" t="str">
        <f t="shared" si="285"/>
        <v>Medium Oil</v>
      </c>
      <c r="L126" s="614" t="str">
        <f t="shared" si="285"/>
        <v>CAM6</v>
      </c>
      <c r="M126" s="626" t="str">
        <f t="shared" si="285"/>
        <v>VSM - Medium</v>
      </c>
      <c r="N126" s="379">
        <f t="shared" si="283"/>
        <v>1.0582000000000001E-2</v>
      </c>
      <c r="O126" s="379" t="s">
        <v>1488</v>
      </c>
      <c r="P126" s="1"/>
      <c r="S126" s="12">
        <v>29.86</v>
      </c>
      <c r="U126" s="12">
        <f t="shared" si="279"/>
        <v>0.31597852000000004</v>
      </c>
      <c r="X126" s="626" t="s">
        <v>1475</v>
      </c>
      <c r="Y126" s="400">
        <v>4.9174002504380532E-2</v>
      </c>
      <c r="Z126" s="641">
        <v>0.61987830491387741</v>
      </c>
      <c r="AA126" s="12" t="s">
        <v>1304</v>
      </c>
      <c r="AB126" s="12" t="s">
        <v>607</v>
      </c>
      <c r="AC126" s="12" t="s">
        <v>1304</v>
      </c>
      <c r="CV126" s="1"/>
      <c r="CW126" s="1"/>
      <c r="CX126" s="1"/>
      <c r="CY126" s="1"/>
      <c r="CZ126" s="1"/>
      <c r="DA126" s="1"/>
      <c r="DB126" s="1"/>
    </row>
    <row r="127" spans="10:106" ht="15.75" customHeight="1" x14ac:dyDescent="0.25">
      <c r="J127" s="103" t="s">
        <v>1266</v>
      </c>
      <c r="K127" s="103" t="str">
        <f t="shared" ref="K127:M127" si="286">+K105</f>
        <v>Doesn't Apply</v>
      </c>
      <c r="L127" s="614" t="str">
        <f t="shared" si="286"/>
        <v>CAM7</v>
      </c>
      <c r="M127" s="626" t="str">
        <f t="shared" si="286"/>
        <v>VIM - GAS</v>
      </c>
      <c r="N127" s="379">
        <f t="shared" si="283"/>
        <v>1.0582000000000001E-2</v>
      </c>
      <c r="O127" s="379" t="s">
        <v>1488</v>
      </c>
      <c r="P127" s="1"/>
      <c r="S127" s="12">
        <v>11.13</v>
      </c>
      <c r="U127" s="12">
        <f t="shared" si="279"/>
        <v>0.11777766000000002</v>
      </c>
      <c r="X127" s="626" t="s">
        <v>1476</v>
      </c>
      <c r="Y127" s="400">
        <v>0.99457310605335914</v>
      </c>
      <c r="Z127" s="641">
        <v>13.465657577297089</v>
      </c>
      <c r="AA127" s="12" t="s">
        <v>1304</v>
      </c>
      <c r="AB127" s="12" t="s">
        <v>1304</v>
      </c>
      <c r="AC127" s="12" t="s">
        <v>607</v>
      </c>
      <c r="CV127" s="1"/>
      <c r="CW127" s="1"/>
      <c r="CX127" s="1"/>
      <c r="CY127" s="1"/>
      <c r="CZ127" s="1"/>
      <c r="DA127" s="1"/>
      <c r="DB127" s="1"/>
    </row>
    <row r="128" spans="10:106" ht="15.75" customHeight="1" x14ac:dyDescent="0.25">
      <c r="J128" s="103" t="str">
        <f t="shared" ref="J128:M128" si="287">J106</f>
        <v>Llanos Orientales</v>
      </c>
      <c r="K128" s="103" t="str">
        <f t="shared" si="287"/>
        <v>Medium Oil</v>
      </c>
      <c r="L128" s="614" t="str">
        <f t="shared" si="287"/>
        <v>P</v>
      </c>
      <c r="M128" s="103">
        <f t="shared" si="287"/>
        <v>0</v>
      </c>
      <c r="N128" s="642"/>
      <c r="O128" s="400"/>
      <c r="P128" s="1"/>
      <c r="U128" s="12">
        <f>+SUM(U121:U127)</f>
        <v>17.108881660000005</v>
      </c>
      <c r="V128" s="12" t="s">
        <v>59</v>
      </c>
      <c r="CV128" s="1"/>
      <c r="CW128" s="1"/>
      <c r="CX128" s="1"/>
      <c r="CY128" s="1"/>
      <c r="CZ128" s="1"/>
      <c r="DA128" s="1"/>
      <c r="DB128" s="1"/>
    </row>
    <row r="129" spans="1:121" ht="15.75" customHeight="1" x14ac:dyDescent="0.25">
      <c r="J129" s="103" t="str">
        <f t="shared" ref="J129:M129" si="288">J107</f>
        <v>Putumayo</v>
      </c>
      <c r="K129" s="103" t="str">
        <f t="shared" si="288"/>
        <v>Medium Oil</v>
      </c>
      <c r="L129" s="614" t="str">
        <f t="shared" si="288"/>
        <v>P</v>
      </c>
      <c r="M129" s="103">
        <f t="shared" si="288"/>
        <v>0</v>
      </c>
      <c r="N129" s="642"/>
      <c r="O129" s="400"/>
      <c r="P129" s="1"/>
      <c r="U129" s="12">
        <f>+U128/0.0036</f>
        <v>4752.4671277777798</v>
      </c>
      <c r="V129" s="12" t="s">
        <v>599</v>
      </c>
      <c r="CV129" s="1"/>
      <c r="CW129" s="1"/>
      <c r="CX129" s="1"/>
      <c r="CY129" s="1"/>
      <c r="CZ129" s="1"/>
      <c r="DA129" s="1"/>
      <c r="DB129" s="1"/>
    </row>
    <row r="130" spans="1:121" ht="15.75" customHeight="1" x14ac:dyDescent="0.25">
      <c r="J130" s="103" t="str">
        <f t="shared" ref="J130:M130" si="289">J108</f>
        <v>Putumayo</v>
      </c>
      <c r="K130" s="103" t="str">
        <f t="shared" si="289"/>
        <v>Heavy Oil</v>
      </c>
      <c r="L130" s="614" t="str">
        <f t="shared" si="289"/>
        <v>P</v>
      </c>
      <c r="M130" s="103">
        <f t="shared" si="289"/>
        <v>0</v>
      </c>
      <c r="N130" s="642"/>
      <c r="O130" s="400"/>
      <c r="P130" s="1"/>
      <c r="CV130" s="1"/>
      <c r="CW130" s="1"/>
      <c r="CX130" s="1"/>
      <c r="CY130" s="1"/>
      <c r="CZ130" s="1"/>
      <c r="DA130" s="1"/>
      <c r="DB130" s="1"/>
    </row>
    <row r="131" spans="1:121" ht="15.75" customHeight="1" x14ac:dyDescent="0.25">
      <c r="J131" s="103" t="str">
        <f t="shared" ref="J131:M131" si="290">J109</f>
        <v>VMM</v>
      </c>
      <c r="K131" s="103" t="str">
        <f t="shared" si="290"/>
        <v>Light Oil</v>
      </c>
      <c r="L131" s="614" t="str">
        <f t="shared" si="290"/>
        <v>P</v>
      </c>
      <c r="M131" s="103">
        <f t="shared" si="290"/>
        <v>0</v>
      </c>
      <c r="N131" s="642"/>
      <c r="O131" s="400"/>
      <c r="P131" s="1"/>
      <c r="T131" s="12" t="str">
        <f>General_SEC_SGC!J7</f>
        <v>Electricity consumption</v>
      </c>
      <c r="CV131" s="1"/>
      <c r="CW131" s="1"/>
      <c r="CX131" s="1"/>
      <c r="CY131" s="1"/>
      <c r="CZ131" s="1"/>
      <c r="DA131" s="1"/>
      <c r="DB131" s="1"/>
    </row>
    <row r="132" spans="1:121" ht="15.75" customHeight="1" x14ac:dyDescent="0.25">
      <c r="J132" s="103" t="str">
        <f t="shared" ref="J132:M132" si="291">J110</f>
        <v>VMM</v>
      </c>
      <c r="K132" s="103" t="str">
        <f t="shared" si="291"/>
        <v>Heavy Oil</v>
      </c>
      <c r="L132" s="614" t="str">
        <f t="shared" si="291"/>
        <v>P</v>
      </c>
      <c r="M132" s="103">
        <f t="shared" si="291"/>
        <v>0</v>
      </c>
      <c r="N132" s="642"/>
      <c r="O132" s="400"/>
      <c r="P132" s="1"/>
      <c r="S132" s="12" t="str">
        <f>General_SEC_SGC!I8</f>
        <v xml:space="preserve">Production </v>
      </c>
      <c r="T132" s="12">
        <f>General_SEC_SGC!J8</f>
        <v>16.216999999999999</v>
      </c>
      <c r="U132" s="12" t="s">
        <v>1489</v>
      </c>
      <c r="CV132" s="1"/>
      <c r="CW132" s="1"/>
      <c r="CX132" s="1"/>
      <c r="CY132" s="1"/>
      <c r="CZ132" s="1"/>
      <c r="DA132" s="1"/>
      <c r="DB132" s="1"/>
    </row>
    <row r="133" spans="1:121" ht="15.75" customHeight="1" x14ac:dyDescent="0.25">
      <c r="J133" s="103" t="str">
        <f t="shared" ref="J133:M133" si="292">J111</f>
        <v>VSM</v>
      </c>
      <c r="K133" s="103" t="str">
        <f t="shared" si="292"/>
        <v>Light Oil</v>
      </c>
      <c r="L133" s="614" t="str">
        <f t="shared" si="292"/>
        <v>P</v>
      </c>
      <c r="M133" s="103">
        <f t="shared" si="292"/>
        <v>0</v>
      </c>
      <c r="N133" s="1"/>
      <c r="O133" s="1"/>
      <c r="P133" s="1"/>
      <c r="S133" s="12" t="str">
        <f>General_SEC_SGC!I9</f>
        <v>Wells</v>
      </c>
      <c r="T133" s="12">
        <f>General_SEC_SGC!J9</f>
        <v>10.582000000000001</v>
      </c>
      <c r="U133" s="12" t="s">
        <v>1489</v>
      </c>
      <c r="CV133" s="1"/>
      <c r="CW133" s="1"/>
      <c r="CX133" s="1"/>
      <c r="CY133" s="1"/>
      <c r="CZ133" s="1"/>
      <c r="DA133" s="1"/>
      <c r="DB133" s="1"/>
    </row>
    <row r="134" spans="1:121" ht="15.75" customHeight="1" x14ac:dyDescent="0.25">
      <c r="J134" s="103" t="str">
        <f t="shared" ref="J134:M134" si="293">J112</f>
        <v>VSM</v>
      </c>
      <c r="K134" s="103" t="str">
        <f t="shared" si="293"/>
        <v>Heavy Oil</v>
      </c>
      <c r="L134" s="614" t="str">
        <f t="shared" si="293"/>
        <v>P</v>
      </c>
      <c r="M134" s="103">
        <f t="shared" si="293"/>
        <v>0</v>
      </c>
      <c r="N134" s="1"/>
      <c r="O134" s="1"/>
      <c r="P134" s="1"/>
      <c r="S134" s="12" t="str">
        <f>General_SEC_SGC!I10</f>
        <v>Gras treatment</v>
      </c>
      <c r="T134" s="12">
        <f>General_SEC_SGC!J10</f>
        <v>1.2190000000000001</v>
      </c>
      <c r="U134" s="12" t="s">
        <v>1489</v>
      </c>
      <c r="CV134" s="1"/>
      <c r="CW134" s="1"/>
      <c r="CX134" s="1"/>
      <c r="CY134" s="1"/>
      <c r="CZ134" s="1"/>
      <c r="DA134" s="1"/>
      <c r="DB134" s="1"/>
    </row>
    <row r="135" spans="1:12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6"/>
      <c r="M135" s="1"/>
      <c r="N135" s="1"/>
      <c r="O135" s="1"/>
      <c r="P135" s="1"/>
      <c r="Q135" s="1"/>
      <c r="R135" s="1"/>
      <c r="S135" s="12" t="str">
        <f>General_SEC_SGC!I11</f>
        <v>Crude Treatment</v>
      </c>
      <c r="T135" s="12">
        <f>General_SEC_SGC!J11</f>
        <v>4.4160000000000004</v>
      </c>
      <c r="U135" s="12" t="s">
        <v>1489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</row>
    <row r="136" spans="1:12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6"/>
      <c r="M136" s="1"/>
      <c r="N136" s="1"/>
      <c r="O136" s="1"/>
      <c r="P136" s="1"/>
      <c r="Q136" s="1"/>
      <c r="R136" s="1"/>
      <c r="S136" s="12" t="str">
        <f>General_SEC_SGC!I12</f>
        <v>PowerPlant</v>
      </c>
      <c r="T136" s="12">
        <f>General_SEC_SGC!J12</f>
        <v>16.216999999999999</v>
      </c>
      <c r="U136" s="12" t="s">
        <v>1489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</row>
    <row r="137" spans="1:12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6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</row>
    <row r="138" spans="1:121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864" t="s">
        <v>1490</v>
      </c>
      <c r="K138" s="862"/>
      <c r="L138" s="862"/>
      <c r="M138" s="862"/>
      <c r="N138" s="862"/>
      <c r="O138" s="862"/>
      <c r="P138" s="862"/>
      <c r="Q138" s="862"/>
      <c r="R138" s="862"/>
      <c r="S138" s="862"/>
      <c r="T138" s="862"/>
      <c r="U138" s="862"/>
      <c r="V138" s="862"/>
      <c r="W138" s="862"/>
      <c r="X138" s="862"/>
      <c r="Y138" s="862"/>
      <c r="Z138" s="862"/>
      <c r="AA138" s="862"/>
      <c r="AB138" s="862"/>
      <c r="AC138" s="862"/>
      <c r="AD138" s="862"/>
      <c r="AE138" s="862"/>
      <c r="AF138" s="862"/>
      <c r="AG138" s="863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</row>
    <row r="139" spans="1:12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6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</row>
    <row r="140" spans="1:12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608" t="str">
        <f t="shared" ref="J140:M140" si="294">J120</f>
        <v>Basin</v>
      </c>
      <c r="K140" s="608" t="str">
        <f t="shared" si="294"/>
        <v>Type Fluid</v>
      </c>
      <c r="L140" s="608" t="str">
        <f t="shared" si="294"/>
        <v>CAM</v>
      </c>
      <c r="M140" s="608" t="str">
        <f t="shared" si="294"/>
        <v>Type of Oil producing</v>
      </c>
      <c r="N140" s="426" t="s">
        <v>1491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</row>
    <row r="141" spans="1:12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03" t="str">
        <f t="shared" ref="J141:M141" si="295">J121</f>
        <v>Guajira</v>
      </c>
      <c r="K141" s="103" t="str">
        <f t="shared" si="295"/>
        <v>Doesn't Apply</v>
      </c>
      <c r="L141" s="614" t="str">
        <f t="shared" si="295"/>
        <v>CAM1</v>
      </c>
      <c r="M141" s="615" t="str">
        <f t="shared" si="295"/>
        <v>GU - Gas</v>
      </c>
      <c r="N141" s="1">
        <f>+T144</f>
        <v>0.4</v>
      </c>
      <c r="O141" s="1"/>
      <c r="P141" s="1"/>
      <c r="Q141" s="1"/>
      <c r="R141" s="1"/>
      <c r="T141" s="806" t="s">
        <v>1642</v>
      </c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</row>
    <row r="142" spans="1:12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03" t="str">
        <f t="shared" ref="J142:M142" si="296">J122</f>
        <v>Llanos Orientales</v>
      </c>
      <c r="K142" s="103" t="str">
        <f t="shared" si="296"/>
        <v>Light Oil</v>
      </c>
      <c r="L142" s="614" t="str">
        <f t="shared" si="296"/>
        <v>CAM2</v>
      </c>
      <c r="M142" s="626" t="str">
        <f t="shared" si="296"/>
        <v>LLO - Ligth</v>
      </c>
      <c r="N142" s="1">
        <f>+T144+0.5</f>
        <v>0.9</v>
      </c>
      <c r="O142" s="1"/>
      <c r="P142" s="1"/>
      <c r="Q142" s="1"/>
      <c r="R142" s="1"/>
      <c r="S142" s="12" t="s">
        <v>1493</v>
      </c>
      <c r="T142" s="12">
        <v>1.8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</row>
    <row r="143" spans="1:12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03" t="str">
        <f t="shared" ref="J143:M143" si="297">J123</f>
        <v>Llanos Orientales</v>
      </c>
      <c r="K143" s="103" t="str">
        <f t="shared" si="297"/>
        <v>Heavy Oil</v>
      </c>
      <c r="L143" s="614" t="str">
        <f t="shared" si="297"/>
        <v>CAM3</v>
      </c>
      <c r="M143" s="34" t="str">
        <f t="shared" si="297"/>
        <v>LLO - Heavy</v>
      </c>
      <c r="N143" s="1">
        <f>+T145</f>
        <v>0.5</v>
      </c>
      <c r="O143" s="1"/>
      <c r="P143" s="1"/>
      <c r="Q143" s="1"/>
      <c r="R143" s="1"/>
      <c r="S143" s="12" t="s">
        <v>1485</v>
      </c>
      <c r="T143" s="12">
        <v>0.3</v>
      </c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</row>
    <row r="144" spans="1:12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03" t="str">
        <f t="shared" ref="J144:M144" si="298">J124</f>
        <v>Putumayo</v>
      </c>
      <c r="K144" s="103" t="str">
        <f t="shared" si="298"/>
        <v>Light Oil</v>
      </c>
      <c r="L144" s="614" t="str">
        <f t="shared" si="298"/>
        <v>CAM4</v>
      </c>
      <c r="M144" s="34" t="str">
        <f t="shared" si="298"/>
        <v>PU - Ligth</v>
      </c>
      <c r="N144" s="1">
        <f>+T145</f>
        <v>0.5</v>
      </c>
      <c r="O144" s="1"/>
      <c r="P144" s="1"/>
      <c r="Q144" s="1"/>
      <c r="R144" s="1"/>
      <c r="S144" s="12" t="s">
        <v>1494</v>
      </c>
      <c r="T144" s="12">
        <v>0.4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</row>
    <row r="145" spans="1:12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03" t="str">
        <f t="shared" ref="J145:M145" si="299">J125</f>
        <v>VMM</v>
      </c>
      <c r="K145" s="103" t="str">
        <f t="shared" si="299"/>
        <v>Medium Oil</v>
      </c>
      <c r="L145" s="614" t="str">
        <f t="shared" si="299"/>
        <v>CAM5</v>
      </c>
      <c r="M145" s="34" t="str">
        <f t="shared" si="299"/>
        <v>VMM - Medium</v>
      </c>
      <c r="N145" s="1">
        <f>+T145</f>
        <v>0.5</v>
      </c>
      <c r="O145" s="1"/>
      <c r="P145" s="1"/>
      <c r="Q145" s="1"/>
      <c r="R145" s="1"/>
      <c r="S145" s="12" t="s">
        <v>1487</v>
      </c>
      <c r="T145" s="12">
        <v>0.5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</row>
    <row r="146" spans="1:12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03" t="str">
        <f t="shared" ref="J146:M146" si="300">J126</f>
        <v>VSM</v>
      </c>
      <c r="K146" s="103" t="str">
        <f t="shared" si="300"/>
        <v>Medium Oil</v>
      </c>
      <c r="L146" s="614" t="str">
        <f t="shared" si="300"/>
        <v>CAM6</v>
      </c>
      <c r="M146" s="626" t="str">
        <f t="shared" si="300"/>
        <v>VSM - Medium</v>
      </c>
      <c r="N146" s="1">
        <f>+T145</f>
        <v>0.5</v>
      </c>
      <c r="O146" s="1"/>
      <c r="P146" s="1"/>
      <c r="Q146" s="1"/>
      <c r="R146" s="1"/>
      <c r="S146" s="12" t="s">
        <v>1495</v>
      </c>
      <c r="T146" s="12">
        <v>0.7</v>
      </c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</row>
    <row r="147" spans="1:12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03" t="str">
        <f t="shared" ref="J147:M147" si="301">J127</f>
        <v>VIM</v>
      </c>
      <c r="K147" s="103" t="str">
        <f t="shared" si="301"/>
        <v>Doesn't Apply</v>
      </c>
      <c r="L147" s="614" t="str">
        <f t="shared" si="301"/>
        <v>CAM7</v>
      </c>
      <c r="M147" s="626" t="str">
        <f t="shared" si="301"/>
        <v>VIM - GAS</v>
      </c>
      <c r="N147" s="1">
        <f>+T144</f>
        <v>0.4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</row>
    <row r="148" spans="1:12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6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</row>
    <row r="149" spans="1:12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6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</row>
    <row r="150" spans="1:12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</row>
    <row r="151" spans="1:12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</row>
    <row r="152" spans="1:121" ht="15.75" customHeight="1" x14ac:dyDescent="0.3">
      <c r="J152" s="864" t="s">
        <v>1496</v>
      </c>
      <c r="K152" s="862"/>
      <c r="L152" s="862"/>
      <c r="M152" s="862"/>
      <c r="N152" s="862"/>
      <c r="O152" s="862"/>
      <c r="P152" s="862"/>
      <c r="Q152" s="862"/>
      <c r="R152" s="862"/>
      <c r="S152" s="862"/>
      <c r="T152" s="862"/>
      <c r="U152" s="862"/>
      <c r="V152" s="862"/>
      <c r="W152" s="862"/>
      <c r="X152" s="862"/>
      <c r="Y152" s="862"/>
      <c r="Z152" s="862"/>
      <c r="AA152" s="862"/>
      <c r="AB152" s="862"/>
      <c r="AC152" s="862"/>
      <c r="AD152" s="862"/>
      <c r="AE152" s="862"/>
      <c r="AF152" s="862"/>
      <c r="AG152" s="863"/>
      <c r="CV152" s="1"/>
      <c r="CW152" s="1"/>
      <c r="CX152" s="1"/>
      <c r="CY152" s="1"/>
      <c r="CZ152" s="1"/>
      <c r="DA152" s="1"/>
      <c r="DB152" s="1"/>
    </row>
    <row r="153" spans="1:121" ht="15.75" customHeight="1" x14ac:dyDescent="0.25">
      <c r="CV153" s="1"/>
      <c r="CW153" s="1"/>
      <c r="CX153" s="1"/>
      <c r="CY153" s="1"/>
      <c r="CZ153" s="1"/>
      <c r="DA153" s="1"/>
      <c r="DB153" s="1"/>
    </row>
    <row r="154" spans="1:121" ht="15.75" customHeight="1" x14ac:dyDescent="0.3">
      <c r="J154" s="12" t="s">
        <v>1497</v>
      </c>
      <c r="W154" s="282" t="s">
        <v>1498</v>
      </c>
      <c r="X154" s="282"/>
      <c r="Y154" s="282"/>
      <c r="Z154" s="282"/>
      <c r="AA154" s="282"/>
      <c r="AB154" s="282"/>
      <c r="AC154" s="282"/>
      <c r="AF154" s="282" t="s">
        <v>1499</v>
      </c>
      <c r="AG154" s="282"/>
      <c r="AH154" s="282"/>
      <c r="AI154" s="282"/>
      <c r="AJ154" s="282"/>
      <c r="AK154" s="282"/>
      <c r="AL154" s="282"/>
      <c r="AY154" s="282" t="s">
        <v>1500</v>
      </c>
      <c r="AZ154" s="282"/>
      <c r="BA154" s="282"/>
      <c r="BB154" s="282"/>
      <c r="BC154" s="282"/>
      <c r="BD154" s="282"/>
      <c r="BE154" s="282"/>
      <c r="CV154" s="1"/>
      <c r="CW154" s="1"/>
      <c r="CX154" s="1"/>
      <c r="CY154" s="1"/>
      <c r="CZ154" s="1"/>
      <c r="DA154" s="1"/>
      <c r="DB154" s="1"/>
    </row>
    <row r="155" spans="1:121" ht="15.75" customHeight="1" x14ac:dyDescent="0.25">
      <c r="J155" s="608" t="str">
        <f t="shared" ref="J155:M155" si="302">J120</f>
        <v>Basin</v>
      </c>
      <c r="K155" s="608" t="str">
        <f t="shared" si="302"/>
        <v>Type Fluid</v>
      </c>
      <c r="L155" s="608" t="str">
        <f t="shared" si="302"/>
        <v>CAM</v>
      </c>
      <c r="M155" s="608" t="str">
        <f t="shared" si="302"/>
        <v>Type of Oil producing</v>
      </c>
      <c r="N155" s="853" t="s">
        <v>1501</v>
      </c>
      <c r="O155" s="812"/>
      <c r="P155" s="853" t="s">
        <v>1501</v>
      </c>
      <c r="Q155" s="812"/>
      <c r="R155" s="643" t="s">
        <v>1502</v>
      </c>
      <c r="S155" s="643" t="s">
        <v>1503</v>
      </c>
      <c r="W155" s="12" t="s">
        <v>1504</v>
      </c>
      <c r="X155" s="12" t="s">
        <v>1505</v>
      </c>
      <c r="Y155" s="12" t="s">
        <v>1245</v>
      </c>
      <c r="Z155" s="12" t="s">
        <v>1354</v>
      </c>
      <c r="AA155" s="12" t="s">
        <v>1358</v>
      </c>
      <c r="AB155" s="12" t="s">
        <v>1259</v>
      </c>
      <c r="AC155" s="12" t="s">
        <v>1506</v>
      </c>
      <c r="AF155" s="12" t="s">
        <v>1504</v>
      </c>
      <c r="AG155" s="12" t="s">
        <v>1505</v>
      </c>
      <c r="AH155" s="12" t="s">
        <v>1245</v>
      </c>
      <c r="AI155" s="12" t="s">
        <v>1354</v>
      </c>
      <c r="AJ155" s="12" t="s">
        <v>1358</v>
      </c>
      <c r="AK155" s="12" t="s">
        <v>1259</v>
      </c>
      <c r="AL155" s="12" t="s">
        <v>1506</v>
      </c>
      <c r="AO155" s="12" t="s">
        <v>1504</v>
      </c>
      <c r="AP155" s="12" t="s">
        <v>1505</v>
      </c>
      <c r="AQ155" s="12" t="s">
        <v>1245</v>
      </c>
      <c r="AR155" s="12" t="s">
        <v>1354</v>
      </c>
      <c r="AS155" s="12" t="s">
        <v>1358</v>
      </c>
      <c r="AT155" s="12" t="s">
        <v>1259</v>
      </c>
      <c r="AU155" s="12" t="s">
        <v>1506</v>
      </c>
      <c r="AY155" s="12" t="s">
        <v>1504</v>
      </c>
      <c r="AZ155" s="12" t="s">
        <v>1505</v>
      </c>
      <c r="BA155" s="12" t="s">
        <v>1245</v>
      </c>
      <c r="BB155" s="12" t="s">
        <v>1354</v>
      </c>
      <c r="BC155" s="12" t="s">
        <v>1358</v>
      </c>
      <c r="BD155" s="12" t="s">
        <v>1259</v>
      </c>
      <c r="BE155" s="12" t="s">
        <v>1506</v>
      </c>
      <c r="CV155" s="1"/>
      <c r="CW155" s="1"/>
      <c r="CX155" s="1"/>
      <c r="CY155" s="1"/>
      <c r="CZ155" s="1"/>
      <c r="DA155" s="1"/>
      <c r="DB155" s="1"/>
    </row>
    <row r="156" spans="1:121" ht="15.75" customHeight="1" x14ac:dyDescent="0.25">
      <c r="J156" s="103" t="str">
        <f t="shared" ref="J156:M156" si="303">J121</f>
        <v>Guajira</v>
      </c>
      <c r="K156" s="103" t="str">
        <f t="shared" si="303"/>
        <v>Doesn't Apply</v>
      </c>
      <c r="L156" s="614" t="str">
        <f t="shared" si="303"/>
        <v>CAM1</v>
      </c>
      <c r="M156" s="615" t="str">
        <f t="shared" si="303"/>
        <v>GU - Gas</v>
      </c>
      <c r="N156" s="644">
        <v>0</v>
      </c>
      <c r="O156" s="645" t="s">
        <v>585</v>
      </c>
      <c r="P156" s="346">
        <f t="shared" ref="P156:P162" si="304">+N156*(365/1000)*$D$14/1000</f>
        <v>0</v>
      </c>
      <c r="Q156" s="12" t="s">
        <v>59</v>
      </c>
      <c r="R156" s="295">
        <f t="shared" ref="R156:R162" si="305">+AA99</f>
        <v>0</v>
      </c>
      <c r="S156" s="205">
        <v>0</v>
      </c>
      <c r="V156" s="12">
        <v>2019</v>
      </c>
      <c r="W156" s="231">
        <v>2253.928870417391</v>
      </c>
      <c r="X156" s="231">
        <v>3992.1013839447819</v>
      </c>
      <c r="Y156" s="231">
        <v>469.74801054894476</v>
      </c>
      <c r="Z156" s="231">
        <v>1938.6301241137664</v>
      </c>
      <c r="AA156" s="231">
        <v>7348.5205434398176</v>
      </c>
      <c r="AB156" s="231">
        <v>162.27952651346473</v>
      </c>
      <c r="AC156" s="231">
        <v>0</v>
      </c>
      <c r="AE156" s="12">
        <v>2019</v>
      </c>
      <c r="AF156" s="231">
        <v>347.22849429808105</v>
      </c>
      <c r="AG156" s="231">
        <v>651.23296939487716</v>
      </c>
      <c r="AH156" s="231">
        <v>0</v>
      </c>
      <c r="AI156" s="231">
        <v>0</v>
      </c>
      <c r="AJ156" s="231">
        <v>1470.6685125882132</v>
      </c>
      <c r="AK156" s="231">
        <v>0</v>
      </c>
      <c r="AL156" s="231">
        <v>0</v>
      </c>
      <c r="AN156" s="12">
        <v>2019</v>
      </c>
      <c r="AO156" s="228">
        <f t="shared" ref="AO156:AT156" si="306">+AF156/W156</f>
        <v>0.15405477025270101</v>
      </c>
      <c r="AP156" s="228">
        <f t="shared" si="306"/>
        <v>0.16313036838542497</v>
      </c>
      <c r="AQ156" s="228">
        <f t="shared" si="306"/>
        <v>0</v>
      </c>
      <c r="AR156" s="228">
        <f t="shared" si="306"/>
        <v>0</v>
      </c>
      <c r="AS156" s="228">
        <f t="shared" si="306"/>
        <v>0.20013123783141773</v>
      </c>
      <c r="AT156" s="228">
        <f t="shared" si="306"/>
        <v>0</v>
      </c>
      <c r="AU156" s="228"/>
      <c r="AX156" s="12">
        <v>2019</v>
      </c>
      <c r="AY156" s="231">
        <f t="shared" ref="AY156:BE156" si="307">+W156-AF156</f>
        <v>1906.70037611931</v>
      </c>
      <c r="AZ156" s="231">
        <f t="shared" si="307"/>
        <v>3340.8684145499046</v>
      </c>
      <c r="BA156" s="231">
        <f t="shared" si="307"/>
        <v>469.74801054894476</v>
      </c>
      <c r="BB156" s="231">
        <f t="shared" si="307"/>
        <v>1938.6301241137664</v>
      </c>
      <c r="BC156" s="231">
        <f t="shared" si="307"/>
        <v>5877.8520308516045</v>
      </c>
      <c r="BD156" s="231">
        <f t="shared" si="307"/>
        <v>162.27952651346473</v>
      </c>
      <c r="BE156" s="231">
        <f t="shared" si="307"/>
        <v>0</v>
      </c>
      <c r="CV156" s="1"/>
      <c r="CW156" s="1"/>
      <c r="CX156" s="1"/>
      <c r="CY156" s="1"/>
      <c r="CZ156" s="1"/>
      <c r="DA156" s="1"/>
      <c r="DB156" s="1"/>
    </row>
    <row r="157" spans="1:121" ht="15.75" customHeight="1" x14ac:dyDescent="0.25">
      <c r="J157" s="103" t="str">
        <f t="shared" ref="J157:M157" si="308">J122</f>
        <v>Llanos Orientales</v>
      </c>
      <c r="K157" s="103" t="str">
        <f t="shared" si="308"/>
        <v>Light Oil</v>
      </c>
      <c r="L157" s="614" t="str">
        <f t="shared" si="308"/>
        <v>CAM2</v>
      </c>
      <c r="M157" s="626" t="str">
        <f t="shared" si="308"/>
        <v>LLO - Ligth</v>
      </c>
      <c r="N157" s="644">
        <f>+Z164+AA164</f>
        <v>14800</v>
      </c>
      <c r="O157" s="645" t="s">
        <v>585</v>
      </c>
      <c r="P157" s="222">
        <f t="shared" si="304"/>
        <v>21.91194918242925</v>
      </c>
      <c r="Q157" s="12" t="s">
        <v>59</v>
      </c>
      <c r="R157" s="295">
        <f t="shared" si="305"/>
        <v>0.20433496451438232</v>
      </c>
      <c r="S157" s="205">
        <f t="shared" ref="S157:S158" si="309">+P157/R157</f>
        <v>107.23543684510712</v>
      </c>
      <c r="V157" s="12">
        <v>2020</v>
      </c>
      <c r="W157" s="231">
        <v>3027.9177591474381</v>
      </c>
      <c r="X157" s="231">
        <v>3316.6466078710505</v>
      </c>
      <c r="Y157" s="231">
        <v>347.53424063269131</v>
      </c>
      <c r="Z157" s="231">
        <v>7140.2739468576701</v>
      </c>
      <c r="AA157" s="231">
        <v>7420.2740498379508</v>
      </c>
      <c r="AB157" s="231">
        <v>176.72627372066282</v>
      </c>
      <c r="AC157" s="231">
        <v>1571.0794682741891</v>
      </c>
      <c r="AD157" s="231"/>
      <c r="AE157" s="12">
        <v>2020</v>
      </c>
      <c r="AF157" s="231">
        <v>350.95902255861745</v>
      </c>
      <c r="AG157" s="231">
        <v>453.64932302125374</v>
      </c>
      <c r="AH157" s="231">
        <v>0</v>
      </c>
      <c r="AI157" s="231">
        <v>586.84388285864247</v>
      </c>
      <c r="AJ157" s="231">
        <v>6570.3589924795442</v>
      </c>
      <c r="AK157" s="231">
        <v>0</v>
      </c>
      <c r="AL157" s="231">
        <v>0</v>
      </c>
      <c r="AN157" s="12">
        <v>2020</v>
      </c>
      <c r="AO157" s="228">
        <f t="shared" ref="AO157:AU157" si="310">+AF157/W157</f>
        <v>0.1159077129814239</v>
      </c>
      <c r="AP157" s="228">
        <f t="shared" si="310"/>
        <v>0.13677951758401249</v>
      </c>
      <c r="AQ157" s="228">
        <f t="shared" si="310"/>
        <v>0</v>
      </c>
      <c r="AR157" s="228">
        <f t="shared" si="310"/>
        <v>8.2187866631770315E-2</v>
      </c>
      <c r="AS157" s="228">
        <f t="shared" si="310"/>
        <v>0.88546042212861831</v>
      </c>
      <c r="AT157" s="228">
        <f t="shared" si="310"/>
        <v>0</v>
      </c>
      <c r="AU157" s="228">
        <f t="shared" si="310"/>
        <v>0</v>
      </c>
      <c r="AX157" s="12">
        <v>2020</v>
      </c>
      <c r="AY157" s="231">
        <f t="shared" ref="AY157:BE157" si="311">+W157-AF157</f>
        <v>2676.9587365888206</v>
      </c>
      <c r="AZ157" s="231">
        <f t="shared" si="311"/>
        <v>2862.9972848497969</v>
      </c>
      <c r="BA157" s="231">
        <f t="shared" si="311"/>
        <v>347.53424063269131</v>
      </c>
      <c r="BB157" s="231">
        <f t="shared" si="311"/>
        <v>6553.4300639990279</v>
      </c>
      <c r="BC157" s="231">
        <f t="shared" si="311"/>
        <v>849.91505735840656</v>
      </c>
      <c r="BD157" s="231">
        <f t="shared" si="311"/>
        <v>176.72627372066282</v>
      </c>
      <c r="BE157" s="231">
        <f t="shared" si="311"/>
        <v>1571.0794682741891</v>
      </c>
      <c r="CV157" s="1"/>
      <c r="CW157" s="1"/>
      <c r="CX157" s="1"/>
      <c r="CY157" s="1"/>
      <c r="CZ157" s="1"/>
      <c r="DA157" s="1"/>
      <c r="DB157" s="1"/>
    </row>
    <row r="158" spans="1:121" ht="15.75" customHeight="1" x14ac:dyDescent="0.25">
      <c r="J158" s="103" t="str">
        <f t="shared" ref="J158:M158" si="312">J123</f>
        <v>Llanos Orientales</v>
      </c>
      <c r="K158" s="103" t="str">
        <f t="shared" si="312"/>
        <v>Heavy Oil</v>
      </c>
      <c r="L158" s="614" t="str">
        <f t="shared" si="312"/>
        <v>CAM3</v>
      </c>
      <c r="M158" s="34" t="str">
        <f t="shared" si="312"/>
        <v>LLO - Heavy</v>
      </c>
      <c r="N158" s="644">
        <f>+Y164</f>
        <v>800</v>
      </c>
      <c r="O158" s="645" t="s">
        <v>585</v>
      </c>
      <c r="P158" s="222">
        <f t="shared" si="304"/>
        <v>1.1844296855367162</v>
      </c>
      <c r="Q158" s="12" t="s">
        <v>59</v>
      </c>
      <c r="R158" s="295">
        <f t="shared" si="305"/>
        <v>0.4507029118970462</v>
      </c>
      <c r="S158" s="205">
        <f t="shared" si="309"/>
        <v>2.6279610232633126</v>
      </c>
      <c r="V158" s="12">
        <v>2021</v>
      </c>
      <c r="W158" s="231">
        <v>3280.7944883974951</v>
      </c>
      <c r="X158" s="231">
        <v>3020.6328992252193</v>
      </c>
      <c r="Y158" s="231">
        <v>267.12599398671159</v>
      </c>
      <c r="Z158" s="231">
        <v>7049.5889960420182</v>
      </c>
      <c r="AA158" s="231">
        <v>7400.0000965440149</v>
      </c>
      <c r="AB158" s="231">
        <v>169.26612475518095</v>
      </c>
      <c r="AC158" s="231">
        <v>1874.0000212396833</v>
      </c>
      <c r="AD158" s="231"/>
      <c r="AE158" s="12">
        <v>2021</v>
      </c>
      <c r="AF158" s="231">
        <v>461.78091498490204</v>
      </c>
      <c r="AG158" s="231">
        <v>400.00002989759628</v>
      </c>
      <c r="AH158" s="231">
        <v>0</v>
      </c>
      <c r="AI158" s="231">
        <v>789.50138556750676</v>
      </c>
      <c r="AJ158" s="231">
        <v>7400.0000965440149</v>
      </c>
      <c r="AK158" s="231">
        <v>0</v>
      </c>
      <c r="AL158" s="231">
        <v>0</v>
      </c>
      <c r="AN158" s="12">
        <v>2021</v>
      </c>
      <c r="AO158" s="228">
        <f t="shared" ref="AO158:AU158" si="313">+AF158/W158</f>
        <v>0.1407527708968016</v>
      </c>
      <c r="AP158" s="228">
        <f t="shared" si="313"/>
        <v>0.13242258931901152</v>
      </c>
      <c r="AQ158" s="228">
        <f t="shared" si="313"/>
        <v>0</v>
      </c>
      <c r="AR158" s="228">
        <f t="shared" si="313"/>
        <v>0.11199254112697508</v>
      </c>
      <c r="AS158" s="228">
        <f t="shared" si="313"/>
        <v>1</v>
      </c>
      <c r="AT158" s="228">
        <f t="shared" si="313"/>
        <v>0</v>
      </c>
      <c r="AU158" s="228">
        <f t="shared" si="313"/>
        <v>0</v>
      </c>
      <c r="AX158" s="12">
        <v>2021</v>
      </c>
      <c r="AY158" s="231">
        <f t="shared" ref="AY158:BE158" si="314">+W158-AF158</f>
        <v>2819.0135734125929</v>
      </c>
      <c r="AZ158" s="231">
        <f t="shared" si="314"/>
        <v>2620.6328693276228</v>
      </c>
      <c r="BA158" s="231">
        <f t="shared" si="314"/>
        <v>267.12599398671159</v>
      </c>
      <c r="BB158" s="231">
        <f t="shared" si="314"/>
        <v>6260.0876104745112</v>
      </c>
      <c r="BC158" s="231">
        <f t="shared" si="314"/>
        <v>0</v>
      </c>
      <c r="BD158" s="231">
        <f t="shared" si="314"/>
        <v>169.26612475518095</v>
      </c>
      <c r="BE158" s="231">
        <f t="shared" si="314"/>
        <v>1874.0000212396833</v>
      </c>
      <c r="CV158" s="1"/>
      <c r="CW158" s="1"/>
      <c r="CX158" s="1"/>
      <c r="CY158" s="1"/>
      <c r="CZ158" s="1"/>
      <c r="DA158" s="1"/>
      <c r="DB158" s="1"/>
    </row>
    <row r="159" spans="1:121" ht="15.75" customHeight="1" x14ac:dyDescent="0.25">
      <c r="J159" s="103" t="str">
        <f t="shared" ref="J159:M159" si="315">J124</f>
        <v>Putumayo</v>
      </c>
      <c r="K159" s="103" t="str">
        <f t="shared" si="315"/>
        <v>Light Oil</v>
      </c>
      <c r="L159" s="614" t="str">
        <f t="shared" si="315"/>
        <v>CAM4</v>
      </c>
      <c r="M159" s="34" t="str">
        <f t="shared" si="315"/>
        <v>PU - Ligth</v>
      </c>
      <c r="N159" s="644">
        <f>+T102</f>
        <v>0</v>
      </c>
      <c r="O159" s="645" t="s">
        <v>585</v>
      </c>
      <c r="P159" s="346">
        <f t="shared" si="304"/>
        <v>0</v>
      </c>
      <c r="Q159" s="12" t="s">
        <v>59</v>
      </c>
      <c r="R159" s="295">
        <f t="shared" si="305"/>
        <v>0</v>
      </c>
      <c r="S159" s="205">
        <v>0</v>
      </c>
      <c r="V159" s="12">
        <v>2022</v>
      </c>
      <c r="W159" s="231">
        <v>2986.0297811673495</v>
      </c>
      <c r="X159" s="231">
        <v>4543.9452015278557</v>
      </c>
      <c r="Y159" s="231">
        <v>398.74520547945207</v>
      </c>
      <c r="Z159" s="231">
        <v>7989.0794520547943</v>
      </c>
      <c r="AA159" s="231">
        <v>7600.0000000000009</v>
      </c>
      <c r="AB159" s="231">
        <v>162.77808219178081</v>
      </c>
      <c r="AC159" s="231">
        <v>0</v>
      </c>
      <c r="AD159" s="231"/>
      <c r="AE159" s="12">
        <v>2022</v>
      </c>
      <c r="AF159" s="231">
        <v>362.8767123287671</v>
      </c>
      <c r="AG159" s="231">
        <v>1425.3524614333717</v>
      </c>
      <c r="AH159" s="231">
        <v>398.74520547945207</v>
      </c>
      <c r="AI159" s="231">
        <v>582.7534246575342</v>
      </c>
      <c r="AJ159" s="231">
        <v>2194.0107410722189</v>
      </c>
      <c r="AK159" s="231">
        <v>0</v>
      </c>
      <c r="AL159" s="231">
        <v>4.3052837573385521E-3</v>
      </c>
      <c r="AN159" s="12">
        <v>2022</v>
      </c>
      <c r="AO159" s="228">
        <f t="shared" ref="AO159:AT159" si="316">+AF159/W159</f>
        <v>0.12152481352242414</v>
      </c>
      <c r="AP159" s="228">
        <f t="shared" si="316"/>
        <v>0.31368170130091166</v>
      </c>
      <c r="AQ159" s="228">
        <f t="shared" si="316"/>
        <v>1</v>
      </c>
      <c r="AR159" s="228">
        <f t="shared" si="316"/>
        <v>7.2943751298862075E-2</v>
      </c>
      <c r="AS159" s="228">
        <f t="shared" si="316"/>
        <v>0.28868562382529195</v>
      </c>
      <c r="AT159" s="228">
        <f t="shared" si="316"/>
        <v>0</v>
      </c>
      <c r="AU159" s="228"/>
      <c r="AX159" s="12">
        <v>2022</v>
      </c>
      <c r="AY159" s="231">
        <f t="shared" ref="AY159:BE159" si="317">+W159-AF159</f>
        <v>2623.1530688385824</v>
      </c>
      <c r="AZ159" s="231">
        <f t="shared" si="317"/>
        <v>3118.5927400944838</v>
      </c>
      <c r="BA159" s="231">
        <f t="shared" si="317"/>
        <v>0</v>
      </c>
      <c r="BB159" s="231">
        <f t="shared" si="317"/>
        <v>7406.3260273972601</v>
      </c>
      <c r="BC159" s="231">
        <f t="shared" si="317"/>
        <v>5405.9892589277824</v>
      </c>
      <c r="BD159" s="231">
        <f t="shared" si="317"/>
        <v>162.77808219178081</v>
      </c>
      <c r="BE159" s="231">
        <f t="shared" si="317"/>
        <v>-4.3052837573385521E-3</v>
      </c>
      <c r="CV159" s="1"/>
      <c r="CW159" s="1"/>
      <c r="CX159" s="1"/>
      <c r="CY159" s="1"/>
      <c r="CZ159" s="1"/>
      <c r="DA159" s="1"/>
      <c r="DB159" s="1"/>
    </row>
    <row r="160" spans="1:121" ht="15.75" customHeight="1" x14ac:dyDescent="0.25">
      <c r="J160" s="103" t="str">
        <f t="shared" ref="J160:M160" si="318">J125</f>
        <v>VMM</v>
      </c>
      <c r="K160" s="103" t="str">
        <f t="shared" si="318"/>
        <v>Medium Oil</v>
      </c>
      <c r="L160" s="614" t="str">
        <f t="shared" si="318"/>
        <v>CAM5</v>
      </c>
      <c r="M160" s="34" t="str">
        <f t="shared" si="318"/>
        <v>VMM - Medium</v>
      </c>
      <c r="N160" s="644">
        <v>0</v>
      </c>
      <c r="O160" s="645" t="s">
        <v>585</v>
      </c>
      <c r="P160" s="346">
        <f t="shared" si="304"/>
        <v>0</v>
      </c>
      <c r="Q160" s="12" t="s">
        <v>59</v>
      </c>
      <c r="R160" s="295">
        <f t="shared" si="305"/>
        <v>0</v>
      </c>
      <c r="S160" s="205">
        <v>0</v>
      </c>
      <c r="V160" s="12">
        <v>2023</v>
      </c>
      <c r="W160" s="231">
        <v>3150</v>
      </c>
      <c r="X160" s="231">
        <v>4240.2564945621634</v>
      </c>
      <c r="Y160" s="231">
        <v>308.45753424657534</v>
      </c>
      <c r="Z160" s="231">
        <v>8100</v>
      </c>
      <c r="AA160" s="231">
        <v>7277.791780821919</v>
      </c>
      <c r="AB160" s="231">
        <v>151.73424657534247</v>
      </c>
      <c r="AC160" s="231">
        <v>0</v>
      </c>
      <c r="AD160" s="231"/>
      <c r="AE160" s="12">
        <v>2023</v>
      </c>
      <c r="AF160" s="231">
        <v>400</v>
      </c>
      <c r="AG160" s="231">
        <v>1500.0000000000002</v>
      </c>
      <c r="AH160" s="231">
        <v>308.45753424657534</v>
      </c>
      <c r="AI160" s="231">
        <v>0</v>
      </c>
      <c r="AJ160" s="231">
        <v>3079.8883113247662</v>
      </c>
      <c r="AK160" s="231">
        <v>0</v>
      </c>
      <c r="AL160" s="231">
        <v>1.3698630136986301E-2</v>
      </c>
      <c r="AN160" s="12">
        <v>2023</v>
      </c>
      <c r="AO160" s="228">
        <f t="shared" ref="AO160:AT160" si="319">+AF160/W160</f>
        <v>0.12698412698412698</v>
      </c>
      <c r="AP160" s="228">
        <f t="shared" si="319"/>
        <v>0.3537521850207993</v>
      </c>
      <c r="AQ160" s="228">
        <f t="shared" si="319"/>
        <v>1</v>
      </c>
      <c r="AR160" s="228">
        <f t="shared" si="319"/>
        <v>0</v>
      </c>
      <c r="AS160" s="228">
        <f t="shared" si="319"/>
        <v>0.42318994608237315</v>
      </c>
      <c r="AT160" s="228">
        <f t="shared" si="319"/>
        <v>0</v>
      </c>
      <c r="AU160" s="228"/>
      <c r="AX160" s="12">
        <v>2023</v>
      </c>
      <c r="AY160" s="231">
        <f t="shared" ref="AY160:BE160" si="320">+W160-AF160</f>
        <v>2750</v>
      </c>
      <c r="AZ160" s="231">
        <f t="shared" si="320"/>
        <v>2740.2564945621634</v>
      </c>
      <c r="BA160" s="231">
        <f t="shared" si="320"/>
        <v>0</v>
      </c>
      <c r="BB160" s="231">
        <f t="shared" si="320"/>
        <v>8100</v>
      </c>
      <c r="BC160" s="231">
        <f t="shared" si="320"/>
        <v>4197.9034694971524</v>
      </c>
      <c r="BD160" s="231">
        <f t="shared" si="320"/>
        <v>151.73424657534247</v>
      </c>
      <c r="BE160" s="231">
        <f t="shared" si="320"/>
        <v>-1.3698630136986301E-2</v>
      </c>
      <c r="CV160" s="1"/>
      <c r="CW160" s="1"/>
      <c r="CX160" s="1"/>
      <c r="CY160" s="1"/>
      <c r="CZ160" s="1"/>
      <c r="DA160" s="1"/>
      <c r="DB160" s="1"/>
    </row>
    <row r="161" spans="10:106" ht="15.75" customHeight="1" x14ac:dyDescent="0.25">
      <c r="J161" s="103" t="str">
        <f t="shared" ref="J161:M161" si="321">J126</f>
        <v>VSM</v>
      </c>
      <c r="K161" s="103" t="str">
        <f t="shared" si="321"/>
        <v>Medium Oil</v>
      </c>
      <c r="L161" s="614" t="str">
        <f t="shared" si="321"/>
        <v>CAM6</v>
      </c>
      <c r="M161" s="626" t="str">
        <f t="shared" si="321"/>
        <v>VSM - Medium</v>
      </c>
      <c r="N161" s="644">
        <f>+AB164</f>
        <v>176.72627372066282</v>
      </c>
      <c r="O161" s="645" t="s">
        <v>585</v>
      </c>
      <c r="P161" s="222">
        <f t="shared" si="304"/>
        <v>0.26164980601130039</v>
      </c>
      <c r="Q161" s="12" t="s">
        <v>59</v>
      </c>
      <c r="R161" s="295">
        <f t="shared" si="305"/>
        <v>0.39345284643786937</v>
      </c>
      <c r="S161" s="205">
        <f>+P161/R161</f>
        <v>0.66500931021379162</v>
      </c>
      <c r="V161" s="12">
        <v>2024</v>
      </c>
      <c r="W161" s="231">
        <v>3158.6301369863013</v>
      </c>
      <c r="X161" s="231">
        <v>4354.2101192686277</v>
      </c>
      <c r="Y161" s="231">
        <v>260.40547945205481</v>
      </c>
      <c r="Z161" s="231">
        <v>7666.2742499653305</v>
      </c>
      <c r="AA161" s="231">
        <v>5796.1835616438366</v>
      </c>
      <c r="AB161" s="231">
        <v>137.61095890410959</v>
      </c>
      <c r="AC161" s="231">
        <v>0</v>
      </c>
      <c r="AD161" s="231"/>
      <c r="AE161" s="12">
        <v>2024</v>
      </c>
      <c r="AF161" s="231">
        <v>401.09589041095893</v>
      </c>
      <c r="AG161" s="231">
        <v>1504.1095890410961</v>
      </c>
      <c r="AH161" s="231">
        <v>260.40547945205481</v>
      </c>
      <c r="AI161" s="231">
        <v>0</v>
      </c>
      <c r="AJ161" s="231">
        <v>3124.2158880286934</v>
      </c>
      <c r="AK161" s="231">
        <v>0</v>
      </c>
      <c r="AL161" s="231">
        <v>2.3091976516634052E-2</v>
      </c>
      <c r="AN161" s="12">
        <v>2024</v>
      </c>
      <c r="AO161" s="228">
        <f t="shared" ref="AO161:AT161" si="322">+AF161/W161</f>
        <v>0.126984126984127</v>
      </c>
      <c r="AP161" s="228">
        <f t="shared" si="322"/>
        <v>0.3454379894036303</v>
      </c>
      <c r="AQ161" s="228">
        <f t="shared" si="322"/>
        <v>1</v>
      </c>
      <c r="AR161" s="228">
        <f t="shared" si="322"/>
        <v>0</v>
      </c>
      <c r="AS161" s="228">
        <f t="shared" si="322"/>
        <v>0.53901258557495457</v>
      </c>
      <c r="AT161" s="228">
        <f t="shared" si="322"/>
        <v>0</v>
      </c>
      <c r="AU161" s="228"/>
      <c r="AX161" s="12">
        <v>2024</v>
      </c>
      <c r="AY161" s="231">
        <f t="shared" ref="AY161:BE161" si="323">+W161-AF161</f>
        <v>2757.5342465753424</v>
      </c>
      <c r="AZ161" s="231">
        <f t="shared" si="323"/>
        <v>2850.1005302275316</v>
      </c>
      <c r="BA161" s="231">
        <f t="shared" si="323"/>
        <v>0</v>
      </c>
      <c r="BB161" s="231">
        <f t="shared" si="323"/>
        <v>7666.2742499653305</v>
      </c>
      <c r="BC161" s="231">
        <f t="shared" si="323"/>
        <v>2671.9676736151432</v>
      </c>
      <c r="BD161" s="231">
        <f t="shared" si="323"/>
        <v>137.61095890410959</v>
      </c>
      <c r="BE161" s="231">
        <f t="shared" si="323"/>
        <v>-2.3091976516634052E-2</v>
      </c>
      <c r="CV161" s="1"/>
      <c r="CW161" s="1"/>
      <c r="CX161" s="1"/>
      <c r="CY161" s="1"/>
      <c r="CZ161" s="1"/>
      <c r="DA161" s="1"/>
      <c r="DB161" s="1"/>
    </row>
    <row r="162" spans="10:106" ht="15.75" customHeight="1" x14ac:dyDescent="0.25">
      <c r="J162" s="112" t="str">
        <f t="shared" ref="J162:M162" si="324">J127</f>
        <v>VIM</v>
      </c>
      <c r="K162" s="112" t="str">
        <f t="shared" si="324"/>
        <v>Doesn't Apply</v>
      </c>
      <c r="L162" s="646" t="str">
        <f t="shared" si="324"/>
        <v>CAM7</v>
      </c>
      <c r="M162" s="647" t="str">
        <f t="shared" si="324"/>
        <v>VIM - GAS</v>
      </c>
      <c r="N162" s="644">
        <v>0</v>
      </c>
      <c r="O162" s="645" t="s">
        <v>585</v>
      </c>
      <c r="P162" s="346">
        <f t="shared" si="304"/>
        <v>0</v>
      </c>
      <c r="Q162" s="12" t="s">
        <v>59</v>
      </c>
      <c r="R162" s="295">
        <f t="shared" si="305"/>
        <v>0</v>
      </c>
      <c r="S162" s="205">
        <v>0</v>
      </c>
      <c r="V162" s="12">
        <v>2025</v>
      </c>
      <c r="W162" s="231">
        <v>3105.1978345369666</v>
      </c>
      <c r="X162" s="231">
        <v>4343.2290522179519</v>
      </c>
      <c r="Y162" s="231">
        <v>0</v>
      </c>
      <c r="Z162" s="231">
        <v>6475.9477325608286</v>
      </c>
      <c r="AA162" s="231">
        <v>4784.0799448326134</v>
      </c>
      <c r="AB162" s="231">
        <v>122.13972602739726</v>
      </c>
      <c r="AC162" s="231">
        <v>0</v>
      </c>
      <c r="AD162" s="231"/>
      <c r="AE162" s="12">
        <v>2025</v>
      </c>
      <c r="AF162" s="231">
        <v>400</v>
      </c>
      <c r="AG162" s="231">
        <v>1500.0000000000002</v>
      </c>
      <c r="AH162" s="231">
        <v>0</v>
      </c>
      <c r="AI162" s="231">
        <v>0</v>
      </c>
      <c r="AJ162" s="231">
        <v>3158.6000000000008</v>
      </c>
      <c r="AK162" s="231">
        <v>0</v>
      </c>
      <c r="AL162" s="231">
        <v>3.2485322896281803E-2</v>
      </c>
      <c r="AN162" s="12">
        <v>2025</v>
      </c>
      <c r="AO162" s="228">
        <f t="shared" ref="AO162:AP162" si="325">+AF162/W162</f>
        <v>0.12881626914429631</v>
      </c>
      <c r="AP162" s="228">
        <f t="shared" si="325"/>
        <v>0.34536516079758606</v>
      </c>
      <c r="AQ162" s="228"/>
      <c r="AR162" s="228">
        <f t="shared" ref="AR162:AT162" si="326">+AI162/Z162</f>
        <v>0</v>
      </c>
      <c r="AS162" s="228">
        <f t="shared" si="326"/>
        <v>0.6602314418703793</v>
      </c>
      <c r="AT162" s="228">
        <f t="shared" si="326"/>
        <v>0</v>
      </c>
      <c r="AU162" s="228"/>
      <c r="AX162" s="12">
        <v>2025</v>
      </c>
      <c r="AY162" s="231">
        <f t="shared" ref="AY162:BE162" si="327">+W162-AF162</f>
        <v>2705.1978345369666</v>
      </c>
      <c r="AZ162" s="231">
        <f t="shared" si="327"/>
        <v>2843.2290522179519</v>
      </c>
      <c r="BA162" s="231">
        <f t="shared" si="327"/>
        <v>0</v>
      </c>
      <c r="BB162" s="231">
        <f t="shared" si="327"/>
        <v>6475.9477325608286</v>
      </c>
      <c r="BC162" s="231">
        <f t="shared" si="327"/>
        <v>1625.4799448326125</v>
      </c>
      <c r="BD162" s="231">
        <f t="shared" si="327"/>
        <v>122.13972602739726</v>
      </c>
      <c r="BE162" s="231">
        <f t="shared" si="327"/>
        <v>-3.2485322896281803E-2</v>
      </c>
      <c r="CV162" s="1"/>
      <c r="CW162" s="1"/>
      <c r="CX162" s="1"/>
      <c r="CY162" s="1"/>
      <c r="CZ162" s="1"/>
      <c r="DA162" s="1"/>
      <c r="DB162" s="1"/>
    </row>
    <row r="163" spans="10:106" ht="15.75" customHeight="1" x14ac:dyDescent="0.25">
      <c r="J163" s="1"/>
      <c r="K163" s="1"/>
      <c r="L163" s="16"/>
      <c r="M163" s="1"/>
      <c r="V163" s="12">
        <v>2026</v>
      </c>
      <c r="W163" s="231">
        <v>3150</v>
      </c>
      <c r="X163" s="231">
        <v>4428.3000021182488</v>
      </c>
      <c r="Y163" s="231">
        <v>0</v>
      </c>
      <c r="Z163" s="231">
        <v>5586.0490445797504</v>
      </c>
      <c r="AA163" s="231">
        <v>4306.4040682829564</v>
      </c>
      <c r="AB163" s="231">
        <v>109.89315068493151</v>
      </c>
      <c r="AC163" s="231">
        <v>0</v>
      </c>
      <c r="AD163" s="231"/>
      <c r="AE163" s="12">
        <v>2026</v>
      </c>
      <c r="AF163" s="231">
        <v>400</v>
      </c>
      <c r="AG163" s="231">
        <v>1500.0000000000002</v>
      </c>
      <c r="AH163" s="231">
        <v>0</v>
      </c>
      <c r="AI163" s="231">
        <v>0</v>
      </c>
      <c r="AJ163" s="231">
        <v>3158.6000000000008</v>
      </c>
      <c r="AK163" s="231">
        <v>0</v>
      </c>
      <c r="AL163" s="231">
        <v>4.187866927592955E-2</v>
      </c>
      <c r="AN163" s="12">
        <v>2026</v>
      </c>
      <c r="AO163" s="228">
        <f t="shared" ref="AO163:AP163" si="328">+AF163/W163</f>
        <v>0.12698412698412698</v>
      </c>
      <c r="AP163" s="228">
        <f t="shared" si="328"/>
        <v>0.33873043815515769</v>
      </c>
      <c r="AQ163" s="228"/>
      <c r="AR163" s="228">
        <f t="shared" ref="AR163:AT163" si="329">+AI163/Z163</f>
        <v>0</v>
      </c>
      <c r="AS163" s="228">
        <f t="shared" si="329"/>
        <v>0.73346577560228654</v>
      </c>
      <c r="AT163" s="228">
        <f t="shared" si="329"/>
        <v>0</v>
      </c>
      <c r="AU163" s="228"/>
      <c r="AX163" s="12">
        <v>2026</v>
      </c>
      <c r="AY163" s="231">
        <f t="shared" ref="AY163:BE163" si="330">+W163-AF163</f>
        <v>2750</v>
      </c>
      <c r="AZ163" s="231">
        <f t="shared" si="330"/>
        <v>2928.3000021182488</v>
      </c>
      <c r="BA163" s="231">
        <f t="shared" si="330"/>
        <v>0</v>
      </c>
      <c r="BB163" s="231">
        <f t="shared" si="330"/>
        <v>5586.0490445797504</v>
      </c>
      <c r="BC163" s="231">
        <f t="shared" si="330"/>
        <v>1147.8040682829555</v>
      </c>
      <c r="BD163" s="231">
        <f t="shared" si="330"/>
        <v>109.89315068493151</v>
      </c>
      <c r="BE163" s="231">
        <f t="shared" si="330"/>
        <v>-4.187866927592955E-2</v>
      </c>
      <c r="CV163" s="1"/>
      <c r="CW163" s="1"/>
      <c r="CX163" s="1"/>
      <c r="CY163" s="1"/>
      <c r="CZ163" s="1"/>
      <c r="DA163" s="1"/>
      <c r="DB163" s="1"/>
    </row>
    <row r="164" spans="10:106" ht="15.75" customHeight="1" x14ac:dyDescent="0.25">
      <c r="J164" s="1"/>
      <c r="K164" s="1"/>
      <c r="L164" s="16"/>
      <c r="M164" s="1"/>
      <c r="V164" s="330" t="s">
        <v>1507</v>
      </c>
      <c r="Y164" s="359">
        <v>800</v>
      </c>
      <c r="Z164" s="359">
        <v>8000</v>
      </c>
      <c r="AA164" s="359">
        <v>6800</v>
      </c>
      <c r="AB164" s="648">
        <f>+MAX(AB156:AB163)</f>
        <v>176.72627372066282</v>
      </c>
      <c r="AC164" s="359">
        <v>2026</v>
      </c>
      <c r="AD164" s="231"/>
      <c r="AU164" s="228"/>
      <c r="CV164" s="1"/>
      <c r="CW164" s="1"/>
      <c r="CX164" s="1"/>
      <c r="CY164" s="1"/>
      <c r="CZ164" s="1"/>
      <c r="DA164" s="1"/>
      <c r="DB164" s="1"/>
    </row>
    <row r="165" spans="10:106" ht="15.75" customHeight="1" x14ac:dyDescent="0.25">
      <c r="J165" s="1"/>
      <c r="K165" s="1"/>
      <c r="L165" s="16"/>
      <c r="M165" s="1"/>
      <c r="CV165" s="1"/>
      <c r="CW165" s="1"/>
      <c r="CX165" s="1"/>
      <c r="CY165" s="1"/>
      <c r="CZ165" s="1"/>
      <c r="DA165" s="1"/>
      <c r="DB165" s="1"/>
    </row>
    <row r="166" spans="10:106" ht="15.75" customHeight="1" x14ac:dyDescent="0.25">
      <c r="J166" s="1"/>
      <c r="K166" s="1"/>
      <c r="L166" s="16"/>
      <c r="M166" s="1"/>
      <c r="S166" s="215"/>
      <c r="CV166" s="1"/>
      <c r="CW166" s="1"/>
      <c r="CX166" s="1"/>
      <c r="CY166" s="1"/>
      <c r="CZ166" s="1"/>
      <c r="DA166" s="1"/>
      <c r="DB166" s="1"/>
    </row>
    <row r="167" spans="10:106" ht="15.75" customHeight="1" x14ac:dyDescent="0.25">
      <c r="J167" s="1"/>
      <c r="K167" s="1"/>
      <c r="L167" s="16"/>
      <c r="M167" s="1"/>
      <c r="CV167" s="1"/>
      <c r="CW167" s="1"/>
      <c r="CX167" s="1"/>
      <c r="CY167" s="1"/>
      <c r="CZ167" s="1"/>
      <c r="DA167" s="1"/>
      <c r="DB167" s="1"/>
    </row>
    <row r="168" spans="10:106" ht="15" customHeight="1" x14ac:dyDescent="0.25">
      <c r="J168" s="1"/>
      <c r="K168" s="1"/>
      <c r="L168" s="16"/>
      <c r="M168" s="1"/>
      <c r="T168" s="222"/>
      <c r="U168" s="222"/>
      <c r="V168" s="222"/>
      <c r="W168" s="222"/>
      <c r="X168" s="222"/>
      <c r="Y168" s="222"/>
      <c r="Z168" s="222"/>
      <c r="AA168" s="222"/>
      <c r="AB168" s="222"/>
      <c r="CV168" s="1"/>
      <c r="CW168" s="1"/>
      <c r="CX168" s="1"/>
      <c r="CY168" s="1"/>
      <c r="CZ168" s="1"/>
      <c r="DA168" s="1"/>
      <c r="DB168" s="1"/>
    </row>
    <row r="169" spans="10:106" ht="22.5" customHeight="1" x14ac:dyDescent="0.3">
      <c r="J169" s="861" t="s">
        <v>1508</v>
      </c>
      <c r="K169" s="862"/>
      <c r="L169" s="862"/>
      <c r="M169" s="862"/>
      <c r="N169" s="862"/>
      <c r="O169" s="862"/>
      <c r="P169" s="862"/>
      <c r="Q169" s="862"/>
      <c r="R169" s="862"/>
      <c r="S169" s="862"/>
      <c r="T169" s="862"/>
      <c r="U169" s="862"/>
      <c r="V169" s="862"/>
      <c r="W169" s="862"/>
      <c r="X169" s="862"/>
      <c r="Y169" s="862"/>
      <c r="Z169" s="862"/>
      <c r="AA169" s="862"/>
      <c r="AB169" s="862"/>
      <c r="AC169" s="862"/>
      <c r="AD169" s="862"/>
      <c r="AE169" s="862"/>
      <c r="AF169" s="862"/>
      <c r="AG169" s="863"/>
      <c r="CV169" s="1"/>
      <c r="CW169" s="1"/>
      <c r="CX169" s="1"/>
      <c r="CY169" s="1"/>
      <c r="CZ169" s="1"/>
      <c r="DA169" s="1"/>
      <c r="DB169" s="1"/>
    </row>
    <row r="170" spans="10:106" ht="15" customHeight="1" x14ac:dyDescent="0.25">
      <c r="T170" s="222"/>
      <c r="U170" s="222"/>
      <c r="V170" s="222"/>
      <c r="W170" s="222"/>
      <c r="X170" s="222"/>
      <c r="Y170" s="222"/>
      <c r="Z170" s="222"/>
      <c r="AA170" s="222"/>
      <c r="AB170" s="222"/>
      <c r="CV170" s="1"/>
      <c r="CW170" s="1"/>
      <c r="CX170" s="1"/>
      <c r="CY170" s="1"/>
      <c r="CZ170" s="1"/>
      <c r="DA170" s="1"/>
      <c r="DB170" s="1"/>
    </row>
    <row r="171" spans="10:106" ht="15" customHeight="1" x14ac:dyDescent="0.25">
      <c r="T171" s="222"/>
      <c r="U171" s="222"/>
      <c r="V171" s="222"/>
      <c r="W171" s="222"/>
      <c r="X171" s="222"/>
      <c r="Y171" s="222"/>
      <c r="Z171" s="222"/>
      <c r="AA171" s="222"/>
      <c r="AB171" s="222"/>
      <c r="CV171" s="1"/>
      <c r="CW171" s="1"/>
      <c r="CX171" s="1"/>
      <c r="CY171" s="1"/>
      <c r="CZ171" s="1"/>
      <c r="DA171" s="1"/>
      <c r="DB171" s="1"/>
    </row>
    <row r="172" spans="10:106" ht="15" customHeight="1" x14ac:dyDescent="0.25">
      <c r="T172" s="222"/>
      <c r="U172" s="222"/>
      <c r="V172" s="222"/>
      <c r="W172" s="222"/>
      <c r="X172" s="222"/>
      <c r="Y172" s="222"/>
      <c r="Z172" s="222"/>
      <c r="AA172" s="222"/>
      <c r="AB172" s="222"/>
      <c r="CV172" s="1"/>
      <c r="CW172" s="1"/>
      <c r="CX172" s="1"/>
      <c r="CY172" s="1"/>
      <c r="CZ172" s="1"/>
      <c r="DA172" s="1"/>
      <c r="DB172" s="1"/>
    </row>
    <row r="173" spans="10:106" ht="15" customHeight="1" x14ac:dyDescent="0.25">
      <c r="T173" s="222"/>
      <c r="U173" s="222"/>
      <c r="V173" s="222"/>
      <c r="W173" s="222"/>
      <c r="X173" s="222"/>
      <c r="Y173" s="222"/>
      <c r="Z173" s="222"/>
      <c r="AA173" s="222"/>
      <c r="AB173" s="222"/>
      <c r="CV173" s="1"/>
      <c r="CW173" s="1"/>
      <c r="CX173" s="1"/>
      <c r="CY173" s="1"/>
      <c r="CZ173" s="1"/>
      <c r="DA173" s="1"/>
      <c r="DB173" s="1"/>
    </row>
    <row r="174" spans="10:106" ht="15" customHeight="1" x14ac:dyDescent="0.25">
      <c r="J174" s="843" t="s">
        <v>1509</v>
      </c>
      <c r="K174" s="812"/>
      <c r="L174" s="812"/>
      <c r="M174" s="812"/>
      <c r="N174" s="812"/>
      <c r="O174" s="812"/>
      <c r="T174" s="222"/>
      <c r="U174" s="222"/>
      <c r="V174" s="222"/>
      <c r="W174" s="222"/>
      <c r="X174" s="222"/>
      <c r="Y174" s="222"/>
      <c r="Z174" s="222"/>
      <c r="AA174" s="222"/>
      <c r="AB174" s="222"/>
      <c r="CV174" s="1"/>
      <c r="CW174" s="1"/>
      <c r="CX174" s="1"/>
      <c r="CY174" s="1"/>
      <c r="CZ174" s="1"/>
      <c r="DA174" s="1"/>
      <c r="DB174" s="1"/>
    </row>
    <row r="175" spans="10:106" ht="15.75" customHeight="1" x14ac:dyDescent="0.25">
      <c r="CV175" s="1"/>
      <c r="CW175" s="1"/>
      <c r="CX175" s="1"/>
      <c r="CY175" s="1"/>
      <c r="CZ175" s="1"/>
      <c r="DA175" s="1"/>
      <c r="DB175" s="1"/>
    </row>
    <row r="176" spans="10:106" ht="15.75" customHeight="1" x14ac:dyDescent="0.25">
      <c r="J176" s="12" t="s">
        <v>1510</v>
      </c>
      <c r="K176" s="12">
        <v>4.9000000000000004</v>
      </c>
      <c r="L176" s="12" t="s">
        <v>1511</v>
      </c>
      <c r="M176" s="12">
        <f>+K176/1000</f>
        <v>4.9000000000000007E-3</v>
      </c>
      <c r="N176" s="12" t="s">
        <v>1512</v>
      </c>
      <c r="P176" s="12" t="s">
        <v>1513</v>
      </c>
      <c r="Q176" s="12">
        <v>4.5999999999999996</v>
      </c>
      <c r="R176" s="222"/>
      <c r="CV176" s="1"/>
      <c r="CW176" s="1"/>
      <c r="CX176" s="1"/>
      <c r="CY176" s="1"/>
      <c r="CZ176" s="1"/>
      <c r="DA176" s="1"/>
      <c r="DB176" s="1"/>
    </row>
    <row r="177" spans="7:106" ht="15.75" customHeight="1" x14ac:dyDescent="0.25">
      <c r="J177" s="12" t="s">
        <v>612</v>
      </c>
      <c r="K177" s="12">
        <v>0.32500000000000001</v>
      </c>
      <c r="L177" s="12" t="s">
        <v>1514</v>
      </c>
      <c r="P177" s="12" t="s">
        <v>1515</v>
      </c>
      <c r="Q177" s="12">
        <v>3.9</v>
      </c>
      <c r="R177" s="222"/>
      <c r="CV177" s="1"/>
      <c r="CW177" s="1"/>
      <c r="CX177" s="1"/>
      <c r="CY177" s="1"/>
      <c r="CZ177" s="1"/>
      <c r="DA177" s="1"/>
      <c r="DB177" s="1"/>
    </row>
    <row r="178" spans="7:106" ht="15.75" customHeight="1" x14ac:dyDescent="0.25">
      <c r="K178" s="12">
        <f>+K177*1000000</f>
        <v>325000</v>
      </c>
      <c r="L178" s="12" t="s">
        <v>1516</v>
      </c>
      <c r="P178" s="12" t="s">
        <v>1517</v>
      </c>
      <c r="Q178" s="12">
        <v>1.1000000000000001</v>
      </c>
      <c r="T178" s="215"/>
      <c r="U178" s="215"/>
      <c r="V178" s="215"/>
      <c r="W178" s="215"/>
      <c r="X178" s="215"/>
      <c r="Y178" s="215"/>
      <c r="Z178" s="215"/>
      <c r="AA178" s="215"/>
      <c r="CV178" s="1"/>
      <c r="CW178" s="1"/>
      <c r="CX178" s="1"/>
      <c r="CY178" s="1"/>
      <c r="CZ178" s="1"/>
      <c r="DA178" s="1"/>
      <c r="DB178" s="1"/>
    </row>
    <row r="179" spans="7:106" ht="15.75" customHeight="1" x14ac:dyDescent="0.25">
      <c r="K179" s="12">
        <f>+K178/1000000</f>
        <v>0.32500000000000001</v>
      </c>
      <c r="L179" s="12" t="s">
        <v>1518</v>
      </c>
      <c r="P179" s="12" t="s">
        <v>997</v>
      </c>
      <c r="Q179" s="12">
        <v>0.4</v>
      </c>
      <c r="T179" s="215"/>
      <c r="U179" s="215"/>
      <c r="V179" s="215"/>
      <c r="W179" s="215"/>
      <c r="X179" s="215"/>
      <c r="Y179" s="215"/>
      <c r="Z179" s="215"/>
      <c r="AA179" s="215"/>
      <c r="CV179" s="1"/>
      <c r="CW179" s="1"/>
      <c r="CX179" s="1"/>
      <c r="CY179" s="1"/>
      <c r="CZ179" s="1"/>
      <c r="DA179" s="1"/>
      <c r="DB179" s="1"/>
    </row>
    <row r="180" spans="7:106" ht="15.75" customHeight="1" x14ac:dyDescent="0.25">
      <c r="T180" s="215"/>
      <c r="U180" s="215"/>
      <c r="V180" s="215"/>
      <c r="W180" s="215"/>
      <c r="X180" s="215"/>
      <c r="Y180" s="215"/>
      <c r="Z180" s="215"/>
      <c r="AA180" s="215"/>
      <c r="CV180" s="1"/>
      <c r="CW180" s="1"/>
      <c r="CX180" s="1"/>
      <c r="CY180" s="1"/>
      <c r="CZ180" s="1"/>
      <c r="DA180" s="1"/>
      <c r="DB180" s="1"/>
    </row>
    <row r="181" spans="7:106" ht="15.75" customHeight="1" x14ac:dyDescent="0.25">
      <c r="N181" s="14" t="s">
        <v>7</v>
      </c>
      <c r="O181" s="14" t="s">
        <v>1519</v>
      </c>
      <c r="U181" s="14" t="s">
        <v>1520</v>
      </c>
      <c r="V181" s="12" t="s">
        <v>1521</v>
      </c>
      <c r="Y181" s="215" t="s">
        <v>1522</v>
      </c>
      <c r="Z181" s="215"/>
      <c r="AA181" s="215"/>
      <c r="CV181" s="1"/>
      <c r="CW181" s="1"/>
      <c r="CX181" s="1"/>
      <c r="CY181" s="1"/>
      <c r="CZ181" s="1"/>
      <c r="DA181" s="1"/>
      <c r="DB181" s="1"/>
    </row>
    <row r="182" spans="7:106" ht="15.75" customHeight="1" x14ac:dyDescent="0.25">
      <c r="J182" s="608" t="str">
        <f t="shared" ref="J182:M182" si="331">J155</f>
        <v>Basin</v>
      </c>
      <c r="K182" s="608" t="str">
        <f t="shared" si="331"/>
        <v>Type Fluid</v>
      </c>
      <c r="L182" s="608" t="str">
        <f t="shared" si="331"/>
        <v>CAM</v>
      </c>
      <c r="M182" s="608" t="str">
        <f t="shared" si="331"/>
        <v>Type of Oil producing</v>
      </c>
      <c r="N182" s="494" t="s">
        <v>1523</v>
      </c>
      <c r="U182" s="446" t="s">
        <v>1524</v>
      </c>
      <c r="V182" s="12" t="s">
        <v>63</v>
      </c>
      <c r="W182" s="12" t="s">
        <v>1525</v>
      </c>
      <c r="X182" s="12" t="s">
        <v>921</v>
      </c>
      <c r="Y182" s="215" t="s">
        <v>1526</v>
      </c>
      <c r="Z182" s="215"/>
      <c r="AA182" s="215"/>
      <c r="CV182" s="1"/>
      <c r="CW182" s="1"/>
      <c r="CX182" s="1"/>
      <c r="CY182" s="1"/>
      <c r="CZ182" s="1"/>
      <c r="DA182" s="1"/>
      <c r="DB182" s="1"/>
    </row>
    <row r="183" spans="7:106" ht="15.75" customHeight="1" x14ac:dyDescent="0.25">
      <c r="G183" s="12">
        <v>1.17</v>
      </c>
      <c r="H183" s="12" t="s">
        <v>1527</v>
      </c>
      <c r="J183" s="103" t="str">
        <f t="shared" ref="J183:M183" si="332">J156</f>
        <v>Guajira</v>
      </c>
      <c r="K183" s="103" t="str">
        <f t="shared" si="332"/>
        <v>Doesn't Apply</v>
      </c>
      <c r="L183" s="614" t="str">
        <f t="shared" si="332"/>
        <v>CAM1</v>
      </c>
      <c r="M183" s="615" t="str">
        <f t="shared" si="332"/>
        <v>GU - Gas</v>
      </c>
      <c r="N183" s="649">
        <v>1.1396749456833071E-2</v>
      </c>
      <c r="O183" s="12" t="s">
        <v>7</v>
      </c>
      <c r="P183" s="12">
        <f>+N183*100</f>
        <v>1.1396749456833071</v>
      </c>
      <c r="U183" s="650">
        <f>(1.8+((2.7-1.8)/2))/1000</f>
        <v>2.2499999999999998E-3</v>
      </c>
      <c r="X183" s="228">
        <v>1</v>
      </c>
      <c r="Y183" s="215"/>
      <c r="Z183" s="215"/>
      <c r="AA183" s="215"/>
      <c r="CV183" s="1"/>
      <c r="CW183" s="1"/>
      <c r="CX183" s="1"/>
      <c r="CY183" s="1"/>
      <c r="CZ183" s="1"/>
      <c r="DA183" s="1"/>
      <c r="DB183" s="1"/>
    </row>
    <row r="184" spans="7:106" ht="15.75" customHeight="1" x14ac:dyDescent="0.25">
      <c r="G184" s="12">
        <f>+G183*6.1/1000</f>
        <v>7.1369999999999992E-3</v>
      </c>
      <c r="J184" s="103" t="str">
        <f t="shared" ref="J184:M184" si="333">J157</f>
        <v>Llanos Orientales</v>
      </c>
      <c r="K184" s="103" t="str">
        <f t="shared" si="333"/>
        <v>Light Oil</v>
      </c>
      <c r="L184" s="614" t="str">
        <f t="shared" si="333"/>
        <v>CAM2</v>
      </c>
      <c r="M184" s="626" t="str">
        <f t="shared" si="333"/>
        <v>LLO - Ligth</v>
      </c>
      <c r="N184" s="649">
        <v>1.13967494568331E-2</v>
      </c>
      <c r="O184" s="12" t="s">
        <v>7</v>
      </c>
      <c r="U184" s="216">
        <v>2.64E-3</v>
      </c>
      <c r="V184" s="376">
        <v>0.6</v>
      </c>
      <c r="W184" s="376">
        <v>0.32</v>
      </c>
      <c r="X184" s="376">
        <f t="shared" ref="X184:X188" si="334">100%-V184-W184</f>
        <v>8.0000000000000016E-2</v>
      </c>
      <c r="Y184" s="650">
        <v>2.1099999999999999E-3</v>
      </c>
      <c r="Z184" s="215"/>
      <c r="AA184" s="215">
        <f>+U184/Y184</f>
        <v>1.2511848341232228</v>
      </c>
      <c r="AB184">
        <f>1/AA184</f>
        <v>0.7992424242424242</v>
      </c>
      <c r="CV184" s="1"/>
      <c r="CW184" s="1"/>
      <c r="CX184" s="1"/>
      <c r="CY184" s="1"/>
      <c r="CZ184" s="1"/>
      <c r="DA184" s="1"/>
      <c r="DB184" s="1"/>
    </row>
    <row r="185" spans="7:106" ht="15.75" customHeight="1" x14ac:dyDescent="0.25">
      <c r="G185" s="12">
        <f>+G184/1000</f>
        <v>7.1369999999999996E-6</v>
      </c>
      <c r="J185" s="103" t="str">
        <f t="shared" ref="J185:M185" si="335">J158</f>
        <v>Llanos Orientales</v>
      </c>
      <c r="K185" s="103" t="str">
        <f t="shared" si="335"/>
        <v>Heavy Oil</v>
      </c>
      <c r="L185" s="614" t="str">
        <f t="shared" si="335"/>
        <v>CAM3</v>
      </c>
      <c r="M185" s="34" t="str">
        <f t="shared" si="335"/>
        <v>LLO - Heavy</v>
      </c>
      <c r="N185" s="649">
        <v>1.1396749456833071E-2</v>
      </c>
      <c r="O185" s="12" t="s">
        <v>7</v>
      </c>
      <c r="U185" s="216">
        <v>2.64E-3</v>
      </c>
      <c r="V185" s="376">
        <v>0.6</v>
      </c>
      <c r="W185" s="376">
        <v>0.32</v>
      </c>
      <c r="X185" s="376">
        <f t="shared" si="334"/>
        <v>8.0000000000000016E-2</v>
      </c>
      <c r="Y185" s="650">
        <v>2.1099999999999999E-3</v>
      </c>
      <c r="CV185" s="1"/>
      <c r="CW185" s="1"/>
      <c r="CX185" s="1"/>
      <c r="CY185" s="1"/>
      <c r="CZ185" s="1"/>
      <c r="DA185" s="1"/>
      <c r="DB185" s="1"/>
    </row>
    <row r="186" spans="7:106" ht="15.75" customHeight="1" x14ac:dyDescent="0.25">
      <c r="G186" s="650">
        <f>+G185/0.0036</f>
        <v>1.9824999999999999E-3</v>
      </c>
      <c r="H186" s="12" t="s">
        <v>609</v>
      </c>
      <c r="J186" s="103" t="str">
        <f t="shared" ref="J186:M186" si="336">J159</f>
        <v>Putumayo</v>
      </c>
      <c r="K186" s="103" t="str">
        <f t="shared" si="336"/>
        <v>Light Oil</v>
      </c>
      <c r="L186" s="614" t="str">
        <f t="shared" si="336"/>
        <v>CAM4</v>
      </c>
      <c r="M186" s="34" t="str">
        <f t="shared" si="336"/>
        <v>PU - Ligth</v>
      </c>
      <c r="N186" s="649">
        <v>1.1396749456833071E-2</v>
      </c>
      <c r="O186" s="12" t="s">
        <v>7</v>
      </c>
      <c r="U186" s="216">
        <v>2.64E-3</v>
      </c>
      <c r="V186" s="376">
        <v>0.6</v>
      </c>
      <c r="W186" s="376">
        <v>0.32</v>
      </c>
      <c r="X186" s="376">
        <f t="shared" si="334"/>
        <v>8.0000000000000016E-2</v>
      </c>
      <c r="Y186" s="650">
        <v>2.1099999999999999E-3</v>
      </c>
      <c r="CV186" s="1"/>
      <c r="CW186" s="1"/>
      <c r="CX186" s="1"/>
      <c r="CY186" s="1"/>
      <c r="CZ186" s="1"/>
      <c r="DA186" s="1"/>
      <c r="DB186" s="1"/>
    </row>
    <row r="187" spans="7:106" ht="15.75" customHeight="1" x14ac:dyDescent="0.25">
      <c r="J187" s="103" t="str">
        <f t="shared" ref="J187:M187" si="337">J160</f>
        <v>VMM</v>
      </c>
      <c r="K187" s="103" t="str">
        <f t="shared" si="337"/>
        <v>Medium Oil</v>
      </c>
      <c r="L187" s="614" t="str">
        <f t="shared" si="337"/>
        <v>CAM5</v>
      </c>
      <c r="M187" s="34" t="str">
        <f t="shared" si="337"/>
        <v>VMM - Medium</v>
      </c>
      <c r="N187" s="649">
        <v>1.1396749456833071E-2</v>
      </c>
      <c r="O187" s="12" t="s">
        <v>7</v>
      </c>
      <c r="U187" s="216">
        <v>2.64E-3</v>
      </c>
      <c r="V187" s="376">
        <v>0.6</v>
      </c>
      <c r="W187" s="376">
        <v>0.32</v>
      </c>
      <c r="X187" s="376">
        <f t="shared" si="334"/>
        <v>8.0000000000000016E-2</v>
      </c>
      <c r="Y187" s="650">
        <v>2.1099999999999999E-3</v>
      </c>
      <c r="CV187" s="1"/>
      <c r="CW187" s="1"/>
      <c r="CX187" s="1"/>
      <c r="CY187" s="1"/>
      <c r="CZ187" s="1"/>
      <c r="DA187" s="1"/>
      <c r="DB187" s="1"/>
    </row>
    <row r="188" spans="7:106" ht="15.75" customHeight="1" x14ac:dyDescent="0.25">
      <c r="J188" s="103" t="str">
        <f t="shared" ref="J188:M188" si="338">J161</f>
        <v>VSM</v>
      </c>
      <c r="K188" s="103" t="str">
        <f t="shared" si="338"/>
        <v>Medium Oil</v>
      </c>
      <c r="L188" s="614" t="str">
        <f t="shared" si="338"/>
        <v>CAM6</v>
      </c>
      <c r="M188" s="626" t="str">
        <f t="shared" si="338"/>
        <v>VSM - Medium</v>
      </c>
      <c r="N188" s="649">
        <v>1.1396749456833071E-2</v>
      </c>
      <c r="O188" s="12" t="s">
        <v>7</v>
      </c>
      <c r="U188" s="216">
        <v>2.64E-3</v>
      </c>
      <c r="V188" s="376">
        <v>0.6</v>
      </c>
      <c r="W188" s="376">
        <v>0.32</v>
      </c>
      <c r="X188" s="376">
        <f t="shared" si="334"/>
        <v>8.0000000000000016E-2</v>
      </c>
      <c r="Y188" s="650">
        <v>2.1099999999999999E-3</v>
      </c>
      <c r="CV188" s="1"/>
      <c r="CW188" s="1"/>
      <c r="CX188" s="1"/>
      <c r="CY188" s="1"/>
      <c r="CZ188" s="1"/>
      <c r="DA188" s="1"/>
      <c r="DB188" s="1"/>
    </row>
    <row r="189" spans="7:106" ht="15.75" customHeight="1" x14ac:dyDescent="0.25">
      <c r="J189" s="103" t="str">
        <f t="shared" ref="J189:M189" si="339">J162</f>
        <v>VIM</v>
      </c>
      <c r="K189" s="103" t="str">
        <f t="shared" si="339"/>
        <v>Doesn't Apply</v>
      </c>
      <c r="L189" s="614" t="str">
        <f t="shared" si="339"/>
        <v>CAM7</v>
      </c>
      <c r="M189" s="626" t="str">
        <f t="shared" si="339"/>
        <v>VIM - GAS</v>
      </c>
      <c r="N189" s="649">
        <v>1.1396749456833071E-2</v>
      </c>
      <c r="O189" s="12" t="s">
        <v>7</v>
      </c>
      <c r="U189" s="650">
        <f>(1.8+((2.7-1.8)/2))/1000</f>
        <v>2.2499999999999998E-3</v>
      </c>
      <c r="V189" s="376"/>
      <c r="W189" s="376"/>
      <c r="X189" s="228">
        <v>0.08</v>
      </c>
      <c r="CV189" s="1"/>
      <c r="CW189" s="1"/>
      <c r="CX189" s="1"/>
      <c r="CY189" s="1"/>
      <c r="CZ189" s="1"/>
      <c r="DA189" s="1"/>
      <c r="DB189" s="1"/>
    </row>
    <row r="190" spans="7:106" ht="15.75" customHeight="1" x14ac:dyDescent="0.25">
      <c r="CV190" s="1"/>
      <c r="CW190" s="1"/>
      <c r="CX190" s="1"/>
      <c r="CY190" s="1"/>
      <c r="CZ190" s="1"/>
      <c r="DA190" s="1"/>
      <c r="DB190" s="1"/>
    </row>
    <row r="191" spans="7:106" ht="15.75" customHeight="1" x14ac:dyDescent="0.25">
      <c r="CV191" s="1"/>
      <c r="CW191" s="1"/>
      <c r="CX191" s="1"/>
      <c r="CY191" s="1"/>
      <c r="CZ191" s="1"/>
      <c r="DA191" s="1"/>
      <c r="DB191" s="1"/>
    </row>
    <row r="192" spans="7:106" ht="15.75" customHeight="1" x14ac:dyDescent="0.25">
      <c r="J192" s="608" t="str">
        <f t="shared" ref="J192:M192" si="340">J182</f>
        <v>Basin</v>
      </c>
      <c r="K192" s="608" t="str">
        <f t="shared" si="340"/>
        <v>Type Fluid</v>
      </c>
      <c r="L192" s="608" t="str">
        <f t="shared" si="340"/>
        <v>CAM</v>
      </c>
      <c r="M192" s="608" t="str">
        <f t="shared" si="340"/>
        <v>Type of Oil producing</v>
      </c>
      <c r="N192" s="651" t="s">
        <v>1528</v>
      </c>
      <c r="CV192" s="1"/>
      <c r="CW192" s="1"/>
      <c r="CX192" s="1"/>
      <c r="CY192" s="1"/>
      <c r="CZ192" s="1"/>
      <c r="DA192" s="1"/>
      <c r="DB192" s="1"/>
    </row>
    <row r="193" spans="10:106" ht="15.75" customHeight="1" x14ac:dyDescent="0.25">
      <c r="J193" s="103" t="str">
        <f t="shared" ref="J193:M193" si="341">J183</f>
        <v>Guajira</v>
      </c>
      <c r="K193" s="103" t="str">
        <f t="shared" si="341"/>
        <v>Doesn't Apply</v>
      </c>
      <c r="L193" s="614" t="str">
        <f t="shared" si="341"/>
        <v>CAM1</v>
      </c>
      <c r="M193" s="615" t="str">
        <f t="shared" si="341"/>
        <v>GU - Gas</v>
      </c>
      <c r="N193" s="12" t="s">
        <v>1529</v>
      </c>
      <c r="Q193" s="330" t="s">
        <v>1530</v>
      </c>
      <c r="R193" s="12">
        <v>3.33</v>
      </c>
      <c r="S193" s="12" t="s">
        <v>1531</v>
      </c>
      <c r="T193" s="12">
        <f>+R193/T197</f>
        <v>0.4052236060193658</v>
      </c>
      <c r="U193" s="12" t="s">
        <v>849</v>
      </c>
      <c r="CV193" s="1"/>
      <c r="CW193" s="1"/>
      <c r="CX193" s="1"/>
      <c r="CY193" s="1"/>
      <c r="CZ193" s="1"/>
      <c r="DA193" s="1"/>
      <c r="DB193" s="1"/>
    </row>
    <row r="194" spans="10:106" ht="15.75" customHeight="1" x14ac:dyDescent="0.25">
      <c r="J194" s="103" t="str">
        <f t="shared" ref="J194:M194" si="342">J184</f>
        <v>Llanos Orientales</v>
      </c>
      <c r="K194" s="103" t="str">
        <f t="shared" si="342"/>
        <v>Light Oil</v>
      </c>
      <c r="L194" s="614" t="str">
        <f t="shared" si="342"/>
        <v>CAM2</v>
      </c>
      <c r="M194" s="626" t="str">
        <f t="shared" si="342"/>
        <v>LLO - Ligth</v>
      </c>
      <c r="N194" s="286">
        <f>+T193</f>
        <v>0.4052236060193658</v>
      </c>
      <c r="Q194" s="330" t="s">
        <v>1532</v>
      </c>
      <c r="R194" s="12">
        <v>4.5</v>
      </c>
      <c r="S194" s="12" t="s">
        <v>1531</v>
      </c>
      <c r="T194" s="12">
        <f>+R194/T197</f>
        <v>0.54759946759373757</v>
      </c>
      <c r="U194" s="12" t="s">
        <v>849</v>
      </c>
      <c r="CV194" s="1"/>
      <c r="CW194" s="1"/>
      <c r="CX194" s="1"/>
      <c r="CY194" s="1"/>
      <c r="CZ194" s="1"/>
      <c r="DA194" s="1"/>
      <c r="DB194" s="1"/>
    </row>
    <row r="195" spans="10:106" ht="15.75" customHeight="1" x14ac:dyDescent="0.25">
      <c r="J195" s="103" t="str">
        <f t="shared" ref="J195:M195" si="343">J185</f>
        <v>Llanos Orientales</v>
      </c>
      <c r="K195" s="103" t="str">
        <f t="shared" si="343"/>
        <v>Heavy Oil</v>
      </c>
      <c r="L195" s="614" t="str">
        <f t="shared" si="343"/>
        <v>CAM3</v>
      </c>
      <c r="M195" s="34" t="str">
        <f t="shared" si="343"/>
        <v>LLO - Heavy</v>
      </c>
      <c r="N195" s="286">
        <f>+T193+T194</f>
        <v>0.95282307361310337</v>
      </c>
      <c r="CV195" s="1"/>
      <c r="CW195" s="1"/>
      <c r="CX195" s="1"/>
      <c r="CY195" s="1"/>
      <c r="CZ195" s="1"/>
      <c r="DA195" s="1"/>
      <c r="DB195" s="1"/>
    </row>
    <row r="196" spans="10:106" ht="15.75" customHeight="1" x14ac:dyDescent="0.25">
      <c r="J196" s="103" t="str">
        <f t="shared" ref="J196:M196" si="344">J186</f>
        <v>Putumayo</v>
      </c>
      <c r="K196" s="103" t="str">
        <f t="shared" si="344"/>
        <v>Light Oil</v>
      </c>
      <c r="L196" s="614" t="str">
        <f t="shared" si="344"/>
        <v>CAM4</v>
      </c>
      <c r="M196" s="34" t="str">
        <f t="shared" si="344"/>
        <v>PU - Ligth</v>
      </c>
      <c r="N196" s="286">
        <f>+T193</f>
        <v>0.4052236060193658</v>
      </c>
      <c r="CV196" s="1"/>
      <c r="CW196" s="1"/>
      <c r="CX196" s="1"/>
      <c r="CY196" s="1"/>
      <c r="CZ196" s="1"/>
      <c r="DA196" s="1"/>
      <c r="DB196" s="1"/>
    </row>
    <row r="197" spans="10:106" ht="15.75" customHeight="1" x14ac:dyDescent="0.25">
      <c r="J197" s="103" t="str">
        <f t="shared" ref="J197:M197" si="345">J187</f>
        <v>VMM</v>
      </c>
      <c r="K197" s="103" t="str">
        <f t="shared" si="345"/>
        <v>Medium Oil</v>
      </c>
      <c r="L197" s="614" t="str">
        <f t="shared" si="345"/>
        <v>CAM5</v>
      </c>
      <c r="M197" s="34" t="str">
        <f t="shared" si="345"/>
        <v>VMM - Medium</v>
      </c>
      <c r="N197" s="286">
        <f>+T193</f>
        <v>0.4052236060193658</v>
      </c>
      <c r="S197" s="12" t="s">
        <v>1533</v>
      </c>
      <c r="T197" s="12">
        <v>8.2176851262728707</v>
      </c>
      <c r="U197" s="12" t="s">
        <v>1531</v>
      </c>
      <c r="CV197" s="1"/>
      <c r="CW197" s="1"/>
      <c r="CX197" s="1"/>
      <c r="CY197" s="1"/>
      <c r="CZ197" s="1"/>
      <c r="DA197" s="1"/>
      <c r="DB197" s="1"/>
    </row>
    <row r="198" spans="10:106" ht="15.75" customHeight="1" x14ac:dyDescent="0.25">
      <c r="J198" s="103" t="str">
        <f t="shared" ref="J198:M198" si="346">J188</f>
        <v>VSM</v>
      </c>
      <c r="K198" s="103" t="str">
        <f t="shared" si="346"/>
        <v>Medium Oil</v>
      </c>
      <c r="L198" s="614" t="str">
        <f t="shared" si="346"/>
        <v>CAM6</v>
      </c>
      <c r="M198" s="626" t="str">
        <f t="shared" si="346"/>
        <v>VSM - Medium</v>
      </c>
      <c r="N198" s="286">
        <f>+T193</f>
        <v>0.4052236060193658</v>
      </c>
      <c r="U198" s="12" t="s">
        <v>849</v>
      </c>
      <c r="CV198" s="1"/>
      <c r="CW198" s="1"/>
      <c r="CX198" s="1"/>
      <c r="CY198" s="1"/>
      <c r="CZ198" s="1"/>
      <c r="DA198" s="1"/>
      <c r="DB198" s="1"/>
    </row>
    <row r="199" spans="10:106" ht="15.75" customHeight="1" x14ac:dyDescent="0.25">
      <c r="J199" s="103" t="str">
        <f t="shared" ref="J199:M199" si="347">J189</f>
        <v>VIM</v>
      </c>
      <c r="K199" s="103" t="str">
        <f t="shared" si="347"/>
        <v>Doesn't Apply</v>
      </c>
      <c r="L199" s="614" t="str">
        <f t="shared" si="347"/>
        <v>CAM7</v>
      </c>
      <c r="M199" s="626" t="str">
        <f t="shared" si="347"/>
        <v>VIM - GAS</v>
      </c>
      <c r="N199" s="12" t="s">
        <v>1529</v>
      </c>
      <c r="CV199" s="1"/>
      <c r="CW199" s="1"/>
      <c r="CX199" s="1"/>
      <c r="CY199" s="1"/>
      <c r="CZ199" s="1"/>
      <c r="DA199" s="1"/>
      <c r="DB199" s="1"/>
    </row>
    <row r="200" spans="10:106" ht="15.75" customHeight="1" x14ac:dyDescent="0.25">
      <c r="CV200" s="1"/>
      <c r="CW200" s="1"/>
      <c r="CX200" s="1"/>
      <c r="CY200" s="1"/>
      <c r="CZ200" s="1"/>
      <c r="DA200" s="1"/>
      <c r="DB200" s="1"/>
    </row>
    <row r="201" spans="10:106" ht="15.75" customHeight="1" x14ac:dyDescent="0.25">
      <c r="CV201" s="1"/>
      <c r="CW201" s="1"/>
      <c r="CX201" s="1"/>
      <c r="CY201" s="1"/>
      <c r="CZ201" s="1"/>
      <c r="DA201" s="1"/>
      <c r="DB201" s="1"/>
    </row>
    <row r="202" spans="10:106" ht="15.75" customHeight="1" x14ac:dyDescent="0.25">
      <c r="CV202" s="1"/>
      <c r="CW202" s="1"/>
      <c r="CX202" s="1"/>
      <c r="CY202" s="1"/>
      <c r="CZ202" s="1"/>
      <c r="DA202" s="1"/>
      <c r="DB202" s="1"/>
    </row>
    <row r="203" spans="10:106" ht="15.75" customHeight="1" x14ac:dyDescent="0.3">
      <c r="J203" s="861" t="s">
        <v>1534</v>
      </c>
      <c r="K203" s="862"/>
      <c r="L203" s="862"/>
      <c r="M203" s="862"/>
      <c r="N203" s="862"/>
      <c r="O203" s="862"/>
      <c r="P203" s="862"/>
      <c r="Q203" s="862"/>
      <c r="R203" s="862"/>
      <c r="S203" s="862"/>
      <c r="T203" s="862"/>
      <c r="U203" s="862"/>
      <c r="V203" s="862"/>
      <c r="W203" s="862"/>
      <c r="X203" s="862"/>
      <c r="Y203" s="862"/>
      <c r="Z203" s="862"/>
      <c r="AA203" s="862"/>
      <c r="AB203" s="862"/>
      <c r="AC203" s="862"/>
      <c r="AD203" s="862"/>
      <c r="AE203" s="862"/>
      <c r="AF203" s="862"/>
      <c r="AG203" s="863"/>
      <c r="CV203" s="1"/>
      <c r="CW203" s="1"/>
      <c r="CX203" s="1"/>
      <c r="CY203" s="1"/>
      <c r="CZ203" s="1"/>
      <c r="DA203" s="1"/>
      <c r="DB203" s="1"/>
    </row>
    <row r="204" spans="10:106" ht="15.75" customHeight="1" x14ac:dyDescent="0.25">
      <c r="CV204" s="1"/>
      <c r="CW204" s="1"/>
      <c r="CX204" s="1"/>
      <c r="CY204" s="1"/>
      <c r="CZ204" s="1"/>
      <c r="DA204" s="1"/>
      <c r="DB204" s="1"/>
    </row>
    <row r="205" spans="10:106" ht="15.75" customHeight="1" x14ac:dyDescent="0.25">
      <c r="CV205" s="1"/>
      <c r="CW205" s="1"/>
      <c r="CX205" s="1"/>
      <c r="CY205" s="1"/>
      <c r="CZ205" s="1"/>
      <c r="DA205" s="1"/>
      <c r="DB205" s="1"/>
    </row>
    <row r="206" spans="10:106" ht="15.75" customHeight="1" x14ac:dyDescent="0.25">
      <c r="O206" s="853" t="s">
        <v>1535</v>
      </c>
      <c r="P206" s="812"/>
      <c r="Q206" s="812"/>
      <c r="R206" s="812"/>
      <c r="T206" s="811" t="s">
        <v>1536</v>
      </c>
      <c r="U206" s="812"/>
      <c r="V206" s="812"/>
      <c r="W206" s="812"/>
      <c r="Z206" s="865" t="s">
        <v>1537</v>
      </c>
      <c r="AA206" s="809"/>
      <c r="AB206" s="809"/>
      <c r="AC206" s="810"/>
      <c r="CV206" s="1"/>
      <c r="CW206" s="1"/>
      <c r="CX206" s="1"/>
      <c r="CY206" s="1"/>
      <c r="CZ206" s="1"/>
      <c r="DA206" s="1"/>
      <c r="DB206" s="1"/>
    </row>
    <row r="207" spans="10:106" ht="15.75" customHeight="1" x14ac:dyDescent="0.25">
      <c r="J207" s="608" t="str">
        <f t="shared" ref="J207:M207" si="348">J192</f>
        <v>Basin</v>
      </c>
      <c r="K207" s="608" t="str">
        <f t="shared" si="348"/>
        <v>Type Fluid</v>
      </c>
      <c r="L207" s="608" t="str">
        <f t="shared" si="348"/>
        <v>CAM</v>
      </c>
      <c r="M207" s="608" t="str">
        <f t="shared" si="348"/>
        <v>Type of Oil producing</v>
      </c>
      <c r="N207" s="446"/>
      <c r="O207" s="446" t="s">
        <v>22</v>
      </c>
      <c r="P207" s="446" t="s">
        <v>921</v>
      </c>
      <c r="Q207" s="446" t="s">
        <v>1538</v>
      </c>
      <c r="R207" s="446" t="s">
        <v>1098</v>
      </c>
      <c r="T207" s="446" t="s">
        <v>22</v>
      </c>
      <c r="U207" s="446" t="s">
        <v>921</v>
      </c>
      <c r="V207" s="446" t="s">
        <v>1538</v>
      </c>
      <c r="W207" s="446" t="s">
        <v>1098</v>
      </c>
      <c r="Z207" s="499" t="s">
        <v>22</v>
      </c>
      <c r="AA207" s="499" t="s">
        <v>921</v>
      </c>
      <c r="AB207" s="499" t="s">
        <v>1538</v>
      </c>
      <c r="AC207" s="499" t="s">
        <v>1098</v>
      </c>
      <c r="CV207" s="1"/>
      <c r="CW207" s="1"/>
      <c r="CX207" s="1"/>
      <c r="CY207" s="1"/>
      <c r="CZ207" s="1"/>
      <c r="DA207" s="1"/>
      <c r="DB207" s="1"/>
    </row>
    <row r="208" spans="10:106" ht="15.75" customHeight="1" x14ac:dyDescent="0.25">
      <c r="J208" s="103" t="str">
        <f t="shared" ref="J208:M208" si="349">J193</f>
        <v>Guajira</v>
      </c>
      <c r="K208" s="103" t="str">
        <f t="shared" si="349"/>
        <v>Doesn't Apply</v>
      </c>
      <c r="L208" s="614" t="str">
        <f t="shared" si="349"/>
        <v>CAM1</v>
      </c>
      <c r="M208" s="615" t="str">
        <f t="shared" si="349"/>
        <v>GU - Gas</v>
      </c>
      <c r="O208" s="287">
        <v>0</v>
      </c>
      <c r="P208" s="652"/>
      <c r="Q208" s="287">
        <v>0</v>
      </c>
      <c r="R208" s="287">
        <v>0</v>
      </c>
      <c r="T208" s="228">
        <v>0.35</v>
      </c>
      <c r="U208" s="228">
        <v>0.35</v>
      </c>
      <c r="V208" s="228">
        <v>0.35</v>
      </c>
      <c r="W208" s="228">
        <v>0.35</v>
      </c>
      <c r="Z208" s="471">
        <f t="shared" ref="Z208:Z209" si="350">+(O208*24*365/1000)*0.0036</f>
        <v>0</v>
      </c>
      <c r="AA208" s="535"/>
      <c r="AB208" s="471">
        <f t="shared" ref="AB208:AC208" si="351">+(Q208*24*365/1000)*0.0036</f>
        <v>0</v>
      </c>
      <c r="AC208" s="471">
        <f t="shared" si="351"/>
        <v>0</v>
      </c>
      <c r="AE208" s="205">
        <f>+SUM(Z208:AC214)</f>
        <v>12.399532990688986</v>
      </c>
      <c r="CV208" s="1"/>
      <c r="CW208" s="1"/>
      <c r="CX208" s="1"/>
      <c r="CY208" s="1"/>
      <c r="CZ208" s="1"/>
      <c r="DA208" s="1"/>
      <c r="DB208" s="1"/>
    </row>
    <row r="209" spans="10:106" ht="15.75" customHeight="1" x14ac:dyDescent="0.25">
      <c r="J209" s="103" t="str">
        <f t="shared" ref="J209:M209" si="352">J194</f>
        <v>Llanos Orientales</v>
      </c>
      <c r="K209" s="103" t="str">
        <f t="shared" si="352"/>
        <v>Light Oil</v>
      </c>
      <c r="L209" s="614" t="str">
        <f t="shared" si="352"/>
        <v>CAM2</v>
      </c>
      <c r="M209" s="626" t="str">
        <f t="shared" si="352"/>
        <v>LLO - Ligth</v>
      </c>
      <c r="O209" s="287">
        <v>19.999999999999996</v>
      </c>
      <c r="P209" s="287">
        <v>150.07647247502405</v>
      </c>
      <c r="Q209" s="287">
        <v>48.264281002198075</v>
      </c>
      <c r="R209" s="287">
        <v>22.809206522777917</v>
      </c>
      <c r="T209" s="228">
        <v>0.35</v>
      </c>
      <c r="U209" s="228">
        <v>0.35</v>
      </c>
      <c r="V209" s="228">
        <v>0.35</v>
      </c>
      <c r="W209" s="228">
        <v>0.35</v>
      </c>
      <c r="Z209" s="471">
        <f t="shared" si="350"/>
        <v>0.63071999999999984</v>
      </c>
      <c r="AA209" s="471">
        <f t="shared" ref="AA209:AC209" si="353">+(P209*24*365/1000)*0.0036</f>
        <v>4.7328116359723582</v>
      </c>
      <c r="AB209" s="471">
        <f t="shared" si="353"/>
        <v>1.5220623656853185</v>
      </c>
      <c r="AC209" s="471">
        <f t="shared" si="353"/>
        <v>0.7193111369023244</v>
      </c>
      <c r="CV209" s="1"/>
      <c r="CW209" s="1"/>
      <c r="CX209" s="1"/>
      <c r="CY209" s="1"/>
      <c r="CZ209" s="1"/>
      <c r="DA209" s="1"/>
      <c r="DB209" s="1"/>
    </row>
    <row r="210" spans="10:106" ht="15.75" customHeight="1" x14ac:dyDescent="0.25">
      <c r="J210" s="103" t="str">
        <f t="shared" ref="J210:M210" si="354">J195</f>
        <v>Llanos Orientales</v>
      </c>
      <c r="K210" s="103" t="str">
        <f t="shared" si="354"/>
        <v>Heavy Oil</v>
      </c>
      <c r="L210" s="614" t="str">
        <f t="shared" si="354"/>
        <v>CAM3</v>
      </c>
      <c r="M210" s="34" t="str">
        <f t="shared" si="354"/>
        <v>LLO - Heavy</v>
      </c>
      <c r="O210" s="287"/>
      <c r="P210" s="287"/>
      <c r="Q210" s="287"/>
      <c r="R210" s="287"/>
      <c r="T210" s="228"/>
      <c r="U210" s="228"/>
      <c r="V210" s="228"/>
      <c r="W210" s="228"/>
      <c r="Z210" s="471"/>
      <c r="AA210" s="471"/>
      <c r="AB210" s="471"/>
      <c r="AC210" s="471"/>
      <c r="CV210" s="1"/>
      <c r="CW210" s="1"/>
      <c r="CX210" s="1"/>
      <c r="CY210" s="1"/>
      <c r="CZ210" s="1"/>
      <c r="DA210" s="1"/>
      <c r="DB210" s="1"/>
    </row>
    <row r="211" spans="10:106" ht="15.75" customHeight="1" x14ac:dyDescent="0.25">
      <c r="J211" s="103" t="str">
        <f t="shared" ref="J211:M211" si="355">J196</f>
        <v>Putumayo</v>
      </c>
      <c r="K211" s="103" t="str">
        <f t="shared" si="355"/>
        <v>Light Oil</v>
      </c>
      <c r="L211" s="614" t="str">
        <f t="shared" si="355"/>
        <v>CAM4</v>
      </c>
      <c r="M211" s="34" t="str">
        <f t="shared" si="355"/>
        <v>PU - Ligth</v>
      </c>
      <c r="O211" s="287">
        <v>0</v>
      </c>
      <c r="P211" s="287">
        <v>0</v>
      </c>
      <c r="Q211" s="287">
        <v>21.228029807445445</v>
      </c>
      <c r="R211" s="287">
        <v>10.032150192554559</v>
      </c>
      <c r="T211" s="228">
        <v>0.35</v>
      </c>
      <c r="U211" s="228">
        <v>0.35</v>
      </c>
      <c r="V211" s="228">
        <v>0.35</v>
      </c>
      <c r="W211" s="228">
        <v>0.35</v>
      </c>
      <c r="Z211" s="471">
        <f t="shared" ref="Z211:AC211" si="356">+(O211*24*365/1000)*0.0036</f>
        <v>0</v>
      </c>
      <c r="AA211" s="471">
        <f t="shared" si="356"/>
        <v>0</v>
      </c>
      <c r="AB211" s="471">
        <f t="shared" si="356"/>
        <v>0.66944714800759952</v>
      </c>
      <c r="AC211" s="471">
        <f t="shared" si="356"/>
        <v>0.3163738884724005</v>
      </c>
      <c r="CV211" s="1"/>
      <c r="CW211" s="1"/>
      <c r="CX211" s="1"/>
      <c r="CY211" s="1"/>
      <c r="CZ211" s="1"/>
      <c r="DA211" s="1"/>
      <c r="DB211" s="1"/>
    </row>
    <row r="212" spans="10:106" ht="15.75" customHeight="1" x14ac:dyDescent="0.25">
      <c r="J212" s="103" t="str">
        <f t="shared" ref="J212:M212" si="357">J197</f>
        <v>VMM</v>
      </c>
      <c r="K212" s="103" t="str">
        <f t="shared" si="357"/>
        <v>Medium Oil</v>
      </c>
      <c r="L212" s="614" t="str">
        <f t="shared" si="357"/>
        <v>CAM5</v>
      </c>
      <c r="M212" s="34" t="str">
        <f t="shared" si="357"/>
        <v>VMM - Medium</v>
      </c>
      <c r="O212" s="287">
        <v>0</v>
      </c>
      <c r="P212" s="287">
        <v>19.445743599518565</v>
      </c>
      <c r="Q212" s="287">
        <v>41.381229673754405</v>
      </c>
      <c r="R212" s="287">
        <v>19.556346726727035</v>
      </c>
      <c r="T212" s="228">
        <v>0.35</v>
      </c>
      <c r="U212" s="228">
        <v>0.35</v>
      </c>
      <c r="V212" s="228">
        <v>0.35</v>
      </c>
      <c r="W212" s="228">
        <v>0.35</v>
      </c>
      <c r="Z212" s="471">
        <f t="shared" ref="Z212:AC212" si="358">+(O212*24*365/1000)*0.0036</f>
        <v>0</v>
      </c>
      <c r="AA212" s="471">
        <f t="shared" si="358"/>
        <v>0.61324097015441748</v>
      </c>
      <c r="AB212" s="471">
        <f t="shared" si="358"/>
        <v>1.3049984589915189</v>
      </c>
      <c r="AC212" s="471">
        <f t="shared" si="358"/>
        <v>0.61672895037406383</v>
      </c>
      <c r="CV212" s="1"/>
      <c r="CW212" s="1"/>
      <c r="CX212" s="1"/>
      <c r="CY212" s="1"/>
      <c r="CZ212" s="1"/>
      <c r="DA212" s="1"/>
      <c r="DB212" s="1"/>
    </row>
    <row r="213" spans="10:106" ht="15.75" customHeight="1" x14ac:dyDescent="0.25">
      <c r="J213" s="103" t="str">
        <f t="shared" ref="J213:M213" si="359">J198</f>
        <v>VSM</v>
      </c>
      <c r="K213" s="103" t="str">
        <f t="shared" si="359"/>
        <v>Medium Oil</v>
      </c>
      <c r="L213" s="614" t="str">
        <f t="shared" si="359"/>
        <v>CAM6</v>
      </c>
      <c r="M213" s="626" t="str">
        <f t="shared" si="359"/>
        <v>VSM - Medium</v>
      </c>
      <c r="O213" s="287">
        <v>0</v>
      </c>
      <c r="P213" s="287">
        <v>2.2835888766070749</v>
      </c>
      <c r="Q213" s="287">
        <v>19.677300005487623</v>
      </c>
      <c r="R213" s="287">
        <v>9.2992911179053053</v>
      </c>
      <c r="T213" s="228">
        <v>0.35</v>
      </c>
      <c r="U213" s="228">
        <v>0.35</v>
      </c>
      <c r="V213" s="228">
        <v>0.35</v>
      </c>
      <c r="W213" s="228">
        <v>0.35</v>
      </c>
      <c r="Z213" s="471">
        <f t="shared" ref="Z213:AC213" si="360">+(O213*24*365/1000)*0.0036</f>
        <v>0</v>
      </c>
      <c r="AA213" s="471">
        <f t="shared" si="360"/>
        <v>7.2015258812680727E-2</v>
      </c>
      <c r="AB213" s="471">
        <f t="shared" si="360"/>
        <v>0.62054333297305764</v>
      </c>
      <c r="AC213" s="471">
        <f t="shared" si="360"/>
        <v>0.29326244469426171</v>
      </c>
      <c r="CV213" s="1"/>
      <c r="CW213" s="1"/>
      <c r="CX213" s="1"/>
      <c r="CY213" s="1"/>
      <c r="CZ213" s="1"/>
      <c r="DA213" s="1"/>
      <c r="DB213" s="1"/>
    </row>
    <row r="214" spans="10:106" ht="15.75" customHeight="1" x14ac:dyDescent="0.25">
      <c r="J214" s="103" t="str">
        <f t="shared" ref="J214:M214" si="361">J199</f>
        <v>VIM</v>
      </c>
      <c r="K214" s="103" t="str">
        <f t="shared" si="361"/>
        <v>Doesn't Apply</v>
      </c>
      <c r="L214" s="614" t="str">
        <f t="shared" si="361"/>
        <v>CAM7</v>
      </c>
      <c r="M214" s="626" t="str">
        <f t="shared" si="361"/>
        <v>VIM - GAS</v>
      </c>
      <c r="O214" s="287">
        <v>0</v>
      </c>
      <c r="P214" s="287">
        <v>0.25423007512003598</v>
      </c>
      <c r="Q214" s="287">
        <v>0</v>
      </c>
      <c r="R214" s="287">
        <v>8.8787417554540831</v>
      </c>
      <c r="T214" s="228">
        <v>0.35</v>
      </c>
      <c r="U214" s="228">
        <v>0.35</v>
      </c>
      <c r="V214" s="228">
        <v>0.35</v>
      </c>
      <c r="W214" s="228">
        <v>0.35</v>
      </c>
      <c r="Z214" s="471">
        <f t="shared" ref="Z214:AC214" si="362">+(O214*24*365/1000)*0.0036</f>
        <v>0</v>
      </c>
      <c r="AA214" s="471">
        <f t="shared" si="362"/>
        <v>8.0173996489854554E-3</v>
      </c>
      <c r="AB214" s="471">
        <f t="shared" si="362"/>
        <v>0</v>
      </c>
      <c r="AC214" s="471">
        <f t="shared" si="362"/>
        <v>0.27999999999999997</v>
      </c>
      <c r="CV214" s="1"/>
      <c r="CW214" s="1"/>
      <c r="CX214" s="1"/>
      <c r="CY214" s="1"/>
      <c r="CZ214" s="1"/>
      <c r="DA214" s="1"/>
      <c r="DB214" s="1"/>
    </row>
    <row r="215" spans="10:106" ht="15.75" customHeight="1" x14ac:dyDescent="0.25">
      <c r="O215" s="14"/>
      <c r="P215" s="14"/>
      <c r="Q215" s="14"/>
      <c r="R215" s="14"/>
      <c r="Z215" s="543"/>
      <c r="AA215" s="543"/>
      <c r="AB215" s="543"/>
      <c r="AC215" s="543"/>
      <c r="CV215" s="1"/>
      <c r="CW215" s="1"/>
      <c r="CX215" s="1"/>
      <c r="CY215" s="1"/>
      <c r="CZ215" s="1"/>
      <c r="DA215" s="1"/>
      <c r="DB215" s="1"/>
    </row>
    <row r="216" spans="10:106" ht="15.75" customHeight="1" x14ac:dyDescent="0.25">
      <c r="Z216" s="543"/>
      <c r="AA216" s="543"/>
      <c r="AB216" s="543"/>
      <c r="AC216" s="543"/>
      <c r="CV216" s="1"/>
      <c r="CW216" s="1"/>
      <c r="CX216" s="1"/>
      <c r="CY216" s="1"/>
      <c r="CZ216" s="1"/>
      <c r="DA216" s="1"/>
      <c r="DB216" s="1"/>
    </row>
    <row r="217" spans="10:106" ht="15.75" customHeight="1" x14ac:dyDescent="0.25">
      <c r="Z217" s="543"/>
      <c r="AA217" s="543"/>
      <c r="AB217" s="543"/>
      <c r="AC217" s="543"/>
      <c r="CV217" s="1"/>
      <c r="CW217" s="1"/>
      <c r="CX217" s="1"/>
      <c r="CY217" s="1"/>
      <c r="CZ217" s="1"/>
      <c r="DA217" s="1"/>
      <c r="DB217" s="1"/>
    </row>
    <row r="218" spans="10:106" ht="15.75" customHeight="1" x14ac:dyDescent="0.25">
      <c r="O218" s="808" t="s">
        <v>1539</v>
      </c>
      <c r="P218" s="809"/>
      <c r="Q218" s="810"/>
      <c r="T218" s="811" t="s">
        <v>1536</v>
      </c>
      <c r="U218" s="812"/>
      <c r="V218" s="812"/>
      <c r="W218" s="812"/>
      <c r="Z218" s="857" t="s">
        <v>1540</v>
      </c>
      <c r="AA218" s="809"/>
      <c r="AB218" s="810"/>
      <c r="AC218" s="543"/>
      <c r="CV218" s="1"/>
      <c r="CW218" s="1"/>
      <c r="CX218" s="1"/>
      <c r="CY218" s="1"/>
      <c r="CZ218" s="1"/>
      <c r="DA218" s="1"/>
      <c r="DB218" s="1"/>
    </row>
    <row r="219" spans="10:106" ht="24" customHeight="1" x14ac:dyDescent="0.25">
      <c r="J219" s="608" t="str">
        <f t="shared" ref="J219:M219" si="363">J207</f>
        <v>Basin</v>
      </c>
      <c r="K219" s="608" t="str">
        <f t="shared" si="363"/>
        <v>Type Fluid</v>
      </c>
      <c r="L219" s="608" t="str">
        <f t="shared" si="363"/>
        <v>CAM</v>
      </c>
      <c r="M219" s="608" t="str">
        <f t="shared" si="363"/>
        <v>Type of Oil producing</v>
      </c>
      <c r="O219" s="429" t="s">
        <v>563</v>
      </c>
      <c r="P219" s="429" t="s">
        <v>1538</v>
      </c>
      <c r="Q219" s="429" t="s">
        <v>63</v>
      </c>
      <c r="T219" s="446" t="s">
        <v>22</v>
      </c>
      <c r="U219" s="446" t="s">
        <v>921</v>
      </c>
      <c r="V219" s="446" t="s">
        <v>1538</v>
      </c>
      <c r="W219" s="446" t="s">
        <v>1098</v>
      </c>
      <c r="Z219" s="653" t="s">
        <v>563</v>
      </c>
      <c r="AA219" s="653" t="s">
        <v>1538</v>
      </c>
      <c r="AB219" s="653" t="s">
        <v>63</v>
      </c>
      <c r="AC219" s="543"/>
      <c r="CV219" s="1"/>
      <c r="CW219" s="1"/>
      <c r="CX219" s="1"/>
      <c r="CY219" s="1"/>
      <c r="CZ219" s="1"/>
      <c r="DA219" s="1"/>
      <c r="DB219" s="1"/>
    </row>
    <row r="220" spans="10:106" ht="15.75" customHeight="1" x14ac:dyDescent="0.25">
      <c r="J220" s="103" t="str">
        <f t="shared" ref="J220:M220" si="364">J208</f>
        <v>Guajira</v>
      </c>
      <c r="K220" s="103" t="str">
        <f t="shared" si="364"/>
        <v>Doesn't Apply</v>
      </c>
      <c r="L220" s="614" t="str">
        <f t="shared" si="364"/>
        <v>CAM1</v>
      </c>
      <c r="M220" s="615" t="str">
        <f t="shared" si="364"/>
        <v>GU - Gas</v>
      </c>
      <c r="O220" s="654"/>
      <c r="P220" s="390">
        <v>0</v>
      </c>
      <c r="Q220" s="390">
        <v>0</v>
      </c>
      <c r="T220" s="228">
        <v>0.35</v>
      </c>
      <c r="U220" s="228">
        <v>0.35</v>
      </c>
      <c r="V220" s="228">
        <v>0.35</v>
      </c>
      <c r="W220" s="228">
        <v>0.35</v>
      </c>
      <c r="Z220" s="535"/>
      <c r="AA220" s="655">
        <f t="shared" ref="AA220:AB220" si="365">+(P220*24*0.365)*0.0036</f>
        <v>0</v>
      </c>
      <c r="AB220" s="655">
        <f t="shared" si="365"/>
        <v>0</v>
      </c>
      <c r="AC220" s="543"/>
      <c r="AE220" s="222">
        <f>+SUM(Z220:AB227)</f>
        <v>1.74352704768</v>
      </c>
      <c r="CV220" s="1"/>
      <c r="CW220" s="1"/>
      <c r="CX220" s="1"/>
      <c r="CY220" s="1"/>
      <c r="CZ220" s="1"/>
      <c r="DA220" s="1"/>
      <c r="DB220" s="1"/>
    </row>
    <row r="221" spans="10:106" ht="15.75" customHeight="1" x14ac:dyDescent="0.25">
      <c r="J221" s="103" t="str">
        <f t="shared" ref="J221:M221" si="366">J209</f>
        <v>Llanos Orientales</v>
      </c>
      <c r="K221" s="103" t="str">
        <f t="shared" si="366"/>
        <v>Light Oil</v>
      </c>
      <c r="L221" s="614" t="str">
        <f t="shared" si="366"/>
        <v>CAM2</v>
      </c>
      <c r="M221" s="626" t="str">
        <f t="shared" si="366"/>
        <v>LLO - Ligth</v>
      </c>
      <c r="O221" s="390">
        <v>2.7140832000000001</v>
      </c>
      <c r="P221" s="390">
        <v>10.856332800000001</v>
      </c>
      <c r="Q221" s="390">
        <v>20.355623999999999</v>
      </c>
      <c r="T221" s="228">
        <v>0.35</v>
      </c>
      <c r="U221" s="228">
        <v>0.35</v>
      </c>
      <c r="V221" s="228">
        <v>0.35</v>
      </c>
      <c r="W221" s="228">
        <v>0.35</v>
      </c>
      <c r="Z221" s="655">
        <f t="shared" ref="Z221:AB221" si="367">+(O221*24*0.365)*0.0036</f>
        <v>8.5591327795199984E-2</v>
      </c>
      <c r="AA221" s="655">
        <f t="shared" si="367"/>
        <v>0.34236531118079994</v>
      </c>
      <c r="AB221" s="655">
        <f t="shared" si="367"/>
        <v>0.64193495846399984</v>
      </c>
      <c r="AC221" s="543"/>
      <c r="CV221" s="1"/>
      <c r="CW221" s="1"/>
      <c r="CX221" s="1"/>
      <c r="CY221" s="1"/>
      <c r="CZ221" s="1"/>
      <c r="DA221" s="1"/>
      <c r="DB221" s="1"/>
    </row>
    <row r="222" spans="10:106" ht="15.75" customHeight="1" x14ac:dyDescent="0.25">
      <c r="J222" s="103" t="str">
        <f t="shared" ref="J222:M222" si="368">J210</f>
        <v>Llanos Orientales</v>
      </c>
      <c r="K222" s="103" t="str">
        <f t="shared" si="368"/>
        <v>Heavy Oil</v>
      </c>
      <c r="L222" s="614" t="str">
        <f t="shared" si="368"/>
        <v>CAM3</v>
      </c>
      <c r="M222" s="34" t="str">
        <f t="shared" si="368"/>
        <v>LLO - Heavy</v>
      </c>
      <c r="T222" s="228"/>
      <c r="U222" s="228"/>
      <c r="V222" s="228"/>
      <c r="W222" s="228"/>
      <c r="Z222" s="543"/>
      <c r="AA222" s="543"/>
      <c r="AB222" s="543"/>
      <c r="AC222" s="543"/>
      <c r="CV222" s="1"/>
      <c r="CW222" s="1"/>
      <c r="CX222" s="1"/>
      <c r="CY222" s="1"/>
      <c r="CZ222" s="1"/>
      <c r="DA222" s="1"/>
      <c r="DB222" s="1"/>
    </row>
    <row r="223" spans="10:106" ht="15.75" customHeight="1" x14ac:dyDescent="0.25">
      <c r="J223" s="103" t="str">
        <f t="shared" ref="J223:M223" si="369">J211</f>
        <v>Putumayo</v>
      </c>
      <c r="K223" s="103" t="str">
        <f t="shared" si="369"/>
        <v>Light Oil</v>
      </c>
      <c r="L223" s="614" t="str">
        <f t="shared" si="369"/>
        <v>CAM4</v>
      </c>
      <c r="M223" s="34" t="str">
        <f t="shared" si="369"/>
        <v>PU - Ligth</v>
      </c>
      <c r="O223" s="390">
        <v>0.35182560000000013</v>
      </c>
      <c r="P223" s="390">
        <v>1.4073024000000005</v>
      </c>
      <c r="Q223" s="390">
        <v>2.6386920000000007</v>
      </c>
      <c r="T223" s="228">
        <v>0.35</v>
      </c>
      <c r="U223" s="228">
        <v>0.35</v>
      </c>
      <c r="V223" s="228">
        <v>0.35</v>
      </c>
      <c r="W223" s="228">
        <v>0.35</v>
      </c>
      <c r="Z223" s="655">
        <f t="shared" ref="Z223:AB223" si="370">+(O223*24*0.365)*0.0036</f>
        <v>1.1095172121600003E-2</v>
      </c>
      <c r="AA223" s="655">
        <f t="shared" si="370"/>
        <v>4.4380688486400012E-2</v>
      </c>
      <c r="AB223" s="655">
        <f t="shared" si="370"/>
        <v>8.3213790912000027E-2</v>
      </c>
      <c r="AC223" s="543"/>
      <c r="CV223" s="1"/>
      <c r="CW223" s="1"/>
      <c r="CX223" s="1"/>
      <c r="CY223" s="1"/>
      <c r="CZ223" s="1"/>
      <c r="DA223" s="1"/>
      <c r="DB223" s="1"/>
    </row>
    <row r="224" spans="10:106" ht="15.75" customHeight="1" x14ac:dyDescent="0.25">
      <c r="J224" s="103" t="str">
        <f t="shared" ref="J224:M224" si="371">J212</f>
        <v>VMM</v>
      </c>
      <c r="K224" s="103" t="str">
        <f t="shared" si="371"/>
        <v>Medium Oil</v>
      </c>
      <c r="L224" s="614" t="str">
        <f t="shared" si="371"/>
        <v>CAM5</v>
      </c>
      <c r="M224" s="34" t="str">
        <f t="shared" si="371"/>
        <v>VMM - Medium</v>
      </c>
      <c r="O224" s="390">
        <v>0.90469440000000012</v>
      </c>
      <c r="P224" s="390">
        <v>3.6187776000000005</v>
      </c>
      <c r="Q224" s="390">
        <v>6.7852079999999999</v>
      </c>
      <c r="T224" s="228">
        <v>0.35</v>
      </c>
      <c r="U224" s="228">
        <v>0.35</v>
      </c>
      <c r="V224" s="228">
        <v>0.35</v>
      </c>
      <c r="W224" s="228">
        <v>0.35</v>
      </c>
      <c r="Z224" s="655">
        <f t="shared" ref="Z224:AB224" si="372">+(O224*24*0.365)*0.0036</f>
        <v>2.8530442598399999E-2</v>
      </c>
      <c r="AA224" s="655">
        <f t="shared" si="372"/>
        <v>0.1141217703936</v>
      </c>
      <c r="AB224" s="655">
        <f t="shared" si="372"/>
        <v>0.21397831948799997</v>
      </c>
      <c r="AC224" s="543"/>
      <c r="CV224" s="1"/>
      <c r="CW224" s="1"/>
      <c r="CX224" s="1"/>
      <c r="CY224" s="1"/>
      <c r="CZ224" s="1"/>
      <c r="DA224" s="1"/>
      <c r="DB224" s="1"/>
    </row>
    <row r="225" spans="10:106" ht="15.75" customHeight="1" x14ac:dyDescent="0.25">
      <c r="J225" s="103" t="str">
        <f t="shared" ref="J225:M225" si="373">J213</f>
        <v>VSM</v>
      </c>
      <c r="K225" s="103" t="str">
        <f t="shared" si="373"/>
        <v>Medium Oil</v>
      </c>
      <c r="L225" s="614" t="str">
        <f t="shared" si="373"/>
        <v>CAM6</v>
      </c>
      <c r="M225" s="626" t="str">
        <f t="shared" si="373"/>
        <v>VSM - Medium</v>
      </c>
      <c r="O225" s="390">
        <v>0.35182560000000013</v>
      </c>
      <c r="P225" s="390">
        <v>1.4073024000000005</v>
      </c>
      <c r="Q225" s="390">
        <v>2.6386920000000007</v>
      </c>
      <c r="T225" s="228">
        <v>0.35</v>
      </c>
      <c r="U225" s="228">
        <v>0.35</v>
      </c>
      <c r="V225" s="228">
        <v>0.35</v>
      </c>
      <c r="W225" s="228">
        <v>0.35</v>
      </c>
      <c r="Z225" s="655">
        <f t="shared" ref="Z225:AB225" si="374">+(O225*24*0.365)*0.0036</f>
        <v>1.1095172121600003E-2</v>
      </c>
      <c r="AA225" s="655">
        <f t="shared" si="374"/>
        <v>4.4380688486400012E-2</v>
      </c>
      <c r="AB225" s="655">
        <f t="shared" si="374"/>
        <v>8.3213790912000027E-2</v>
      </c>
      <c r="AC225" s="543"/>
      <c r="CV225" s="1"/>
      <c r="CW225" s="1"/>
      <c r="CX225" s="1"/>
      <c r="CY225" s="1"/>
      <c r="CZ225" s="1"/>
      <c r="DA225" s="1"/>
      <c r="DB225" s="1"/>
    </row>
    <row r="226" spans="10:106" ht="15.75" customHeight="1" x14ac:dyDescent="0.25">
      <c r="J226" s="103" t="str">
        <f t="shared" ref="J226:M226" si="375">J214</f>
        <v>VIM</v>
      </c>
      <c r="K226" s="103" t="str">
        <f t="shared" si="375"/>
        <v>Doesn't Apply</v>
      </c>
      <c r="L226" s="614" t="str">
        <f t="shared" si="375"/>
        <v>CAM7</v>
      </c>
      <c r="M226" s="626" t="str">
        <f t="shared" si="375"/>
        <v>VIM - GAS</v>
      </c>
      <c r="O226" s="390">
        <v>0.1005216</v>
      </c>
      <c r="P226" s="390">
        <v>0.40208640000000001</v>
      </c>
      <c r="Q226" s="390">
        <v>0.75391200000000003</v>
      </c>
      <c r="T226" s="228">
        <v>0.35</v>
      </c>
      <c r="U226" s="228">
        <v>0.35</v>
      </c>
      <c r="V226" s="228">
        <v>0.35</v>
      </c>
      <c r="W226" s="228">
        <v>0.35</v>
      </c>
      <c r="Z226" s="655">
        <f t="shared" ref="Z226:AB226" si="376">+(O226*24*0.365)*0.0036</f>
        <v>3.1700491776000001E-3</v>
      </c>
      <c r="AA226" s="655">
        <f t="shared" si="376"/>
        <v>1.26801967104E-2</v>
      </c>
      <c r="AB226" s="655">
        <f t="shared" si="376"/>
        <v>2.3775368831999998E-2</v>
      </c>
      <c r="AC226" s="216"/>
      <c r="CV226" s="1"/>
      <c r="CW226" s="1"/>
      <c r="CX226" s="1"/>
      <c r="CY226" s="1"/>
      <c r="CZ226" s="1"/>
      <c r="DA226" s="1"/>
      <c r="DB226" s="1"/>
    </row>
    <row r="227" spans="10:106" ht="15.75" customHeight="1" x14ac:dyDescent="0.25">
      <c r="CV227" s="1"/>
      <c r="CW227" s="1"/>
      <c r="CX227" s="1"/>
      <c r="CY227" s="1"/>
      <c r="CZ227" s="1"/>
      <c r="DA227" s="1"/>
      <c r="DB227" s="1"/>
    </row>
    <row r="228" spans="10:106" ht="15.75" customHeight="1" x14ac:dyDescent="0.25">
      <c r="CV228" s="1"/>
      <c r="CW228" s="1"/>
      <c r="CX228" s="1"/>
      <c r="CY228" s="1"/>
      <c r="CZ228" s="1"/>
      <c r="DA228" s="1"/>
      <c r="DB228" s="1"/>
    </row>
    <row r="229" spans="10:106" ht="15.75" customHeight="1" x14ac:dyDescent="0.25">
      <c r="O229" s="222">
        <f>+SUM(O220:Q226)</f>
        <v>55.286879999999989</v>
      </c>
      <c r="CV229" s="1"/>
      <c r="CW229" s="1"/>
      <c r="CX229" s="1"/>
      <c r="CY229" s="1"/>
      <c r="CZ229" s="1"/>
      <c r="DA229" s="1"/>
      <c r="DB229" s="1"/>
    </row>
  </sheetData>
  <autoFilter ref="J98:AA98" xr:uid="{00000000-0009-0000-0000-00000B000000}">
    <sortState xmlns:xlrd2="http://schemas.microsoft.com/office/spreadsheetml/2017/richdata2" ref="J98:AA98">
      <sortCondition ref="L98"/>
    </sortState>
  </autoFilter>
  <mergeCells count="26">
    <mergeCell ref="J116:AG116"/>
    <mergeCell ref="J138:AG138"/>
    <mergeCell ref="T206:W206"/>
    <mergeCell ref="Z206:AC206"/>
    <mergeCell ref="O218:Q218"/>
    <mergeCell ref="T218:W218"/>
    <mergeCell ref="Z218:AB218"/>
    <mergeCell ref="J152:AG152"/>
    <mergeCell ref="N155:O155"/>
    <mergeCell ref="P155:Q155"/>
    <mergeCell ref="J169:AG169"/>
    <mergeCell ref="J174:O174"/>
    <mergeCell ref="J203:AG203"/>
    <mergeCell ref="O206:R206"/>
    <mergeCell ref="AW65:BJ65"/>
    <mergeCell ref="BK65:BX65"/>
    <mergeCell ref="R96:V96"/>
    <mergeCell ref="W96:Z96"/>
    <mergeCell ref="AI97:AV97"/>
    <mergeCell ref="AW97:BJ97"/>
    <mergeCell ref="BK97:BX97"/>
    <mergeCell ref="AB3:AF3"/>
    <mergeCell ref="AA33:AM33"/>
    <mergeCell ref="R64:V64"/>
    <mergeCell ref="W64:Z64"/>
    <mergeCell ref="AI65:AV65"/>
  </mergeCells>
  <conditionalFormatting sqref="I5:I27">
    <cfRule type="containsBlanks" dxfId="52" priority="1">
      <formula>LEN(TRIM(I5))=0</formula>
    </cfRule>
  </conditionalFormatting>
  <conditionalFormatting sqref="K5:L16">
    <cfRule type="containsText" dxfId="51" priority="2" operator="containsText" text="Oil and Gas">
      <formula>NOT(ISERROR(SEARCH(("Oil and Gas"),(K5))))</formula>
    </cfRule>
  </conditionalFormatting>
  <conditionalFormatting sqref="K5:L16">
    <cfRule type="containsText" dxfId="50" priority="3" operator="containsText" text="Gas">
      <formula>NOT(ISERROR(SEARCH(("Gas"),(K5))))</formula>
    </cfRule>
  </conditionalFormatting>
  <conditionalFormatting sqref="K5:L16">
    <cfRule type="containsText" dxfId="49" priority="4" operator="containsText" text="Oil">
      <formula>NOT(ISERROR(SEARCH(("Oil"),(K5))))</formula>
    </cfRule>
  </conditionalFormatting>
  <conditionalFormatting sqref="K17:L27">
    <cfRule type="containsText" dxfId="48" priority="5" operator="containsText" text="Oil and Gas">
      <formula>NOT(ISERROR(SEARCH(("Oil and Gas"),(K17))))</formula>
    </cfRule>
  </conditionalFormatting>
  <conditionalFormatting sqref="K17:L27">
    <cfRule type="containsText" dxfId="47" priority="6" operator="containsText" text="Gas">
      <formula>NOT(ISERROR(SEARCH(("Gas"),(K17))))</formula>
    </cfRule>
  </conditionalFormatting>
  <conditionalFormatting sqref="K17:L27">
    <cfRule type="containsText" dxfId="46" priority="7" operator="containsText" text="Oil">
      <formula>NOT(ISERROR(SEARCH(("Oil"),(K17))))</formula>
    </cfRule>
  </conditionalFormatting>
  <conditionalFormatting sqref="Q5:Y27 W67:AA92">
    <cfRule type="cellIs" dxfId="45" priority="8" operator="equal">
      <formula>0</formula>
    </cfRule>
  </conditionalFormatting>
  <conditionalFormatting sqref="I35:I54">
    <cfRule type="containsBlanks" dxfId="44" priority="9">
      <formula>LEN(TRIM(I35))=0</formula>
    </cfRule>
  </conditionalFormatting>
  <conditionalFormatting sqref="K35:L46">
    <cfRule type="containsText" dxfId="43" priority="10" operator="containsText" text="Oil and Gas">
      <formula>NOT(ISERROR(SEARCH(("Oil and Gas"),(K35))))</formula>
    </cfRule>
  </conditionalFormatting>
  <conditionalFormatting sqref="K35:L46">
    <cfRule type="containsText" dxfId="42" priority="11" operator="containsText" text="Gas">
      <formula>NOT(ISERROR(SEARCH(("Gas"),(K35))))</formula>
    </cfRule>
  </conditionalFormatting>
  <conditionalFormatting sqref="K35:L46">
    <cfRule type="containsText" dxfId="41" priority="12" operator="containsText" text="Oil">
      <formula>NOT(ISERROR(SEARCH(("Oil"),(K35))))</formula>
    </cfRule>
  </conditionalFormatting>
  <conditionalFormatting sqref="K47:L54 K58:L60">
    <cfRule type="containsText" dxfId="40" priority="13" operator="containsText" text="Oil and Gas">
      <formula>NOT(ISERROR(SEARCH(("Oil and Gas"),(K47))))</formula>
    </cfRule>
  </conditionalFormatting>
  <conditionalFormatting sqref="K47:L54 K58:L60">
    <cfRule type="containsText" dxfId="39" priority="14" operator="containsText" text="Gas">
      <formula>NOT(ISERROR(SEARCH(("Gas"),(K47))))</formula>
    </cfRule>
  </conditionalFormatting>
  <conditionalFormatting sqref="K47:L54 K58:L60">
    <cfRule type="containsText" dxfId="38" priority="15" operator="containsText" text="Oil">
      <formula>NOT(ISERROR(SEARCH(("Oil"),(K47))))</formula>
    </cfRule>
  </conditionalFormatting>
  <conditionalFormatting sqref="Q35:Y60">
    <cfRule type="cellIs" dxfId="37" priority="16" operator="equal">
      <formula>0</formula>
    </cfRule>
  </conditionalFormatting>
  <conditionalFormatting sqref="I67:I86">
    <cfRule type="containsBlanks" dxfId="36" priority="17">
      <formula>LEN(TRIM(I67))=0</formula>
    </cfRule>
  </conditionalFormatting>
  <conditionalFormatting sqref="K67:L78">
    <cfRule type="containsText" dxfId="35" priority="18" operator="containsText" text="Oil and Gas">
      <formula>NOT(ISERROR(SEARCH(("Oil and Gas"),(K67))))</formula>
    </cfRule>
  </conditionalFormatting>
  <conditionalFormatting sqref="K67:L78">
    <cfRule type="containsText" dxfId="34" priority="19" operator="containsText" text="Gas">
      <formula>NOT(ISERROR(SEARCH(("Gas"),(K67))))</formula>
    </cfRule>
  </conditionalFormatting>
  <conditionalFormatting sqref="K67:L78">
    <cfRule type="containsText" dxfId="33" priority="20" operator="containsText" text="Oil">
      <formula>NOT(ISERROR(SEARCH(("Oil"),(K67))))</formula>
    </cfRule>
  </conditionalFormatting>
  <conditionalFormatting sqref="K79:L86 K90:L92">
    <cfRule type="containsText" dxfId="32" priority="21" operator="containsText" text="Oil and Gas">
      <formula>NOT(ISERROR(SEARCH(("Oil and Gas"),(K79))))</formula>
    </cfRule>
  </conditionalFormatting>
  <conditionalFormatting sqref="K79:L86 K90:L92">
    <cfRule type="containsText" dxfId="31" priority="22" operator="containsText" text="Gas">
      <formula>NOT(ISERROR(SEARCH(("Gas"),(K79))))</formula>
    </cfRule>
  </conditionalFormatting>
  <conditionalFormatting sqref="K79:L86 K90:L92">
    <cfRule type="containsText" dxfId="30" priority="23" operator="containsText" text="Oil">
      <formula>NOT(ISERROR(SEARCH(("Oil"),(K79))))</formula>
    </cfRule>
  </conditionalFormatting>
  <conditionalFormatting sqref="N67:N92">
    <cfRule type="cellIs" dxfId="29" priority="24" operator="equal">
      <formula>0</formula>
    </cfRule>
  </conditionalFormatting>
  <conditionalFormatting sqref="R67:V92">
    <cfRule type="cellIs" dxfId="28" priority="25" operator="equal">
      <formula>0</formula>
    </cfRule>
  </conditionalFormatting>
  <conditionalFormatting sqref="P67:P92">
    <cfRule type="cellIs" dxfId="27" priority="26" operator="equal">
      <formula>0</formula>
    </cfRule>
  </conditionalFormatting>
  <conditionalFormatting sqref="Q67:Q92">
    <cfRule type="cellIs" dxfId="26" priority="27" operator="equal">
      <formula>0</formula>
    </cfRule>
  </conditionalFormatting>
  <conditionalFormatting sqref="M99">
    <cfRule type="containsBlanks" dxfId="25" priority="28">
      <formula>LEN(TRIM(M99))=0</formula>
    </cfRule>
  </conditionalFormatting>
  <conditionalFormatting sqref="N99:V112">
    <cfRule type="cellIs" dxfId="24" priority="29" operator="equal">
      <formula>0</formula>
    </cfRule>
  </conditionalFormatting>
  <conditionalFormatting sqref="W99:Z112">
    <cfRule type="cellIs" dxfId="23" priority="30" operator="equal">
      <formula>0</formula>
    </cfRule>
  </conditionalFormatting>
  <conditionalFormatting sqref="AA99:AA112">
    <cfRule type="cellIs" dxfId="22" priority="31" operator="equal">
      <formula>0</formula>
    </cfRule>
  </conditionalFormatting>
  <conditionalFormatting sqref="AB99:AC112">
    <cfRule type="cellIs" dxfId="21" priority="32" operator="equal">
      <formula>0</formula>
    </cfRule>
  </conditionalFormatting>
  <conditionalFormatting sqref="AH99:BJ112">
    <cfRule type="cellIs" dxfId="20" priority="33" operator="equal">
      <formula>0</formula>
    </cfRule>
  </conditionalFormatting>
  <conditionalFormatting sqref="BK99:BX112">
    <cfRule type="cellIs" dxfId="19" priority="34" operator="equal">
      <formula>0</formula>
    </cfRule>
  </conditionalFormatting>
  <conditionalFormatting sqref="M121">
    <cfRule type="containsBlanks" dxfId="18" priority="35">
      <formula>LEN(TRIM(M121))=0</formula>
    </cfRule>
  </conditionalFormatting>
  <conditionalFormatting sqref="M156">
    <cfRule type="containsBlanks" dxfId="17" priority="36">
      <formula>LEN(TRIM(M156))=0</formula>
    </cfRule>
  </conditionalFormatting>
  <conditionalFormatting sqref="M183">
    <cfRule type="containsBlanks" dxfId="16" priority="37">
      <formula>LEN(TRIM(M183))=0</formula>
    </cfRule>
  </conditionalFormatting>
  <conditionalFormatting sqref="I55:I57">
    <cfRule type="containsBlanks" dxfId="15" priority="38">
      <formula>LEN(TRIM(I55))=0</formula>
    </cfRule>
  </conditionalFormatting>
  <conditionalFormatting sqref="K55:L57">
    <cfRule type="containsText" dxfId="14" priority="39" operator="containsText" text="Oil and Gas">
      <formula>NOT(ISERROR(SEARCH(("Oil and Gas"),(K55))))</formula>
    </cfRule>
  </conditionalFormatting>
  <conditionalFormatting sqref="K55:L57">
    <cfRule type="containsText" dxfId="13" priority="40" operator="containsText" text="Gas">
      <formula>NOT(ISERROR(SEARCH(("Gas"),(K55))))</formula>
    </cfRule>
  </conditionalFormatting>
  <conditionalFormatting sqref="K55:L57">
    <cfRule type="containsText" dxfId="12" priority="41" operator="containsText" text="Oil">
      <formula>NOT(ISERROR(SEARCH(("Oil"),(K55))))</formula>
    </cfRule>
  </conditionalFormatting>
  <conditionalFormatting sqref="I87:I89">
    <cfRule type="containsBlanks" dxfId="11" priority="42">
      <formula>LEN(TRIM(I87))=0</formula>
    </cfRule>
  </conditionalFormatting>
  <conditionalFormatting sqref="K87:L89">
    <cfRule type="containsText" dxfId="10" priority="43" operator="containsText" text="Oil and Gas">
      <formula>NOT(ISERROR(SEARCH(("Oil and Gas"),(K87))))</formula>
    </cfRule>
  </conditionalFormatting>
  <conditionalFormatting sqref="K87:L89">
    <cfRule type="containsText" dxfId="9" priority="44" operator="containsText" text="Gas">
      <formula>NOT(ISERROR(SEARCH(("Gas"),(K87))))</formula>
    </cfRule>
  </conditionalFormatting>
  <conditionalFormatting sqref="K87:L89">
    <cfRule type="containsText" dxfId="8" priority="45" operator="containsText" text="Oil">
      <formula>NOT(ISERROR(SEARCH(("Oil"),(K87))))</formula>
    </cfRule>
  </conditionalFormatting>
  <conditionalFormatting sqref="X121">
    <cfRule type="containsBlanks" dxfId="7" priority="46">
      <formula>LEN(TRIM(X121))=0</formula>
    </cfRule>
  </conditionalFormatting>
  <conditionalFormatting sqref="Z121:Z127">
    <cfRule type="cellIs" dxfId="6" priority="47" operator="equal">
      <formula>0</formula>
    </cfRule>
  </conditionalFormatting>
  <conditionalFormatting sqref="AA121:AC127">
    <cfRule type="containsText" dxfId="5" priority="48" operator="containsText" text="No">
      <formula>NOT(ISERROR(SEARCH(("No"),(AA121))))</formula>
    </cfRule>
  </conditionalFormatting>
  <conditionalFormatting sqref="AA121:AC127">
    <cfRule type="containsText" dxfId="4" priority="49" operator="containsText" text="Sí">
      <formula>NOT(ISERROR(SEARCH(("Sí"),(AA121))))</formula>
    </cfRule>
  </conditionalFormatting>
  <conditionalFormatting sqref="M141">
    <cfRule type="containsBlanks" dxfId="3" priority="50">
      <formula>LEN(TRIM(M141))=0</formula>
    </cfRule>
  </conditionalFormatting>
  <conditionalFormatting sqref="M193">
    <cfRule type="containsBlanks" dxfId="2" priority="51">
      <formula>LEN(TRIM(M193))=0</formula>
    </cfRule>
  </conditionalFormatting>
  <conditionalFormatting sqref="M208">
    <cfRule type="containsBlanks" dxfId="1" priority="52">
      <formula>LEN(TRIM(M208))=0</formula>
    </cfRule>
  </conditionalFormatting>
  <conditionalFormatting sqref="M220">
    <cfRule type="containsBlanks" dxfId="0" priority="53">
      <formula>LEN(TRIM(M220))=0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X1000"/>
  <sheetViews>
    <sheetView showGridLines="0" topLeftCell="BW3" workbookViewId="0">
      <selection activeCell="AG27" sqref="AG27"/>
    </sheetView>
  </sheetViews>
  <sheetFormatPr baseColWidth="10" defaultColWidth="14.42578125" defaultRowHeight="15" customHeight="1" x14ac:dyDescent="0.25"/>
  <cols>
    <col min="1" max="1" width="10.7109375" customWidth="1"/>
    <col min="2" max="2" width="4.28515625" customWidth="1"/>
    <col min="3" max="3" width="17.42578125" customWidth="1"/>
    <col min="4" max="6" width="10.7109375" customWidth="1"/>
    <col min="7" max="7" width="14.7109375" customWidth="1"/>
    <col min="8" max="8" width="10.7109375" customWidth="1"/>
    <col min="9" max="9" width="5.7109375" customWidth="1"/>
    <col min="10" max="10" width="22.42578125" customWidth="1"/>
    <col min="11" max="11" width="5.28515625" customWidth="1"/>
    <col min="12" max="12" width="14.85546875" customWidth="1"/>
    <col min="13" max="13" width="13.7109375" customWidth="1"/>
    <col min="14" max="14" width="11.28515625" customWidth="1"/>
    <col min="15" max="15" width="10.85546875" customWidth="1"/>
    <col min="16" max="16" width="4.140625" customWidth="1"/>
    <col min="17" max="17" width="15.28515625" customWidth="1"/>
    <col min="18" max="18" width="19" customWidth="1"/>
    <col min="19" max="19" width="10.7109375" customWidth="1"/>
    <col min="20" max="20" width="5.85546875" customWidth="1"/>
    <col min="21" max="21" width="18.85546875" customWidth="1"/>
    <col min="22" max="22" width="20.28515625" customWidth="1"/>
    <col min="23" max="23" width="10.7109375" customWidth="1"/>
    <col min="24" max="24" width="6.28515625" customWidth="1"/>
    <col min="25" max="27" width="11.42578125" customWidth="1"/>
    <col min="28" max="28" width="6" customWidth="1"/>
    <col min="29" max="29" width="21.140625" customWidth="1"/>
    <col min="30" max="30" width="5.85546875" customWidth="1"/>
    <col min="31" max="31" width="12.5703125" customWidth="1"/>
    <col min="32" max="32" width="14.42578125" customWidth="1"/>
    <col min="33" max="33" width="7.85546875" customWidth="1"/>
    <col min="34" max="34" width="5.7109375" customWidth="1"/>
    <col min="35" max="35" width="10.7109375" customWidth="1"/>
    <col min="36" max="36" width="12.28515625" customWidth="1"/>
    <col min="37" max="37" width="11.5703125" customWidth="1"/>
    <col min="38" max="39" width="7.42578125" customWidth="1"/>
    <col min="40" max="40" width="24" customWidth="1"/>
    <col min="41" max="41" width="13.7109375" customWidth="1"/>
    <col min="42" max="42" width="20" customWidth="1"/>
    <col min="43" max="43" width="7.42578125" customWidth="1"/>
    <col min="44" max="44" width="4.140625" customWidth="1"/>
    <col min="45" max="45" width="23.140625" customWidth="1"/>
    <col min="46" max="46" width="19.140625" customWidth="1"/>
    <col min="47" max="47" width="18.42578125" customWidth="1"/>
    <col min="48" max="48" width="11.42578125" customWidth="1"/>
    <col min="49" max="49" width="4.140625" customWidth="1"/>
    <col min="50" max="50" width="23.140625" customWidth="1"/>
    <col min="51" max="51" width="14.140625" customWidth="1"/>
    <col min="52" max="52" width="10.5703125" customWidth="1"/>
    <col min="53" max="53" width="16" customWidth="1"/>
    <col min="54" max="54" width="28.7109375" customWidth="1"/>
    <col min="55" max="55" width="17.140625" customWidth="1"/>
    <col min="56" max="56" width="21.28515625" customWidth="1"/>
    <col min="57" max="57" width="10.5703125" customWidth="1"/>
    <col min="58" max="58" width="6" customWidth="1"/>
    <col min="59" max="59" width="26.7109375" customWidth="1"/>
    <col min="60" max="61" width="10.5703125" customWidth="1"/>
    <col min="62" max="62" width="8.5703125" customWidth="1"/>
    <col min="63" max="63" width="11.42578125" customWidth="1"/>
    <col min="64" max="64" width="6.140625" customWidth="1"/>
    <col min="65" max="65" width="14.140625" customWidth="1"/>
    <col min="66" max="66" width="8.42578125" customWidth="1"/>
    <col min="67" max="68" width="10.7109375" customWidth="1"/>
    <col min="69" max="69" width="13.5703125" customWidth="1"/>
    <col min="70" max="70" width="15.85546875" customWidth="1"/>
    <col min="71" max="71" width="11.85546875" customWidth="1"/>
    <col min="72" max="72" width="9" customWidth="1"/>
    <col min="73" max="73" width="16.28515625" customWidth="1"/>
    <col min="74" max="74" width="14.42578125" customWidth="1"/>
    <col min="75" max="75" width="15" customWidth="1"/>
    <col min="76" max="76" width="5.28515625" customWidth="1"/>
    <col min="77" max="77" width="22" customWidth="1"/>
    <col min="78" max="78" width="11.28515625" customWidth="1"/>
    <col min="79" max="79" width="25.28515625" customWidth="1"/>
    <col min="80" max="80" width="23.85546875" customWidth="1"/>
    <col min="81" max="81" width="21.28515625" customWidth="1"/>
    <col min="82" max="82" width="5.5703125" customWidth="1"/>
    <col min="83" max="83" width="20.28515625" customWidth="1"/>
    <col min="84" max="85" width="11.28515625" customWidth="1"/>
    <col min="86" max="86" width="20.7109375" customWidth="1"/>
    <col min="87" max="87" width="23.140625" customWidth="1"/>
    <col min="88" max="88" width="19.85546875" customWidth="1"/>
    <col min="89" max="89" width="11.5703125" customWidth="1"/>
    <col min="90" max="90" width="5" customWidth="1"/>
    <col min="91" max="91" width="20.42578125" customWidth="1"/>
    <col min="92" max="92" width="11.42578125" customWidth="1"/>
    <col min="93" max="93" width="10.7109375" customWidth="1"/>
    <col min="94" max="94" width="6.5703125" customWidth="1"/>
    <col min="95" max="95" width="22.28515625" customWidth="1"/>
    <col min="96" max="96" width="7.42578125" customWidth="1"/>
    <col min="97" max="97" width="21.7109375" customWidth="1"/>
    <col min="98" max="98" width="21.28515625" customWidth="1"/>
    <col min="99" max="99" width="7.42578125" customWidth="1"/>
    <col min="100" max="100" width="5.7109375" customWidth="1"/>
    <col min="101" max="101" width="19.7109375" customWidth="1"/>
    <col min="102" max="102" width="16.42578125" customWidth="1"/>
    <col min="103" max="103" width="10.7109375" customWidth="1"/>
    <col min="104" max="104" width="8.85546875" customWidth="1"/>
    <col min="105" max="105" width="19.5703125" customWidth="1"/>
    <col min="106" max="106" width="20.28515625" customWidth="1"/>
    <col min="107" max="108" width="11.42578125" customWidth="1"/>
    <col min="109" max="109" width="25.85546875" customWidth="1"/>
    <col min="110" max="111" width="11.42578125" customWidth="1"/>
    <col min="112" max="112" width="7.28515625" customWidth="1"/>
    <col min="113" max="113" width="23.42578125" customWidth="1"/>
    <col min="114" max="114" width="11.42578125" customWidth="1"/>
    <col min="115" max="115" width="25.42578125" customWidth="1"/>
    <col min="116" max="116" width="17" customWidth="1"/>
    <col min="117" max="117" width="18.85546875" customWidth="1"/>
    <col min="118" max="119" width="10.7109375" customWidth="1"/>
    <col min="120" max="120" width="31.28515625" customWidth="1"/>
    <col min="121" max="121" width="19.42578125" customWidth="1"/>
    <col min="122" max="122" width="21.5703125" customWidth="1"/>
    <col min="123" max="124" width="10.7109375" customWidth="1"/>
    <col min="125" max="125" width="31.7109375" customWidth="1"/>
    <col min="126" max="126" width="21.85546875" customWidth="1"/>
    <col min="127" max="127" width="17.42578125" customWidth="1"/>
    <col min="128" max="128" width="10.7109375" customWidth="1"/>
  </cols>
  <sheetData>
    <row r="1" spans="1:128" x14ac:dyDescent="0.25">
      <c r="B1" s="116"/>
      <c r="I1" s="656"/>
      <c r="K1" s="116"/>
      <c r="X1" s="1"/>
      <c r="Y1" s="1"/>
      <c r="Z1" s="1"/>
      <c r="AA1" s="1"/>
      <c r="AB1" s="656"/>
      <c r="AC1" s="380"/>
      <c r="AD1" s="116"/>
      <c r="AL1" s="656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43"/>
      <c r="BL1" s="116"/>
      <c r="BU1" s="1"/>
      <c r="BV1" s="1"/>
      <c r="BW1" s="1"/>
      <c r="BX1" s="656"/>
      <c r="BZ1" s="657"/>
      <c r="CA1" s="1"/>
      <c r="CB1" s="1"/>
      <c r="CC1" s="1"/>
      <c r="CD1" s="1"/>
      <c r="CE1" s="1"/>
      <c r="CF1" s="1"/>
      <c r="CG1" s="1"/>
      <c r="CH1" s="1"/>
      <c r="CP1" s="305"/>
      <c r="CR1" s="116"/>
      <c r="CZ1" s="1"/>
      <c r="DA1" s="1"/>
      <c r="DB1" s="1"/>
      <c r="DC1" s="1"/>
      <c r="DD1" s="1"/>
      <c r="DE1" s="1"/>
      <c r="DF1" s="1"/>
      <c r="DG1" s="1"/>
      <c r="DH1" s="656"/>
      <c r="DJ1" s="116"/>
    </row>
    <row r="2" spans="1:128" x14ac:dyDescent="0.25">
      <c r="B2" s="116"/>
      <c r="I2" s="656"/>
      <c r="K2" s="116"/>
      <c r="X2" s="1"/>
      <c r="Y2" s="1"/>
      <c r="Z2" s="1"/>
      <c r="AA2" s="1"/>
      <c r="AB2" s="656"/>
      <c r="AC2" s="380"/>
      <c r="AD2" s="116"/>
      <c r="AL2" s="656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43"/>
      <c r="BL2" s="116"/>
      <c r="BU2" s="1"/>
      <c r="BV2" s="1"/>
      <c r="BW2" s="1"/>
      <c r="BX2" s="656"/>
      <c r="BZ2" s="657"/>
      <c r="CA2" s="1"/>
      <c r="CB2" s="1"/>
      <c r="CC2" s="1"/>
      <c r="CD2" s="1"/>
      <c r="CE2" s="1"/>
      <c r="CF2" s="1"/>
      <c r="CG2" s="1"/>
      <c r="CH2" s="1"/>
      <c r="CP2" s="305"/>
      <c r="CR2" s="116"/>
      <c r="CZ2" s="1"/>
      <c r="DA2" s="1"/>
      <c r="DB2" s="1"/>
      <c r="DC2" s="1"/>
      <c r="DD2" s="1"/>
      <c r="DE2" s="1"/>
      <c r="DF2" s="1"/>
      <c r="DG2" s="1"/>
      <c r="DH2" s="656"/>
      <c r="DJ2" s="116"/>
    </row>
    <row r="3" spans="1:128" ht="21" x14ac:dyDescent="0.35">
      <c r="B3" s="116"/>
      <c r="C3" s="866" t="s">
        <v>1541</v>
      </c>
      <c r="D3" s="812"/>
      <c r="E3" s="812"/>
      <c r="F3" s="812"/>
      <c r="G3" s="812"/>
      <c r="H3" s="812"/>
      <c r="I3" s="658"/>
      <c r="K3" s="116"/>
      <c r="L3" s="866" t="s">
        <v>1542</v>
      </c>
      <c r="M3" s="812"/>
      <c r="N3" s="812"/>
      <c r="O3" s="812"/>
      <c r="P3" s="812"/>
      <c r="Q3" s="812"/>
      <c r="R3" s="812"/>
      <c r="S3" s="812"/>
      <c r="T3" s="812"/>
      <c r="U3" s="812"/>
      <c r="V3" s="812"/>
      <c r="W3" s="812"/>
      <c r="X3" s="659"/>
      <c r="Y3" s="659"/>
      <c r="Z3" s="659"/>
      <c r="AA3" s="659"/>
      <c r="AB3" s="658"/>
      <c r="AC3" s="380"/>
      <c r="AD3" s="116"/>
      <c r="AE3" s="866" t="s">
        <v>1543</v>
      </c>
      <c r="AF3" s="812"/>
      <c r="AG3" s="812"/>
      <c r="AH3" s="812"/>
      <c r="AI3" s="812"/>
      <c r="AJ3" s="812"/>
      <c r="AK3" s="812"/>
      <c r="AL3" s="656"/>
      <c r="AM3" s="1"/>
      <c r="AN3" s="867" t="s">
        <v>1544</v>
      </c>
      <c r="AO3" s="809"/>
      <c r="AP3" s="809"/>
      <c r="AQ3" s="809"/>
      <c r="AR3" s="809"/>
      <c r="AS3" s="809"/>
      <c r="AT3" s="809"/>
      <c r="AU3" s="809"/>
      <c r="AV3" s="809"/>
      <c r="AW3" s="809"/>
      <c r="AX3" s="809"/>
      <c r="AY3" s="809"/>
      <c r="AZ3" s="809"/>
      <c r="BA3" s="809"/>
      <c r="BB3" s="809"/>
      <c r="BC3" s="809"/>
      <c r="BD3" s="809"/>
      <c r="BE3" s="809"/>
      <c r="BF3" s="809"/>
      <c r="BG3" s="809"/>
      <c r="BH3" s="809"/>
      <c r="BI3" s="809"/>
      <c r="BJ3" s="810"/>
      <c r="BK3" s="43"/>
      <c r="BL3" s="116"/>
      <c r="BM3" s="866" t="s">
        <v>1545</v>
      </c>
      <c r="BN3" s="812"/>
      <c r="BO3" s="812"/>
      <c r="BP3" s="812"/>
      <c r="BQ3" s="812"/>
      <c r="BR3" s="812"/>
      <c r="BS3" s="812"/>
      <c r="BT3" s="812"/>
      <c r="BU3" s="659"/>
      <c r="BV3" s="659"/>
      <c r="BW3" s="659"/>
      <c r="BX3" s="656"/>
      <c r="BZ3" s="660"/>
      <c r="CA3" s="866" t="s">
        <v>1546</v>
      </c>
      <c r="CB3" s="812"/>
      <c r="CC3" s="812"/>
      <c r="CD3" s="812"/>
      <c r="CE3" s="812"/>
      <c r="CF3" s="812"/>
      <c r="CG3" s="812"/>
      <c r="CH3" s="812"/>
      <c r="CI3" s="812"/>
      <c r="CJ3" s="812"/>
      <c r="CK3" s="812"/>
      <c r="CL3" s="812"/>
      <c r="CM3" s="812"/>
      <c r="CN3" s="812"/>
      <c r="CO3" s="288"/>
      <c r="CP3" s="305"/>
      <c r="CR3" s="116"/>
      <c r="CS3" s="866" t="s">
        <v>1547</v>
      </c>
      <c r="CT3" s="812"/>
      <c r="CU3" s="812"/>
      <c r="CV3" s="812"/>
      <c r="CW3" s="812"/>
      <c r="CX3" s="812"/>
      <c r="CY3" s="812"/>
      <c r="CZ3" s="659"/>
      <c r="DA3" s="659"/>
      <c r="DB3" s="659"/>
      <c r="DC3" s="659"/>
      <c r="DD3" s="659"/>
      <c r="DE3" s="659"/>
      <c r="DF3" s="659"/>
      <c r="DG3" s="659"/>
      <c r="DH3" s="656"/>
      <c r="DJ3" s="116"/>
      <c r="DK3" s="288" t="s">
        <v>1548</v>
      </c>
    </row>
    <row r="4" spans="1:128" x14ac:dyDescent="0.25">
      <c r="B4" s="116"/>
      <c r="I4" s="656"/>
      <c r="K4" s="116"/>
      <c r="X4" s="1"/>
      <c r="Y4" s="1"/>
      <c r="Z4" s="1"/>
      <c r="AA4" s="1"/>
      <c r="AB4" s="656"/>
      <c r="AC4" s="380"/>
      <c r="AD4" s="116"/>
      <c r="AL4" s="656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43"/>
      <c r="BL4" s="116"/>
      <c r="BU4" s="1"/>
      <c r="BV4" s="1"/>
      <c r="BW4" s="1"/>
      <c r="BX4" s="656"/>
      <c r="BZ4" s="657"/>
      <c r="CA4" s="1"/>
      <c r="CB4" s="1"/>
      <c r="CC4" s="1"/>
      <c r="CD4" s="1"/>
      <c r="CE4" s="1"/>
      <c r="CF4" s="1"/>
      <c r="CG4" s="1"/>
      <c r="CH4" s="1"/>
      <c r="CP4" s="305"/>
      <c r="CR4" s="116"/>
      <c r="CZ4" s="1"/>
      <c r="DA4" s="1"/>
      <c r="DB4" s="1"/>
      <c r="DC4" s="1"/>
      <c r="DD4" s="1"/>
      <c r="DE4" s="1"/>
      <c r="DF4" s="1"/>
      <c r="DG4" s="1"/>
      <c r="DH4" s="656"/>
      <c r="DJ4" s="116"/>
    </row>
    <row r="5" spans="1:128" ht="15.75" x14ac:dyDescent="0.25">
      <c r="A5" s="661"/>
      <c r="B5" s="662"/>
      <c r="C5" s="661"/>
      <c r="D5" s="661"/>
      <c r="E5" s="661"/>
      <c r="F5" s="661"/>
      <c r="G5" s="661"/>
      <c r="H5" s="661"/>
      <c r="I5" s="663"/>
      <c r="J5" s="661"/>
      <c r="K5" s="662"/>
      <c r="L5" s="869" t="s">
        <v>1549</v>
      </c>
      <c r="M5" s="812"/>
      <c r="N5" s="812"/>
      <c r="O5" s="812"/>
      <c r="P5" s="661"/>
      <c r="Q5" s="869" t="s">
        <v>1550</v>
      </c>
      <c r="R5" s="812"/>
      <c r="S5" s="812"/>
      <c r="T5" s="661"/>
      <c r="U5" s="869" t="s">
        <v>1551</v>
      </c>
      <c r="V5" s="812"/>
      <c r="W5" s="661"/>
      <c r="X5" s="665"/>
      <c r="Y5" s="868" t="s">
        <v>1552</v>
      </c>
      <c r="Z5" s="809"/>
      <c r="AA5" s="810"/>
      <c r="AB5" s="663"/>
      <c r="AC5" s="380"/>
      <c r="AD5" s="662"/>
      <c r="AE5" s="869" t="s">
        <v>1553</v>
      </c>
      <c r="AF5" s="812"/>
      <c r="AG5" s="812"/>
      <c r="AH5" s="661"/>
      <c r="AI5" s="869" t="s">
        <v>1554</v>
      </c>
      <c r="AJ5" s="812"/>
      <c r="AK5" s="812"/>
      <c r="AL5" s="663"/>
      <c r="AM5" s="666"/>
      <c r="AN5" s="869" t="s">
        <v>1555</v>
      </c>
      <c r="AO5" s="812"/>
      <c r="AP5" s="812"/>
      <c r="AQ5" s="812"/>
      <c r="AR5" s="666"/>
      <c r="AS5" s="868" t="s">
        <v>1556</v>
      </c>
      <c r="AT5" s="809"/>
      <c r="AU5" s="809"/>
      <c r="AV5" s="809"/>
      <c r="AW5" s="809"/>
      <c r="AX5" s="809"/>
      <c r="AY5" s="809"/>
      <c r="AZ5" s="810"/>
      <c r="BA5" s="666"/>
      <c r="BB5" s="667" t="s">
        <v>1557</v>
      </c>
      <c r="BC5" s="666"/>
      <c r="BD5" s="666"/>
      <c r="BE5" s="666"/>
      <c r="BF5" s="666"/>
      <c r="BG5" s="666"/>
      <c r="BH5" s="666"/>
      <c r="BI5" s="666"/>
      <c r="BJ5" s="666"/>
      <c r="BK5" s="668"/>
      <c r="BL5" s="662"/>
      <c r="BM5" s="869" t="s">
        <v>1558</v>
      </c>
      <c r="BN5" s="812"/>
      <c r="BO5" s="812"/>
      <c r="BP5" s="661"/>
      <c r="BQ5" s="669" t="s">
        <v>1559</v>
      </c>
      <c r="BR5" s="661"/>
      <c r="BS5" s="664"/>
      <c r="BT5" s="664"/>
      <c r="BU5" s="667" t="s">
        <v>1560</v>
      </c>
      <c r="BV5" s="665"/>
      <c r="BW5" s="665"/>
      <c r="BX5" s="663"/>
      <c r="BY5" s="661"/>
      <c r="BZ5" s="670"/>
      <c r="CA5" s="870" t="s">
        <v>1561</v>
      </c>
      <c r="CB5" s="871"/>
      <c r="CC5" s="871"/>
      <c r="CD5" s="871"/>
      <c r="CE5" s="871"/>
      <c r="CF5" s="871"/>
      <c r="CG5" s="872"/>
      <c r="CH5" s="666"/>
      <c r="CI5" s="869" t="s">
        <v>1562</v>
      </c>
      <c r="CJ5" s="812"/>
      <c r="CK5" s="812"/>
      <c r="CL5" s="812"/>
      <c r="CM5" s="812"/>
      <c r="CN5" s="812"/>
      <c r="CO5" s="812"/>
      <c r="CP5" s="671"/>
      <c r="CQ5" s="661"/>
      <c r="CR5" s="662"/>
      <c r="CS5" s="870" t="s">
        <v>1563</v>
      </c>
      <c r="CT5" s="871"/>
      <c r="CU5" s="871"/>
      <c r="CV5" s="871"/>
      <c r="CW5" s="871"/>
      <c r="CX5" s="871"/>
      <c r="CY5" s="871"/>
      <c r="CZ5" s="872"/>
      <c r="DA5" s="669" t="s">
        <v>1564</v>
      </c>
      <c r="DB5" s="665"/>
      <c r="DC5" s="665"/>
      <c r="DD5" s="868" t="s">
        <v>1565</v>
      </c>
      <c r="DE5" s="809"/>
      <c r="DF5" s="809"/>
      <c r="DG5" s="810"/>
      <c r="DH5" s="663"/>
      <c r="DI5" s="661"/>
      <c r="DJ5" s="662"/>
      <c r="DK5" s="661" t="s">
        <v>1566</v>
      </c>
      <c r="DL5" s="661"/>
      <c r="DM5" s="661"/>
      <c r="DN5" s="661"/>
      <c r="DO5" s="661"/>
      <c r="DP5" s="661" t="s">
        <v>1567</v>
      </c>
      <c r="DQ5" s="661"/>
      <c r="DR5" s="661"/>
      <c r="DS5" s="661"/>
      <c r="DT5" s="661"/>
      <c r="DU5" s="661" t="s">
        <v>1567</v>
      </c>
      <c r="DV5" s="661"/>
      <c r="DW5" s="661"/>
      <c r="DX5" s="661"/>
    </row>
    <row r="6" spans="1:128" x14ac:dyDescent="0.25">
      <c r="B6" s="116"/>
      <c r="I6" s="656"/>
      <c r="K6" s="116"/>
      <c r="X6" s="1"/>
      <c r="Y6" s="1"/>
      <c r="Z6" s="1"/>
      <c r="AA6" s="1"/>
      <c r="AB6" s="656"/>
      <c r="AC6" s="380"/>
      <c r="AD6" s="116"/>
      <c r="AL6" s="656"/>
      <c r="AM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43"/>
      <c r="BL6" s="116"/>
      <c r="BU6" s="1"/>
      <c r="BV6" s="1"/>
      <c r="BW6" s="1"/>
      <c r="BX6" s="656"/>
      <c r="BZ6" s="657"/>
      <c r="CA6" s="1"/>
      <c r="CB6" s="1"/>
      <c r="CC6" s="1"/>
      <c r="CD6" s="1"/>
      <c r="CE6" s="1"/>
      <c r="CF6" s="1"/>
      <c r="CG6" s="1"/>
      <c r="CH6" s="1"/>
      <c r="CP6" s="305"/>
      <c r="CR6" s="116"/>
      <c r="CZ6" s="1"/>
      <c r="DA6" s="1"/>
      <c r="DB6" s="1"/>
      <c r="DC6" s="1"/>
      <c r="DD6" s="1"/>
      <c r="DE6" s="1"/>
      <c r="DF6" s="1"/>
      <c r="DG6" s="1"/>
      <c r="DH6" s="656"/>
      <c r="DJ6" s="116"/>
    </row>
    <row r="7" spans="1:128" x14ac:dyDescent="0.25">
      <c r="B7" s="116"/>
      <c r="C7" s="381" t="s">
        <v>880</v>
      </c>
      <c r="I7" s="656"/>
      <c r="K7" s="116"/>
      <c r="L7" s="381" t="s">
        <v>880</v>
      </c>
      <c r="Q7" s="381" t="s">
        <v>880</v>
      </c>
      <c r="U7" s="381" t="s">
        <v>880</v>
      </c>
      <c r="X7" s="1"/>
      <c r="Y7" s="381" t="s">
        <v>880</v>
      </c>
      <c r="Z7" s="1"/>
      <c r="AA7" s="1"/>
      <c r="AB7" s="656"/>
      <c r="AC7" s="1"/>
      <c r="AD7" s="116"/>
      <c r="AE7" s="381" t="s">
        <v>880</v>
      </c>
      <c r="AI7" s="381" t="s">
        <v>880</v>
      </c>
      <c r="AL7" s="656"/>
      <c r="AM7" s="1"/>
      <c r="AN7" s="381" t="s">
        <v>880</v>
      </c>
      <c r="AR7" s="1"/>
      <c r="AS7" s="381" t="s">
        <v>880</v>
      </c>
      <c r="AT7" s="1"/>
      <c r="AU7" s="1"/>
      <c r="AV7" s="1"/>
      <c r="AW7" s="1"/>
      <c r="AX7" s="381" t="s">
        <v>880</v>
      </c>
      <c r="AY7" s="1"/>
      <c r="AZ7" s="1"/>
      <c r="BA7" s="1"/>
      <c r="BB7" s="381" t="s">
        <v>880</v>
      </c>
      <c r="BC7" s="1"/>
      <c r="BD7" s="1"/>
      <c r="BE7" s="1"/>
      <c r="BF7" s="1"/>
      <c r="BG7" s="381" t="s">
        <v>880</v>
      </c>
      <c r="BH7" s="1"/>
      <c r="BI7" s="1"/>
      <c r="BJ7" s="1"/>
      <c r="BK7" s="43"/>
      <c r="BL7" s="116"/>
      <c r="BM7" s="381" t="s">
        <v>880</v>
      </c>
      <c r="BQ7" s="381" t="s">
        <v>880</v>
      </c>
      <c r="BU7" s="381" t="s">
        <v>880</v>
      </c>
      <c r="BV7" s="381"/>
      <c r="BW7" s="1"/>
      <c r="BX7" s="656"/>
      <c r="BZ7" s="657"/>
      <c r="CA7" s="381" t="s">
        <v>880</v>
      </c>
      <c r="CD7" s="1"/>
      <c r="CE7" s="381" t="s">
        <v>880</v>
      </c>
      <c r="CH7" s="1"/>
      <c r="CI7" s="381" t="s">
        <v>880</v>
      </c>
      <c r="CM7" s="381" t="s">
        <v>880</v>
      </c>
      <c r="CP7" s="305"/>
      <c r="CR7" s="116"/>
      <c r="CS7" s="381" t="s">
        <v>880</v>
      </c>
      <c r="CW7" s="381" t="s">
        <v>880</v>
      </c>
      <c r="CX7" s="381"/>
      <c r="CZ7" s="1"/>
      <c r="DA7" s="381" t="s">
        <v>880</v>
      </c>
      <c r="DE7" s="381" t="s">
        <v>880</v>
      </c>
      <c r="DF7" s="381"/>
      <c r="DH7" s="656"/>
      <c r="DJ7" s="116"/>
      <c r="DK7" s="381" t="s">
        <v>880</v>
      </c>
      <c r="DP7" s="381" t="s">
        <v>880</v>
      </c>
      <c r="DU7" s="381" t="s">
        <v>880</v>
      </c>
    </row>
    <row r="8" spans="1:128" x14ac:dyDescent="0.25">
      <c r="B8" s="116"/>
      <c r="C8" s="354" t="s">
        <v>312</v>
      </c>
      <c r="D8" s="672" t="s">
        <v>882</v>
      </c>
      <c r="E8" s="672" t="s">
        <v>46</v>
      </c>
      <c r="F8" s="672" t="s">
        <v>1568</v>
      </c>
      <c r="G8" s="672" t="s">
        <v>1569</v>
      </c>
      <c r="H8" s="672" t="s">
        <v>930</v>
      </c>
      <c r="I8" s="673"/>
      <c r="K8" s="116"/>
      <c r="L8" s="354" t="s">
        <v>312</v>
      </c>
      <c r="M8" s="355" t="s">
        <v>928</v>
      </c>
      <c r="N8" s="355" t="s">
        <v>1116</v>
      </c>
      <c r="O8" s="355" t="s">
        <v>973</v>
      </c>
      <c r="Q8" s="674" t="s">
        <v>312</v>
      </c>
      <c r="R8" s="672" t="s">
        <v>881</v>
      </c>
      <c r="S8" s="672" t="s">
        <v>943</v>
      </c>
      <c r="U8" s="354" t="s">
        <v>312</v>
      </c>
      <c r="V8" s="675" t="s">
        <v>882</v>
      </c>
      <c r="W8" s="675" t="s">
        <v>930</v>
      </c>
      <c r="X8" s="426"/>
      <c r="Y8" s="354" t="s">
        <v>312</v>
      </c>
      <c r="Z8" s="675" t="s">
        <v>1569</v>
      </c>
      <c r="AA8" s="426"/>
      <c r="AB8" s="676"/>
      <c r="AC8" s="1"/>
      <c r="AD8" s="116"/>
      <c r="AE8" s="334" t="s">
        <v>312</v>
      </c>
      <c r="AF8" s="209" t="s">
        <v>881</v>
      </c>
      <c r="AG8" s="209" t="s">
        <v>930</v>
      </c>
      <c r="AI8" s="334" t="s">
        <v>312</v>
      </c>
      <c r="AJ8" s="209" t="s">
        <v>882</v>
      </c>
      <c r="AK8" s="371" t="s">
        <v>1570</v>
      </c>
      <c r="AL8" s="677"/>
      <c r="AM8" s="678"/>
      <c r="AN8" s="371" t="s">
        <v>312</v>
      </c>
      <c r="AO8" s="371" t="s">
        <v>881</v>
      </c>
      <c r="AP8" s="679" t="s">
        <v>882</v>
      </c>
      <c r="AQ8" s="680" t="s">
        <v>930</v>
      </c>
      <c r="AR8" s="678"/>
      <c r="AS8" s="371" t="s">
        <v>312</v>
      </c>
      <c r="AT8" s="371" t="s">
        <v>881</v>
      </c>
      <c r="AU8" s="679" t="s">
        <v>882</v>
      </c>
      <c r="AV8" s="680" t="s">
        <v>930</v>
      </c>
      <c r="AW8" s="1"/>
      <c r="AX8" s="371" t="s">
        <v>312</v>
      </c>
      <c r="AY8" s="681" t="s">
        <v>1117</v>
      </c>
      <c r="AZ8" s="681" t="s">
        <v>46</v>
      </c>
      <c r="BA8" s="682"/>
      <c r="BB8" s="683" t="s">
        <v>312</v>
      </c>
      <c r="BC8" s="683" t="s">
        <v>881</v>
      </c>
      <c r="BD8" s="684" t="s">
        <v>882</v>
      </c>
      <c r="BE8" s="685" t="s">
        <v>930</v>
      </c>
      <c r="BF8" s="682"/>
      <c r="BG8" s="683" t="s">
        <v>312</v>
      </c>
      <c r="BH8" s="686" t="s">
        <v>1117</v>
      </c>
      <c r="BI8" s="686" t="s">
        <v>46</v>
      </c>
      <c r="BJ8" s="678"/>
      <c r="BK8" s="43"/>
      <c r="BL8" s="116"/>
      <c r="BM8" s="334" t="s">
        <v>312</v>
      </c>
      <c r="BN8" s="371" t="s">
        <v>46</v>
      </c>
      <c r="BO8" s="681" t="s">
        <v>1117</v>
      </c>
      <c r="BQ8" s="334" t="s">
        <v>312</v>
      </c>
      <c r="BR8" s="679" t="s">
        <v>881</v>
      </c>
      <c r="BS8" s="679" t="s">
        <v>930</v>
      </c>
      <c r="BU8" s="334" t="s">
        <v>312</v>
      </c>
      <c r="BV8" s="679" t="s">
        <v>882</v>
      </c>
      <c r="BW8" s="679" t="s">
        <v>1570</v>
      </c>
      <c r="BX8" s="687"/>
      <c r="BZ8" s="688"/>
      <c r="CA8" s="689" t="s">
        <v>312</v>
      </c>
      <c r="CB8" s="690" t="s">
        <v>881</v>
      </c>
      <c r="CC8" s="689" t="s">
        <v>1051</v>
      </c>
      <c r="CD8" s="678"/>
      <c r="CE8" s="691" t="s">
        <v>312</v>
      </c>
      <c r="CF8" s="690" t="s">
        <v>882</v>
      </c>
      <c r="CG8" s="692" t="s">
        <v>930</v>
      </c>
      <c r="CH8" s="678"/>
      <c r="CI8" s="371" t="s">
        <v>312</v>
      </c>
      <c r="CJ8" s="679" t="s">
        <v>881</v>
      </c>
      <c r="CK8" s="371" t="s">
        <v>1051</v>
      </c>
      <c r="CM8" s="334" t="s">
        <v>312</v>
      </c>
      <c r="CN8" s="679" t="s">
        <v>882</v>
      </c>
      <c r="CO8" s="372" t="s">
        <v>930</v>
      </c>
      <c r="CP8" s="305"/>
      <c r="CR8" s="116"/>
      <c r="CS8" s="693" t="s">
        <v>312</v>
      </c>
      <c r="CT8" s="684" t="s">
        <v>881</v>
      </c>
      <c r="CU8" s="678"/>
      <c r="CW8" s="693" t="s">
        <v>312</v>
      </c>
      <c r="CX8" s="684" t="s">
        <v>882</v>
      </c>
      <c r="CY8" s="685" t="s">
        <v>930</v>
      </c>
      <c r="CZ8" s="694"/>
      <c r="DA8" s="334" t="s">
        <v>312</v>
      </c>
      <c r="DB8" s="679" t="s">
        <v>881</v>
      </c>
      <c r="DC8" s="678"/>
      <c r="DE8" s="334" t="s">
        <v>312</v>
      </c>
      <c r="DF8" s="679" t="s">
        <v>882</v>
      </c>
      <c r="DG8" s="680" t="s">
        <v>930</v>
      </c>
      <c r="DH8" s="695"/>
      <c r="DJ8" s="116"/>
      <c r="DK8" s="334" t="s">
        <v>312</v>
      </c>
      <c r="DL8" s="679" t="s">
        <v>881</v>
      </c>
      <c r="DM8" s="679" t="s">
        <v>882</v>
      </c>
      <c r="DN8" s="371" t="s">
        <v>930</v>
      </c>
      <c r="DP8" s="334" t="s">
        <v>312</v>
      </c>
      <c r="DQ8" s="679" t="s">
        <v>881</v>
      </c>
      <c r="DR8" s="679" t="s">
        <v>882</v>
      </c>
      <c r="DS8" s="371" t="s">
        <v>930</v>
      </c>
      <c r="DU8" s="334" t="s">
        <v>312</v>
      </c>
      <c r="DV8" s="679" t="s">
        <v>881</v>
      </c>
      <c r="DW8" s="679" t="s">
        <v>882</v>
      </c>
      <c r="DX8" s="371" t="s">
        <v>930</v>
      </c>
    </row>
    <row r="9" spans="1:128" x14ac:dyDescent="0.25">
      <c r="B9" s="116"/>
      <c r="C9" s="14" t="str">
        <f t="array" ref="C9:C15">+PROCESS!D24:D30</f>
        <v>MIN-CAM1</v>
      </c>
      <c r="D9" s="14" t="str">
        <f t="array" ref="D9:D15">+COMM!D20:D26</f>
        <v>R-CAM1</v>
      </c>
      <c r="E9" s="214" t="s">
        <v>973</v>
      </c>
      <c r="F9" s="402">
        <f t="array" ref="F9:F15">+'5. Data'!AB99:AB105</f>
        <v>266.73883552000007</v>
      </c>
      <c r="G9" s="696">
        <f t="shared" ref="G9:G15" si="0">1/(1000000)</f>
        <v>9.9999999999999995E-7</v>
      </c>
      <c r="H9" s="295">
        <v>1</v>
      </c>
      <c r="I9" s="697"/>
      <c r="K9" s="116"/>
      <c r="L9" s="214" t="str">
        <f>+PROCESS!N24</f>
        <v>PROF-CAM1</v>
      </c>
      <c r="M9" s="214" t="s">
        <v>1117</v>
      </c>
      <c r="N9" s="214">
        <f t="array" ref="N9:N22">+TRANSPOSE('5. Data'!AI98:AV98)</f>
        <v>2019</v>
      </c>
      <c r="O9" s="287">
        <f t="array" ref="O9:O22">+TRANSPOSE('5. Data'!AI99:AV99)</f>
        <v>68.585731940983607</v>
      </c>
      <c r="Q9" s="18" t="str">
        <f>+L9</f>
        <v>PROF-CAM1</v>
      </c>
      <c r="R9" s="18" t="str">
        <f>+D9</f>
        <v>R-CAM1</v>
      </c>
      <c r="S9" s="698">
        <f>100%-S10</f>
        <v>0.98952880617307648</v>
      </c>
      <c r="U9" s="12" t="str">
        <f>+Q9</f>
        <v>PROF-CAM1</v>
      </c>
      <c r="V9" s="12" t="str">
        <f t="array" ref="V9:V15">+COMM!D80:D86</f>
        <v>FLU-CAM1</v>
      </c>
      <c r="W9" s="266">
        <f>100%-S10-(S9*'5. Data'!P99*'5. Data'!X99)</f>
        <v>0.98818936199531748</v>
      </c>
      <c r="X9" s="699"/>
      <c r="Y9" s="699" t="str">
        <f t="array" ref="Y9:Y15">+U9:U15</f>
        <v>PROF-CAM1</v>
      </c>
      <c r="Z9" s="380">
        <v>1</v>
      </c>
      <c r="AA9" s="699"/>
      <c r="AB9" s="700"/>
      <c r="AC9" s="701"/>
      <c r="AD9" s="116"/>
      <c r="AE9" s="12" t="str">
        <f t="array" ref="AE9:AE15">+PROCESS!N64:N70</f>
        <v>SEP-CAM1</v>
      </c>
      <c r="AF9" s="12" t="str">
        <f t="array" ref="AF9:AF15">+COMM!D80:D86</f>
        <v>FLU-CAM1</v>
      </c>
      <c r="AG9" s="228">
        <v>1</v>
      </c>
      <c r="AI9" s="12" t="str">
        <f t="shared" ref="AI9:AI10" si="1">+AE9</f>
        <v>SEP-CAM1</v>
      </c>
      <c r="AJ9" s="12" t="s">
        <v>1571</v>
      </c>
      <c r="AK9" s="11">
        <f>+('5. Data'!O99-'5. Data'!S99)/('5. Data'!AH99-'5. Data'!S99)</f>
        <v>1</v>
      </c>
      <c r="AL9" s="702"/>
      <c r="AM9" s="19"/>
      <c r="AN9" s="12" t="str">
        <f t="array" ref="AN9:AN29">+PROCESS!N135:N155</f>
        <v>FTE-FUEL-GAS-CAM1</v>
      </c>
      <c r="AO9" s="12" t="str">
        <f t="array" ref="AO9:AO15">+COMM!D30:D36</f>
        <v>GAS-CAM1</v>
      </c>
      <c r="AP9" s="12" t="str">
        <f t="array" ref="AP9:AP15">+COMM!D114:D120</f>
        <v>FUEL-GAS-CAM1</v>
      </c>
      <c r="AQ9" s="228">
        <v>1</v>
      </c>
      <c r="AR9" s="19"/>
      <c r="AS9" s="703" t="str">
        <f t="array" ref="AS9:AS11">+PROCESS!N157:N159</f>
        <v>AUTO-GAS-CAM1</v>
      </c>
      <c r="AT9" s="704" t="str">
        <f>+AP9</f>
        <v>FUEL-GAS-CAM1</v>
      </c>
      <c r="AU9" s="703" t="str">
        <f>+COMM!D90</f>
        <v>ELC-CAM1</v>
      </c>
      <c r="AV9" s="322">
        <f t="array" ref="AV9:AV11">+TRANSPOSE('5. Data'!U208:W208)</f>
        <v>0.35</v>
      </c>
      <c r="AW9" s="370"/>
      <c r="AX9" s="19" t="str">
        <f t="array" ref="AX9:AX23">+AS9:AS23</f>
        <v>AUTO-GAS-CAM1</v>
      </c>
      <c r="AY9" s="220"/>
      <c r="AZ9" s="19" t="s">
        <v>973</v>
      </c>
      <c r="BA9" s="19"/>
      <c r="BB9" s="19" t="str">
        <f t="array" ref="BB9:BB11">+PROCESS!N176:N178</f>
        <v>AUTO-COL-GAS-CAM1</v>
      </c>
      <c r="BC9" s="19" t="str">
        <f t="array" ref="BC9:BC23">+AT9:AT23</f>
        <v>FUEL-GAS-CAM1</v>
      </c>
      <c r="BD9" s="19" t="str">
        <f>+COMM!D138</f>
        <v>ELC-COL-CAM1</v>
      </c>
      <c r="BE9" s="19">
        <f t="array" ref="BE9:BE11">+TRANSPOSE('5. Data'!U220:W220)</f>
        <v>0.35</v>
      </c>
      <c r="BF9" s="19"/>
      <c r="BG9" s="19" t="str">
        <f t="array" ref="BG9:BG23">+BB9:BB23</f>
        <v>AUTO-COL-GAS-CAM1</v>
      </c>
      <c r="BH9" s="705"/>
      <c r="BI9" s="19" t="s">
        <v>973</v>
      </c>
      <c r="BJ9" s="19"/>
      <c r="BK9" s="43"/>
      <c r="BL9" s="116"/>
      <c r="BM9" s="14" t="str" cm="1">
        <f t="array" ref="BM9:BM15">+PROCESS!N78:N84</f>
        <v>PLT-CAM1</v>
      </c>
      <c r="BN9" s="14" t="s">
        <v>973</v>
      </c>
      <c r="BO9" s="402">
        <f t="array" ref="BO9:BO15">+'5. Data'!S156:S162</f>
        <v>0</v>
      </c>
      <c r="BQ9" s="12" t="str" cm="1">
        <f t="array" ref="BQ9:BQ15">+BM9:BM15</f>
        <v>PLT-CAM1</v>
      </c>
      <c r="BR9" s="11" t="str">
        <f>(AO9)</f>
        <v>GAS-CAM1</v>
      </c>
      <c r="BS9" s="228">
        <v>1</v>
      </c>
      <c r="BU9" s="228" t="str">
        <f>+BM9</f>
        <v>PLT-CAM1</v>
      </c>
      <c r="BV9" s="228" t="str">
        <f>+COMM!D70</f>
        <v>GAS-plt-CAM1</v>
      </c>
      <c r="BW9" s="295">
        <f>100%-BW10</f>
        <v>1</v>
      </c>
      <c r="BX9" s="706"/>
      <c r="BZ9" s="707"/>
      <c r="CA9" s="12" t="str">
        <f>+PROCESS!N116</f>
        <v>COLELC-LOIL-CAM2</v>
      </c>
      <c r="CB9" s="12" t="s">
        <v>127</v>
      </c>
      <c r="CC9" s="708">
        <f>+CG9</f>
        <v>0.99789444272584837</v>
      </c>
      <c r="CD9" s="309"/>
      <c r="CE9" s="309" t="str">
        <f>+CA9</f>
        <v>COLELC-LOIL-CAM2</v>
      </c>
      <c r="CF9" s="309" t="str">
        <f t="shared" ref="CF9:CF13" si="2">+CN9</f>
        <v>LOIL</v>
      </c>
      <c r="CG9" s="699">
        <f>1/(1+'5. Data'!Y184)</f>
        <v>0.99789444272584837</v>
      </c>
      <c r="CH9" s="309"/>
      <c r="CI9" s="12" t="str">
        <f>+PROCESS!N111</f>
        <v>COLFUEL-LOIL-CAM2</v>
      </c>
      <c r="CJ9" s="12" t="s">
        <v>127</v>
      </c>
      <c r="CK9" s="708">
        <f>+CO9</f>
        <v>0.99736695124870345</v>
      </c>
      <c r="CM9" s="12" t="str">
        <f>+CI9</f>
        <v>COLFUEL-LOIL-CAM2</v>
      </c>
      <c r="CN9" s="12" t="s">
        <v>13</v>
      </c>
      <c r="CO9" s="266">
        <f>1/(1+'5. Data'!U184)</f>
        <v>0.99736695124870345</v>
      </c>
      <c r="CP9" s="305"/>
      <c r="CR9" s="116"/>
      <c r="CS9" s="12" t="str">
        <f>+CW9</f>
        <v>COLELC-GAS-CAM1</v>
      </c>
      <c r="CT9" s="12" t="s">
        <v>1571</v>
      </c>
      <c r="CU9" s="228"/>
      <c r="CW9" s="214" t="str">
        <f>+(PROCESS!N104)</f>
        <v>COLELC-GAS-CAM1</v>
      </c>
      <c r="CX9" s="12" t="s">
        <v>7</v>
      </c>
      <c r="CY9" s="313">
        <v>0.98873167284455521</v>
      </c>
      <c r="CZ9" s="709"/>
      <c r="DA9" s="12" t="str">
        <f>+DE9</f>
        <v>COLFUEL-GAS-CAM1</v>
      </c>
      <c r="DB9" s="12" t="s">
        <v>1571</v>
      </c>
      <c r="DC9" s="228"/>
      <c r="DE9" s="214" t="str">
        <f t="array" ref="DE9:DE15">+PROCESS!N97:N103</f>
        <v>COLFUEL-GAS-CAM1</v>
      </c>
      <c r="DF9" s="12" t="s">
        <v>7</v>
      </c>
      <c r="DG9" s="313">
        <f t="shared" ref="DG9:DG15" si="3">100%-DC26</f>
        <v>0.98873167284455521</v>
      </c>
      <c r="DH9" s="710"/>
      <c r="DJ9" s="116"/>
      <c r="DK9" s="12" t="str">
        <f t="array" ref="DK9:DK14">+PROCESS!N85:N90</f>
        <v>COMPRA-ELC-CAM1</v>
      </c>
      <c r="DL9" s="12" t="str">
        <f>+'1. EXP_IMP'!$K$64</f>
        <v>ELC-SIN</v>
      </c>
      <c r="DM9" s="11" t="str">
        <f>+AU9</f>
        <v>ELC-CAM1</v>
      </c>
      <c r="DN9" s="292">
        <v>1</v>
      </c>
      <c r="DP9" s="12" t="str">
        <f t="array" ref="DP9:DP14">+PROCESS!N91:N96</f>
        <v>COMPRA-ELC-COLO-CAM1</v>
      </c>
      <c r="DQ9" s="14" t="str">
        <f>+'1. EXP_IMP'!$K$64</f>
        <v>ELC-SIN</v>
      </c>
      <c r="DR9" s="11" t="str">
        <f t="array" ref="DR9:DR14">+COMM!D151:D156</f>
        <v>ELC-O-COL-CAM1</v>
      </c>
      <c r="DS9" s="292">
        <v>1</v>
      </c>
      <c r="DU9" s="12" t="str">
        <f t="array" ref="DU9:DU14">+PROCESS!N194:N199</f>
        <v>COMPRA-ELC-COLG-CAM1</v>
      </c>
      <c r="DV9" s="14" t="str">
        <f>+'1. EXP_IMP'!$K$64</f>
        <v>ELC-SIN</v>
      </c>
      <c r="DW9" s="11" t="str">
        <f t="array" ref="DW9:DW14">+COMM!D157:D162</f>
        <v>ELC-G-COL-CAM1</v>
      </c>
      <c r="DX9" s="292">
        <v>1</v>
      </c>
    </row>
    <row r="10" spans="1:128" x14ac:dyDescent="0.25">
      <c r="B10" s="116"/>
      <c r="C10" s="14" t="str">
        <v>MIN-CAM2</v>
      </c>
      <c r="D10" s="14" t="str">
        <v>R-CAM2</v>
      </c>
      <c r="E10" s="214" t="s">
        <v>973</v>
      </c>
      <c r="F10" s="402">
        <v>2135.7396415784524</v>
      </c>
      <c r="G10" s="696">
        <f t="shared" si="0"/>
        <v>9.9999999999999995E-7</v>
      </c>
      <c r="H10" s="295">
        <v>1</v>
      </c>
      <c r="I10" s="697"/>
      <c r="K10" s="116"/>
      <c r="L10" s="214"/>
      <c r="M10" s="214" t="s">
        <v>1117</v>
      </c>
      <c r="N10" s="214">
        <v>2020</v>
      </c>
      <c r="O10" s="287">
        <v>55.42289382660443</v>
      </c>
      <c r="Q10" s="18"/>
      <c r="R10" s="18" t="str">
        <f>+COMM!D90</f>
        <v>ELC-CAM1</v>
      </c>
      <c r="S10" s="698">
        <f>+'5. Data'!N121/(1+'5. Data'!N121)</f>
        <v>1.0471193826923495E-2</v>
      </c>
      <c r="U10" s="12" t="str">
        <f>+Q11</f>
        <v>PROF-CAM2</v>
      </c>
      <c r="V10" s="12" t="str">
        <v>FLU-CAM2</v>
      </c>
      <c r="W10" s="266">
        <f>100%-S12-(S11*'5. Data'!P100*'5. Data'!X100)</f>
        <v>0.98065080111949032</v>
      </c>
      <c r="X10" s="699"/>
      <c r="Y10" s="699" t="str">
        <v>PROF-CAM2</v>
      </c>
      <c r="Z10" s="380">
        <v>1</v>
      </c>
      <c r="AA10" s="699"/>
      <c r="AB10" s="700"/>
      <c r="AC10" s="699"/>
      <c r="AD10" s="116"/>
      <c r="AE10" s="12" t="str">
        <v>SEP-CAM2</v>
      </c>
      <c r="AF10" s="12" t="str">
        <v>FLU-CAM2</v>
      </c>
      <c r="AG10" s="228">
        <v>1</v>
      </c>
      <c r="AI10" s="12" t="str">
        <f t="shared" si="1"/>
        <v>SEP-CAM2</v>
      </c>
      <c r="AJ10" s="12" t="s">
        <v>89</v>
      </c>
      <c r="AK10" s="11">
        <f>+('5. Data'!O100-'5. Data'!S100)/('5. Data'!AH100-'5. Data'!S100)</f>
        <v>0.7014363033114478</v>
      </c>
      <c r="AL10" s="702"/>
      <c r="AM10" s="19"/>
      <c r="AN10" s="12" t="str">
        <v>FTE-FUEL-GAS-CAM2</v>
      </c>
      <c r="AO10" s="12" t="str">
        <v>GAS-CAM2</v>
      </c>
      <c r="AP10" s="12" t="str">
        <v>FUEL-GAS-CAM2</v>
      </c>
      <c r="AQ10" s="228">
        <v>1</v>
      </c>
      <c r="AR10" s="19"/>
      <c r="AS10" s="703" t="str">
        <v>AUTO-OIL-CAM1</v>
      </c>
      <c r="AT10" s="704" t="str">
        <f>+AP23</f>
        <v>FUEL-OIL-CAM1</v>
      </c>
      <c r="AU10" s="703" t="str">
        <f t="shared" ref="AU10:AU11" si="4">+AU9</f>
        <v>ELC-CAM1</v>
      </c>
      <c r="AV10" s="322">
        <v>0.35</v>
      </c>
      <c r="AW10" s="370"/>
      <c r="AX10" s="19" t="str">
        <v>AUTO-OIL-CAM1</v>
      </c>
      <c r="AY10" s="370">
        <f>+'5. Data'!AB208</f>
        <v>0</v>
      </c>
      <c r="AZ10" s="19" t="s">
        <v>973</v>
      </c>
      <c r="BA10" s="19"/>
      <c r="BB10" s="19" t="str">
        <v>AUTO-COL-OIL-CAM1</v>
      </c>
      <c r="BC10" s="19" t="str">
        <v>FUEL-OIL-CAM1</v>
      </c>
      <c r="BD10" s="19" t="str">
        <f>+BD9</f>
        <v>ELC-COL-CAM1</v>
      </c>
      <c r="BE10" s="19">
        <v>0.35</v>
      </c>
      <c r="BF10" s="19"/>
      <c r="BG10" s="19" t="str">
        <v>AUTO-COL-OIL-CAM1</v>
      </c>
      <c r="BH10" s="370">
        <f>+'5. Data'!AA220</f>
        <v>0</v>
      </c>
      <c r="BI10" s="19" t="s">
        <v>973</v>
      </c>
      <c r="BJ10" s="19"/>
      <c r="BK10" s="43"/>
      <c r="BL10" s="116"/>
      <c r="BM10" s="14" t="str">
        <v>PLT-CAM2</v>
      </c>
      <c r="BN10" s="14" t="s">
        <v>973</v>
      </c>
      <c r="BO10" s="402">
        <v>107.23543684510712</v>
      </c>
      <c r="BQ10" t="str">
        <v>PLT-CAM2</v>
      </c>
      <c r="BR10" s="11" t="str">
        <f t="shared" ref="BR10:BR14" si="5">(AO10)</f>
        <v>GAS-CAM2</v>
      </c>
      <c r="BS10" s="228">
        <v>1</v>
      </c>
      <c r="BU10" s="228"/>
      <c r="BV10" s="228" t="s">
        <v>22</v>
      </c>
      <c r="BW10" s="295">
        <f>+'5. Data'!R156</f>
        <v>0</v>
      </c>
      <c r="BX10" s="706"/>
      <c r="BZ10" s="707"/>
      <c r="CB10" s="12" t="str">
        <f>+CB12</f>
        <v>ELC-O-COL-CAM2-CAM3</v>
      </c>
      <c r="CC10" s="708">
        <f>100%-CC9</f>
        <v>2.105557274151626E-3</v>
      </c>
      <c r="CD10" s="309"/>
      <c r="CE10" s="309" t="str">
        <f>+CA11</f>
        <v>COLELC-HOIL-CAM3</v>
      </c>
      <c r="CF10" s="309" t="str">
        <f t="shared" si="2"/>
        <v>HOIL</v>
      </c>
      <c r="CG10" s="699">
        <f>1/(1+'5. Data'!Y185)</f>
        <v>0.99789444272584837</v>
      </c>
      <c r="CH10" s="309"/>
      <c r="CJ10" s="12" t="str">
        <f>+BD29</f>
        <v>ELC-COL-CAM2-CAM3</v>
      </c>
      <c r="CK10" s="708">
        <f>100%-CK9</f>
        <v>2.6330487512965517E-3</v>
      </c>
      <c r="CM10" s="12" t="str">
        <f>+CI11</f>
        <v>COLFUEL-HOIL-CAM3</v>
      </c>
      <c r="CN10" s="12" t="s">
        <v>21</v>
      </c>
      <c r="CO10" s="266">
        <f>1/(1+'5. Data'!U185)</f>
        <v>0.99736695124870345</v>
      </c>
      <c r="CP10" s="305"/>
      <c r="CR10" s="116"/>
      <c r="CT10" s="11" t="s">
        <v>1572</v>
      </c>
      <c r="CU10" s="228"/>
      <c r="CW10" s="214" t="str">
        <f>+(PROCESS!N105)</f>
        <v>COLELC-GAS-CAM2</v>
      </c>
      <c r="CX10" s="12" t="s">
        <v>7</v>
      </c>
      <c r="CY10" s="313">
        <v>0.9887316728445551</v>
      </c>
      <c r="CZ10" s="709"/>
      <c r="DB10" s="11" t="str">
        <f>+BV9</f>
        <v>GAS-plt-CAM1</v>
      </c>
      <c r="DC10" s="228"/>
      <c r="DE10" s="214" t="str">
        <v>COLFUEL-GAS-CAM2</v>
      </c>
      <c r="DF10" s="12" t="s">
        <v>7</v>
      </c>
      <c r="DG10" s="313">
        <f t="shared" si="3"/>
        <v>0.9887316728445551</v>
      </c>
      <c r="DH10" s="710"/>
      <c r="DJ10" s="116"/>
      <c r="DK10" s="12" t="str">
        <v>COMPRA-ELC-CAM2-CAM3</v>
      </c>
      <c r="DL10" s="12" t="str">
        <f>+'1. EXP_IMP'!$K$64</f>
        <v>ELC-SIN</v>
      </c>
      <c r="DM10" s="12" t="str">
        <f>+AU29</f>
        <v>ELC-CAM2-CAM3</v>
      </c>
      <c r="DN10" s="292">
        <v>1</v>
      </c>
      <c r="DP10" s="12" t="str">
        <v>COMPRA-ELC-COLO-CAM2-CAM3</v>
      </c>
      <c r="DQ10" s="14" t="str">
        <f>+'1. EXP_IMP'!$K$64</f>
        <v>ELC-SIN</v>
      </c>
      <c r="DR10" s="12" t="str">
        <v>ELC-O-COL-CAM2-CAM3</v>
      </c>
      <c r="DS10" s="292">
        <v>1</v>
      </c>
      <c r="DU10" s="12" t="str">
        <v>COMPRA-ELC-COLG-CAM2-CAM3</v>
      </c>
      <c r="DV10" s="14" t="str">
        <f>+'1. EXP_IMP'!$K$64</f>
        <v>ELC-SIN</v>
      </c>
      <c r="DW10" s="11" t="str">
        <v>ELC-G-COL-CAM2-CAM3</v>
      </c>
      <c r="DX10" s="292">
        <v>1</v>
      </c>
    </row>
    <row r="11" spans="1:128" x14ac:dyDescent="0.25">
      <c r="B11" s="116"/>
      <c r="C11" s="14" t="str">
        <v>MIN-CAM3</v>
      </c>
      <c r="D11" s="14" t="str">
        <v>R-CAM3</v>
      </c>
      <c r="E11" s="214" t="s">
        <v>973</v>
      </c>
      <c r="F11" s="402">
        <v>6496.7121983715815</v>
      </c>
      <c r="G11" s="696">
        <f t="shared" si="0"/>
        <v>9.9999999999999995E-7</v>
      </c>
      <c r="H11" s="295">
        <v>1</v>
      </c>
      <c r="I11" s="697"/>
      <c r="K11" s="116"/>
      <c r="L11" s="214"/>
      <c r="M11" s="214" t="s">
        <v>1117</v>
      </c>
      <c r="N11" s="214">
        <v>2023</v>
      </c>
      <c r="O11" s="287">
        <v>48.301053084017497</v>
      </c>
      <c r="Q11" s="18" t="str">
        <f>+L23</f>
        <v>PROF-CAM2</v>
      </c>
      <c r="R11" s="18" t="str">
        <f>+D10</f>
        <v>R-CAM2</v>
      </c>
      <c r="S11" s="698">
        <f>100%-S12</f>
        <v>0.98952880617307648</v>
      </c>
      <c r="U11" s="12" t="str">
        <f>+Q13</f>
        <v>PROF-CAM3</v>
      </c>
      <c r="V11" s="12" t="str">
        <v>FLU-CAM3</v>
      </c>
      <c r="W11" s="266">
        <f>100%-S14-(S13*'5. Data'!P101*'5. Data'!X101)</f>
        <v>0.98347298174798714</v>
      </c>
      <c r="X11" s="699"/>
      <c r="Y11" s="699" t="str">
        <v>PROF-CAM3</v>
      </c>
      <c r="Z11" s="380">
        <v>1</v>
      </c>
      <c r="AA11" s="699"/>
      <c r="AB11" s="700"/>
      <c r="AC11" s="699"/>
      <c r="AD11" s="116"/>
      <c r="AE11" s="12" t="str">
        <v>SEP-CAM3</v>
      </c>
      <c r="AF11" s="12" t="str">
        <v>FLU-CAM3</v>
      </c>
      <c r="AG11" s="228">
        <v>1</v>
      </c>
      <c r="AJ11" s="12" t="s">
        <v>127</v>
      </c>
      <c r="AK11" s="11">
        <f>100%-AK10</f>
        <v>0.2985636966885522</v>
      </c>
      <c r="AL11" s="702"/>
      <c r="AM11" s="19"/>
      <c r="AN11" s="12" t="str">
        <v>FTE-FUEL-GAS-CAM3</v>
      </c>
      <c r="AO11" s="12" t="str">
        <v>GAS-CAM3</v>
      </c>
      <c r="AP11" s="12" t="str">
        <v>FUEL-GAS-CAM3</v>
      </c>
      <c r="AQ11" s="228">
        <v>1</v>
      </c>
      <c r="AR11" s="19"/>
      <c r="AS11" s="703" t="str">
        <v>AUTO-DSL-CAM1</v>
      </c>
      <c r="AT11" s="704" t="str">
        <f>+AP16</f>
        <v>FUEL-DSL-CAM1</v>
      </c>
      <c r="AU11" s="703" t="str">
        <f t="shared" si="4"/>
        <v>ELC-CAM1</v>
      </c>
      <c r="AV11" s="322">
        <v>0.35</v>
      </c>
      <c r="AW11" s="370"/>
      <c r="AX11" s="19" t="str">
        <v>AUTO-DSL-CAM1</v>
      </c>
      <c r="AY11" s="370">
        <f>+'5. Data'!AC208</f>
        <v>0</v>
      </c>
      <c r="AZ11" s="19" t="s">
        <v>973</v>
      </c>
      <c r="BA11" s="19"/>
      <c r="BB11" s="19" t="str">
        <v>AUTO-COL-DSL-CAM1</v>
      </c>
      <c r="BC11" s="19" t="str">
        <v>FUEL-DSL-CAM1</v>
      </c>
      <c r="BD11" s="19" t="str">
        <f>+BD9</f>
        <v>ELC-COL-CAM1</v>
      </c>
      <c r="BE11" s="19">
        <v>0.35</v>
      </c>
      <c r="BF11" s="19"/>
      <c r="BG11" s="19" t="str">
        <v>AUTO-COL-DSL-CAM1</v>
      </c>
      <c r="BH11" s="370">
        <f>+'5. Data'!AB220</f>
        <v>0</v>
      </c>
      <c r="BI11" s="19" t="s">
        <v>973</v>
      </c>
      <c r="BJ11" s="19"/>
      <c r="BK11" s="43"/>
      <c r="BL11" s="116"/>
      <c r="BM11" s="14" t="str">
        <v>PLT-CAM3</v>
      </c>
      <c r="BN11" s="14" t="s">
        <v>973</v>
      </c>
      <c r="BO11" s="402">
        <v>2.6279610232633126</v>
      </c>
      <c r="BQ11" t="str">
        <v>PLT-CAM3</v>
      </c>
      <c r="BR11" s="11" t="str">
        <f t="shared" si="5"/>
        <v>GAS-CAM3</v>
      </c>
      <c r="BS11" s="228">
        <v>1</v>
      </c>
      <c r="BU11" s="711" t="str">
        <f>+BM10</f>
        <v>PLT-CAM2</v>
      </c>
      <c r="BV11" s="228" t="str">
        <f>+COMM!D71</f>
        <v>GAS-plt-CAM2</v>
      </c>
      <c r="BW11" s="295">
        <f>100%-BW12</f>
        <v>0.79566503548561762</v>
      </c>
      <c r="BX11" s="706"/>
      <c r="BZ11" s="707"/>
      <c r="CA11" s="12" t="str">
        <f>+PROCESS!N117</f>
        <v>COLELC-HOIL-CAM3</v>
      </c>
      <c r="CB11" s="12" t="s">
        <v>141</v>
      </c>
      <c r="CC11" s="708">
        <f>+CG10</f>
        <v>0.99789444272584837</v>
      </c>
      <c r="CD11" s="309"/>
      <c r="CE11" s="309" t="str">
        <f>+CA13</f>
        <v>COLELC-LOIL-CAM4</v>
      </c>
      <c r="CF11" s="309" t="str">
        <f t="shared" si="2"/>
        <v>LOIL</v>
      </c>
      <c r="CG11" s="699">
        <f>1/(1+'5. Data'!Y186)</f>
        <v>0.99789444272584837</v>
      </c>
      <c r="CH11" s="309"/>
      <c r="CI11" s="12" t="str">
        <f>+PROCESS!N112</f>
        <v>COLFUEL-HOIL-CAM3</v>
      </c>
      <c r="CJ11" s="12" t="s">
        <v>141</v>
      </c>
      <c r="CK11" s="708">
        <f>+CO10</f>
        <v>0.99736695124870345</v>
      </c>
      <c r="CM11" s="12" t="str">
        <f>+CI13</f>
        <v>COLFUEL-LOIL-CAM4</v>
      </c>
      <c r="CN11" s="12" t="s">
        <v>13</v>
      </c>
      <c r="CO11" s="266">
        <f>1/(1+'5. Data'!U186)</f>
        <v>0.99736695124870345</v>
      </c>
      <c r="CP11" s="305"/>
      <c r="CR11" s="116"/>
      <c r="CS11" s="12" t="str">
        <f>+CW10</f>
        <v>COLELC-GAS-CAM2</v>
      </c>
      <c r="CT11" s="12" t="s">
        <v>89</v>
      </c>
      <c r="CU11" s="228"/>
      <c r="CW11" s="214" t="str">
        <f>+(PROCESS!N106)</f>
        <v>COLELC-GAS-CAM3</v>
      </c>
      <c r="CX11" s="12" t="s">
        <v>7</v>
      </c>
      <c r="CY11" s="313">
        <v>0.98873167284455521</v>
      </c>
      <c r="CZ11" s="709"/>
      <c r="DA11" s="12" t="str">
        <f>+DE10</f>
        <v>COLFUEL-GAS-CAM2</v>
      </c>
      <c r="DB11" s="12" t="s">
        <v>89</v>
      </c>
      <c r="DC11" s="228"/>
      <c r="DE11" s="214" t="str">
        <v>COLFUEL-GAS-CAM3</v>
      </c>
      <c r="DF11" s="12" t="s">
        <v>7</v>
      </c>
      <c r="DG11" s="313">
        <f t="shared" si="3"/>
        <v>0.98873167284455521</v>
      </c>
      <c r="DH11" s="710"/>
      <c r="DJ11" s="116"/>
      <c r="DK11" s="12" t="str">
        <v>COMPRA-ELC-CAM4</v>
      </c>
      <c r="DL11" s="12" t="str">
        <f>+'1. EXP_IMP'!$K$64</f>
        <v>ELC-SIN</v>
      </c>
      <c r="DM11" s="11" t="str">
        <f>+AU12</f>
        <v>ELC-CAM4</v>
      </c>
      <c r="DN11" s="292">
        <v>1</v>
      </c>
      <c r="DP11" s="12" t="str">
        <v>COMPRA-ELC-COLO-CAM4</v>
      </c>
      <c r="DQ11" s="14" t="str">
        <f>+'1. EXP_IMP'!$K$64</f>
        <v>ELC-SIN</v>
      </c>
      <c r="DR11" s="11" t="str">
        <v>ELC-O-COL-CAM4</v>
      </c>
      <c r="DS11" s="292">
        <v>1</v>
      </c>
      <c r="DU11" s="12" t="str">
        <v>COMPRA-ELC-COLG-CAM4</v>
      </c>
      <c r="DV11" s="14" t="str">
        <f>+'1. EXP_IMP'!$K$64</f>
        <v>ELC-SIN</v>
      </c>
      <c r="DW11" s="11" t="str">
        <v>ELC-G-COL-CAM4</v>
      </c>
      <c r="DX11" s="292">
        <v>1</v>
      </c>
    </row>
    <row r="12" spans="1:128" x14ac:dyDescent="0.25">
      <c r="B12" s="116"/>
      <c r="C12" s="14" t="str">
        <v>MIN-CAM4</v>
      </c>
      <c r="D12" s="14" t="str">
        <v>R-CAM4</v>
      </c>
      <c r="E12" s="214" t="s">
        <v>973</v>
      </c>
      <c r="F12" s="402">
        <v>44.660401360000002</v>
      </c>
      <c r="G12" s="696">
        <f t="shared" si="0"/>
        <v>9.9999999999999995E-7</v>
      </c>
      <c r="H12" s="295">
        <v>1</v>
      </c>
      <c r="I12" s="697"/>
      <c r="K12" s="116"/>
      <c r="L12" s="214"/>
      <c r="M12" s="214" t="s">
        <v>1117</v>
      </c>
      <c r="N12" s="214">
        <v>2025</v>
      </c>
      <c r="O12" s="287">
        <v>38.921861734744084</v>
      </c>
      <c r="Q12" s="18"/>
      <c r="R12" s="18" t="str">
        <f>+DM10</f>
        <v>ELC-CAM2-CAM3</v>
      </c>
      <c r="S12" s="698">
        <f>+'5. Data'!N122/(1+'5. Data'!N122)</f>
        <v>1.0471193826923495E-2</v>
      </c>
      <c r="U12" s="12" t="str">
        <f>+Q15</f>
        <v>PROF-CAM4</v>
      </c>
      <c r="V12" s="12" t="str">
        <v>FLU-CAM4</v>
      </c>
      <c r="W12" s="266">
        <f>100%-S16-(S15*'5. Data'!P102*'5. Data'!X102)</f>
        <v>0.76548029450306121</v>
      </c>
      <c r="X12" s="699"/>
      <c r="Y12" s="699" t="str">
        <v>PROF-CAM4</v>
      </c>
      <c r="Z12" s="380">
        <v>1</v>
      </c>
      <c r="AA12" s="699"/>
      <c r="AB12" s="700"/>
      <c r="AC12" s="699"/>
      <c r="AD12" s="116"/>
      <c r="AE12" s="12" t="str">
        <v>SEP-CAM4</v>
      </c>
      <c r="AF12" s="12" t="str">
        <v>FLU-CAM4</v>
      </c>
      <c r="AG12" s="228">
        <v>1</v>
      </c>
      <c r="AI12" s="12" t="str">
        <f>+AE11</f>
        <v>SEP-CAM3</v>
      </c>
      <c r="AJ12" s="12" t="s">
        <v>96</v>
      </c>
      <c r="AK12" s="266">
        <f>+('5. Data'!O101-'5. Data'!S101)/('5. Data'!AH101-'5. Data'!S101)</f>
        <v>1.0474627382808092E-3</v>
      </c>
      <c r="AL12" s="700"/>
      <c r="AM12" s="699"/>
      <c r="AN12" s="12" t="str">
        <v>FTE-FUEL-GAS-CAM4</v>
      </c>
      <c r="AO12" s="12" t="str">
        <v>GAS-CAM4</v>
      </c>
      <c r="AP12" s="12" t="str">
        <v>FUEL-GAS-CAM4</v>
      </c>
      <c r="AQ12" s="228">
        <v>1</v>
      </c>
      <c r="AR12" s="699"/>
      <c r="AS12" s="703" t="str">
        <f t="array" ref="AS12:AS23">+PROCESS!N164:N175</f>
        <v>AUTO-GAS-CAM4</v>
      </c>
      <c r="AT12" s="704" t="str">
        <f>+AP12</f>
        <v>FUEL-GAS-CAM4</v>
      </c>
      <c r="AU12" s="703" t="str">
        <f>+COMM!D93</f>
        <v>ELC-CAM4</v>
      </c>
      <c r="AV12" s="322">
        <f t="array" ref="AV12:AV14">+TRANSPOSE('5. Data'!U211:W211)</f>
        <v>0.35</v>
      </c>
      <c r="AW12" s="370"/>
      <c r="AX12" s="699" t="str">
        <v>AUTO-GAS-CAM4</v>
      </c>
      <c r="AY12" s="370">
        <f t="array" ref="AY12:AY14">+TRANSPOSE('5. Data'!AA211:AC211)</f>
        <v>0</v>
      </c>
      <c r="AZ12" s="19" t="s">
        <v>973</v>
      </c>
      <c r="BA12" s="19"/>
      <c r="BB12" s="19" t="str">
        <f t="array" ref="BB12:BB23">+PROCESS!N182:N193</f>
        <v>AUTO-COL-GAS-CAM4</v>
      </c>
      <c r="BC12" s="19" t="str">
        <v>FUEL-GAS-CAM4</v>
      </c>
      <c r="BD12" s="19" t="str">
        <f>+COMM!D141</f>
        <v>ELC-COL-CAM4</v>
      </c>
      <c r="BE12" s="19">
        <f t="array" ref="BE12:BE14">+TRANSPOSE('5. Data'!U223:W223)</f>
        <v>0.35</v>
      </c>
      <c r="BF12" s="19"/>
      <c r="BG12" s="699" t="str">
        <v>AUTO-COL-GAS-CAM4</v>
      </c>
      <c r="BH12" s="370">
        <f t="array" ref="BH12:BH14">+TRANSPOSE('5. Data'!Z223:AB223)</f>
        <v>1.1095172121600003E-2</v>
      </c>
      <c r="BI12" s="19" t="s">
        <v>973</v>
      </c>
      <c r="BJ12" s="699"/>
      <c r="BK12" s="43"/>
      <c r="BL12" s="116"/>
      <c r="BM12" s="14" t="str">
        <v>PLT-CAM4</v>
      </c>
      <c r="BN12" s="14" t="s">
        <v>973</v>
      </c>
      <c r="BO12" s="402">
        <v>0</v>
      </c>
      <c r="BQ12" t="str">
        <v>PLT-CAM4</v>
      </c>
      <c r="BR12" s="11" t="str">
        <f t="shared" si="5"/>
        <v>GAS-CAM4</v>
      </c>
      <c r="BS12" s="228">
        <v>1</v>
      </c>
      <c r="BU12" s="228"/>
      <c r="BV12" s="228" t="s">
        <v>22</v>
      </c>
      <c r="BW12" s="295">
        <f>+'5. Data'!R157</f>
        <v>0.20433496451438232</v>
      </c>
      <c r="BX12" s="706"/>
      <c r="BZ12" s="707"/>
      <c r="CB12" s="12" t="str">
        <f>+DR10</f>
        <v>ELC-O-COL-CAM2-CAM3</v>
      </c>
      <c r="CC12" s="708">
        <f>100%-CC11</f>
        <v>2.105557274151626E-3</v>
      </c>
      <c r="CD12" s="309"/>
      <c r="CE12" s="309" t="str">
        <f>+CA15</f>
        <v>COLELC-MOIL-CAM5</v>
      </c>
      <c r="CF12" s="309" t="str">
        <f t="shared" si="2"/>
        <v>MOIL</v>
      </c>
      <c r="CG12" s="699">
        <f>1/(1+'5. Data'!Y187)</f>
        <v>0.99789444272584837</v>
      </c>
      <c r="CH12" s="309"/>
      <c r="CJ12" s="12" t="str">
        <f>+CJ10</f>
        <v>ELC-COL-CAM2-CAM3</v>
      </c>
      <c r="CK12" s="708">
        <f>100%-CK11</f>
        <v>2.6330487512965517E-3</v>
      </c>
      <c r="CM12" s="12" t="str">
        <f>+CI15</f>
        <v>COLFUEL-MOIL-CAM5</v>
      </c>
      <c r="CN12" s="12" t="s">
        <v>17</v>
      </c>
      <c r="CO12" s="266">
        <f>1/(1+'5. Data'!U187)</f>
        <v>0.99736695124870345</v>
      </c>
      <c r="CP12" s="305"/>
      <c r="CR12" s="116"/>
      <c r="CT12" s="11" t="s">
        <v>142</v>
      </c>
      <c r="CU12" s="228"/>
      <c r="CW12" s="214" t="str">
        <f>+(PROCESS!N107)</f>
        <v>COLELC-GAS-CAM4</v>
      </c>
      <c r="CX12" s="12" t="s">
        <v>7</v>
      </c>
      <c r="CY12" s="313">
        <v>0.98873167284455521</v>
      </c>
      <c r="CZ12" s="709"/>
      <c r="DB12" s="11" t="str">
        <f>+BV11</f>
        <v>GAS-plt-CAM2</v>
      </c>
      <c r="DC12" s="228"/>
      <c r="DE12" s="214" t="str">
        <v>COLFUEL-GAS-CAM4</v>
      </c>
      <c r="DF12" s="12" t="s">
        <v>7</v>
      </c>
      <c r="DG12" s="313">
        <f t="shared" si="3"/>
        <v>0.98873167284455521</v>
      </c>
      <c r="DH12" s="710"/>
      <c r="DJ12" s="116"/>
      <c r="DK12" s="12" t="str">
        <v>COMPRA-ELC-CAM5</v>
      </c>
      <c r="DL12" s="12" t="str">
        <f>+'1. EXP_IMP'!$K$64</f>
        <v>ELC-SIN</v>
      </c>
      <c r="DM12" s="11" t="str">
        <f>+AU15</f>
        <v>ELC-CAM5</v>
      </c>
      <c r="DN12" s="292">
        <v>1</v>
      </c>
      <c r="DP12" s="12" t="str">
        <v>COMPRA-ELC-COLO-CAM5</v>
      </c>
      <c r="DQ12" s="14" t="str">
        <f>+'1. EXP_IMP'!$K$64</f>
        <v>ELC-SIN</v>
      </c>
      <c r="DR12" s="11" t="str">
        <v>ELC-O-COL-CAM5</v>
      </c>
      <c r="DS12" s="292">
        <v>1</v>
      </c>
      <c r="DU12" s="12" t="str">
        <v>COMPRA-ELC-COLG-CAM5</v>
      </c>
      <c r="DV12" s="14" t="str">
        <f>+'1. EXP_IMP'!$K$64</f>
        <v>ELC-SIN</v>
      </c>
      <c r="DW12" s="11" t="str">
        <v>ELC-G-COL-CAM5</v>
      </c>
      <c r="DX12" s="292">
        <v>1</v>
      </c>
    </row>
    <row r="13" spans="1:128" x14ac:dyDescent="0.25">
      <c r="B13" s="116"/>
      <c r="C13" s="14" t="str">
        <v>MIN-CAM5</v>
      </c>
      <c r="D13" s="14" t="str">
        <v>R-CAM5</v>
      </c>
      <c r="E13" s="214" t="s">
        <v>973</v>
      </c>
      <c r="F13" s="402">
        <v>1058.6607668001971</v>
      </c>
      <c r="G13" s="696">
        <f t="shared" si="0"/>
        <v>9.9999999999999995E-7</v>
      </c>
      <c r="H13" s="295">
        <v>1</v>
      </c>
      <c r="I13" s="697"/>
      <c r="K13" s="116"/>
      <c r="L13" s="214"/>
      <c r="M13" s="214" t="s">
        <v>1117</v>
      </c>
      <c r="N13" s="214">
        <v>2027</v>
      </c>
      <c r="O13" s="287">
        <v>31.12573621980787</v>
      </c>
      <c r="Q13" s="18" t="str">
        <f>+L37</f>
        <v>PROF-CAM3</v>
      </c>
      <c r="R13" s="18" t="str">
        <f>+D11</f>
        <v>R-CAM3</v>
      </c>
      <c r="S13" s="698">
        <f>100%-S14</f>
        <v>0.98522361620416987</v>
      </c>
      <c r="U13" s="12" t="str">
        <f>+Q17</f>
        <v>PROF-CAM5</v>
      </c>
      <c r="V13" s="12" t="str">
        <v>FLU-CAM5</v>
      </c>
      <c r="W13" s="266">
        <f>100%-S18-(S17*'5. Data'!P103*'5. Data'!X103)</f>
        <v>0.98492408706697354</v>
      </c>
      <c r="X13" s="699"/>
      <c r="Y13" s="699" t="str">
        <v>PROF-CAM5</v>
      </c>
      <c r="Z13" s="380">
        <v>1</v>
      </c>
      <c r="AA13" s="699"/>
      <c r="AB13" s="700"/>
      <c r="AC13" s="699"/>
      <c r="AD13" s="116"/>
      <c r="AE13" s="12" t="str">
        <v>SEP-CAM5</v>
      </c>
      <c r="AF13" s="12" t="str">
        <v>FLU-CAM5</v>
      </c>
      <c r="AG13" s="228">
        <v>1</v>
      </c>
      <c r="AJ13" s="12" t="s">
        <v>141</v>
      </c>
      <c r="AK13" s="11">
        <f>100%-AK12</f>
        <v>0.99895253726171918</v>
      </c>
      <c r="AL13" s="702"/>
      <c r="AM13" s="19"/>
      <c r="AN13" s="12" t="str">
        <v>FTE-FUEL-GAS-CAM5</v>
      </c>
      <c r="AO13" s="12" t="str">
        <v>GAS-CAM5</v>
      </c>
      <c r="AP13" s="12" t="str">
        <v>FUEL-GAS-CAM5</v>
      </c>
      <c r="AQ13" s="228">
        <v>1</v>
      </c>
      <c r="AR13" s="19"/>
      <c r="AS13" s="703" t="str">
        <v>AUTO-OIL-CAM4</v>
      </c>
      <c r="AT13" s="704" t="str">
        <f>+AP26</f>
        <v>FUEL-OIL-CAM4</v>
      </c>
      <c r="AU13" s="703" t="str">
        <f t="shared" ref="AU13:AU14" si="6">+AU12</f>
        <v>ELC-CAM4</v>
      </c>
      <c r="AV13" s="322">
        <v>0.35</v>
      </c>
      <c r="AW13" s="370"/>
      <c r="AX13" s="19" t="str">
        <v>AUTO-OIL-CAM4</v>
      </c>
      <c r="AY13" s="370">
        <v>0.66944714800759952</v>
      </c>
      <c r="AZ13" s="19" t="s">
        <v>973</v>
      </c>
      <c r="BA13" s="19"/>
      <c r="BB13" s="19" t="str">
        <v>AUTO-COL-OIL-CAM4</v>
      </c>
      <c r="BC13" s="19" t="str">
        <v>FUEL-OIL-CAM4</v>
      </c>
      <c r="BD13" s="19" t="str">
        <f t="shared" ref="BD13:BD14" si="7">+BD12</f>
        <v>ELC-COL-CAM4</v>
      </c>
      <c r="BE13" s="19">
        <v>0.35</v>
      </c>
      <c r="BF13" s="19"/>
      <c r="BG13" s="19" t="str">
        <v>AUTO-COL-OIL-CAM4</v>
      </c>
      <c r="BH13" s="370">
        <v>4.4380688486400012E-2</v>
      </c>
      <c r="BI13" s="19" t="s">
        <v>973</v>
      </c>
      <c r="BJ13" s="19"/>
      <c r="BK13" s="43"/>
      <c r="BL13" s="116"/>
      <c r="BM13" s="14" t="str">
        <v>PLT-CAM5</v>
      </c>
      <c r="BN13" s="14" t="s">
        <v>973</v>
      </c>
      <c r="BO13" s="402">
        <v>0</v>
      </c>
      <c r="BQ13" t="str">
        <v>PLT-CAM5</v>
      </c>
      <c r="BR13" s="11" t="str">
        <f t="shared" si="5"/>
        <v>GAS-CAM5</v>
      </c>
      <c r="BS13" s="228">
        <v>1</v>
      </c>
      <c r="BU13" s="711" t="str">
        <f>+BM11</f>
        <v>PLT-CAM3</v>
      </c>
      <c r="BV13" s="228" t="str">
        <f>+COMM!D72</f>
        <v>GAS-plt-CAM3</v>
      </c>
      <c r="BW13" s="295">
        <f>100%-BW14</f>
        <v>0.54929708810295375</v>
      </c>
      <c r="BX13" s="706"/>
      <c r="BZ13" s="707"/>
      <c r="CA13" s="12" t="str">
        <f>+PROCESS!N118</f>
        <v>COLELC-LOIL-CAM4</v>
      </c>
      <c r="CB13" s="12" t="s">
        <v>132</v>
      </c>
      <c r="CC13" s="708">
        <f>+CG11</f>
        <v>0.99789444272584837</v>
      </c>
      <c r="CD13" s="309"/>
      <c r="CE13" s="309" t="str">
        <f>+CA17</f>
        <v>COLELC-MOIL-CAM6</v>
      </c>
      <c r="CF13" s="309" t="str">
        <f t="shared" si="2"/>
        <v>MOIL</v>
      </c>
      <c r="CG13" s="699">
        <f>1/(1+'5. Data'!Y188)</f>
        <v>0.99789444272584837</v>
      </c>
      <c r="CH13" s="309"/>
      <c r="CI13" s="12" t="str">
        <f>+PROCESS!N113</f>
        <v>COLFUEL-LOIL-CAM4</v>
      </c>
      <c r="CJ13" s="12" t="s">
        <v>132</v>
      </c>
      <c r="CK13" s="708">
        <f>+CO11</f>
        <v>0.99736695124870345</v>
      </c>
      <c r="CM13" s="12" t="str">
        <f>+CI17</f>
        <v>COLFUEL-MOIL-CAM6</v>
      </c>
      <c r="CN13" s="12" t="s">
        <v>17</v>
      </c>
      <c r="CO13" s="266">
        <f>1/(1+'5. Data'!U188)</f>
        <v>0.99736695124870345</v>
      </c>
      <c r="CP13" s="305"/>
      <c r="CR13" s="116"/>
      <c r="CS13" s="12" t="str">
        <f>+CW11</f>
        <v>COLELC-GAS-CAM3</v>
      </c>
      <c r="CT13" s="12" t="s">
        <v>96</v>
      </c>
      <c r="CU13" s="228"/>
      <c r="CW13" s="214" t="str">
        <f>+(PROCESS!N108)</f>
        <v>COLELC-GAS-CAM5</v>
      </c>
      <c r="CX13" s="12" t="s">
        <v>7</v>
      </c>
      <c r="CY13" s="313">
        <v>0.98873167284455521</v>
      </c>
      <c r="CZ13" s="709"/>
      <c r="DA13" s="12" t="str">
        <f>+DE11</f>
        <v>COLFUEL-GAS-CAM3</v>
      </c>
      <c r="DB13" s="12" t="s">
        <v>96</v>
      </c>
      <c r="DC13" s="228"/>
      <c r="DE13" s="214" t="str">
        <v>COLFUEL-GAS-CAM5</v>
      </c>
      <c r="DF13" s="12" t="s">
        <v>7</v>
      </c>
      <c r="DG13" s="313">
        <f t="shared" si="3"/>
        <v>0.98873167284455521</v>
      </c>
      <c r="DH13" s="710"/>
      <c r="DJ13" s="116"/>
      <c r="DK13" s="12" t="str">
        <v>COMPRA-ELC-CAM6</v>
      </c>
      <c r="DL13" s="12" t="str">
        <f>+'1. EXP_IMP'!$K$64</f>
        <v>ELC-SIN</v>
      </c>
      <c r="DM13" s="11" t="str">
        <f>+AU18</f>
        <v>ELC-CAM6</v>
      </c>
      <c r="DN13" s="292">
        <v>1</v>
      </c>
      <c r="DP13" s="12" t="str">
        <v>COMPRA-ELC-COLO-CAM6</v>
      </c>
      <c r="DQ13" s="14" t="str">
        <f>+'1. EXP_IMP'!$K$64</f>
        <v>ELC-SIN</v>
      </c>
      <c r="DR13" s="11" t="str">
        <v>ELC-O-COL-CAM6</v>
      </c>
      <c r="DS13" s="292">
        <v>1</v>
      </c>
      <c r="DU13" s="12" t="str">
        <v>COMPRA-ELC-COLG-CAM6</v>
      </c>
      <c r="DV13" s="14" t="str">
        <f>+'1. EXP_IMP'!$K$64</f>
        <v>ELC-SIN</v>
      </c>
      <c r="DW13" s="11" t="str">
        <v>ELC-G-COL-CAM6</v>
      </c>
      <c r="DX13" s="292">
        <v>1</v>
      </c>
    </row>
    <row r="14" spans="1:128" x14ac:dyDescent="0.25">
      <c r="B14" s="116"/>
      <c r="C14" s="14" t="str">
        <v>MIN-CAM6</v>
      </c>
      <c r="D14" s="14" t="str">
        <v>R-CAM6</v>
      </c>
      <c r="E14" s="214" t="s">
        <v>973</v>
      </c>
      <c r="F14" s="402">
        <v>283.33235609852005</v>
      </c>
      <c r="G14" s="696">
        <f t="shared" si="0"/>
        <v>9.9999999999999995E-7</v>
      </c>
      <c r="H14" s="295">
        <v>1</v>
      </c>
      <c r="I14" s="697"/>
      <c r="K14" s="116"/>
      <c r="L14" s="214"/>
      <c r="M14" s="214" t="s">
        <v>1117</v>
      </c>
      <c r="N14" s="214">
        <v>2030</v>
      </c>
      <c r="O14" s="287">
        <v>20.101904077407454</v>
      </c>
      <c r="Q14" s="18"/>
      <c r="R14" s="18" t="str">
        <f>+R12</f>
        <v>ELC-CAM2-CAM3</v>
      </c>
      <c r="S14" s="698">
        <f>+'5. Data'!N123/(1+'5. Data'!N123)</f>
        <v>1.477638379583014E-2</v>
      </c>
      <c r="U14" s="12" t="str">
        <f>+Q19</f>
        <v>PROF-CAM6</v>
      </c>
      <c r="V14" s="12" t="str">
        <v>FLU-CAM6</v>
      </c>
      <c r="W14" s="266">
        <f>100%-S20-(S19*'5. Data'!P104*'5. Data'!X104)</f>
        <v>0.98152371833808261</v>
      </c>
      <c r="X14" s="699"/>
      <c r="Y14" s="699" t="str">
        <v>PROF-CAM6</v>
      </c>
      <c r="Z14" s="380">
        <v>1</v>
      </c>
      <c r="AA14" s="699"/>
      <c r="AB14" s="700"/>
      <c r="AC14" s="699"/>
      <c r="AD14" s="116"/>
      <c r="AE14" s="12" t="str">
        <v>SEP-CAM6</v>
      </c>
      <c r="AF14" s="12" t="str">
        <v>FLU-CAM6</v>
      </c>
      <c r="AG14" s="228">
        <v>1</v>
      </c>
      <c r="AI14" s="12" t="str">
        <f>+AE12</f>
        <v>SEP-CAM4</v>
      </c>
      <c r="AJ14" s="12" t="s">
        <v>101</v>
      </c>
      <c r="AK14" s="228">
        <f>+('5. Data'!O102-'5. Data'!S102)/('5. Data'!AH102-'5. Data'!S102)</f>
        <v>0</v>
      </c>
      <c r="AL14" s="706"/>
      <c r="AM14" s="309"/>
      <c r="AN14" s="12" t="str">
        <v>FTE-FUEL-GAS-CAM6</v>
      </c>
      <c r="AO14" s="12" t="str">
        <v>GAS-CAM6</v>
      </c>
      <c r="AP14" s="12" t="str">
        <v>FUEL-GAS-CAM6</v>
      </c>
      <c r="AQ14" s="228">
        <v>1</v>
      </c>
      <c r="AR14" s="309"/>
      <c r="AS14" s="703" t="str">
        <v>AUTO-DSL-CAM4</v>
      </c>
      <c r="AT14" s="2" t="str">
        <f>+AP19</f>
        <v>FUEL-DSL-CAM4</v>
      </c>
      <c r="AU14" s="703" t="str">
        <f t="shared" si="6"/>
        <v>ELC-CAM4</v>
      </c>
      <c r="AV14" s="322">
        <v>0.35</v>
      </c>
      <c r="AW14" s="370"/>
      <c r="AX14" s="309" t="str">
        <v>AUTO-DSL-CAM4</v>
      </c>
      <c r="AY14" s="370">
        <v>0.3163738884724005</v>
      </c>
      <c r="AZ14" s="19" t="s">
        <v>973</v>
      </c>
      <c r="BA14" s="19"/>
      <c r="BB14" s="19" t="str">
        <v>AUTO-COL-DSL-CAM4</v>
      </c>
      <c r="BC14" s="19" t="str">
        <v>FUEL-DSL-CAM4</v>
      </c>
      <c r="BD14" s="19" t="str">
        <f t="shared" si="7"/>
        <v>ELC-COL-CAM4</v>
      </c>
      <c r="BE14" s="19">
        <v>0.35</v>
      </c>
      <c r="BF14" s="19"/>
      <c r="BG14" s="309" t="str">
        <v>AUTO-COL-DSL-CAM4</v>
      </c>
      <c r="BH14" s="370">
        <v>8.3213790912000027E-2</v>
      </c>
      <c r="BI14" s="19" t="s">
        <v>973</v>
      </c>
      <c r="BJ14" s="309"/>
      <c r="BK14" s="43"/>
      <c r="BL14" s="116"/>
      <c r="BM14" s="14" t="str">
        <v>PLT-CAM6</v>
      </c>
      <c r="BN14" s="14" t="s">
        <v>973</v>
      </c>
      <c r="BO14" s="402">
        <v>0.66500931021379162</v>
      </c>
      <c r="BQ14" t="str">
        <v>PLT-CAM6</v>
      </c>
      <c r="BR14" s="11" t="str">
        <f t="shared" si="5"/>
        <v>GAS-CAM6</v>
      </c>
      <c r="BS14" s="228">
        <v>1</v>
      </c>
      <c r="BU14" s="228"/>
      <c r="BV14" s="228" t="s">
        <v>22</v>
      </c>
      <c r="BW14" s="295">
        <f>+'5. Data'!R158</f>
        <v>0.4507029118970462</v>
      </c>
      <c r="BX14" s="706"/>
      <c r="BZ14" s="707"/>
      <c r="CB14" s="11" t="str">
        <f>+DR11</f>
        <v>ELC-O-COL-CAM4</v>
      </c>
      <c r="CC14" s="708">
        <f>100%-CC13</f>
        <v>2.105557274151626E-3</v>
      </c>
      <c r="CD14" s="309"/>
      <c r="CE14" s="309"/>
      <c r="CF14" s="309"/>
      <c r="CG14" s="309"/>
      <c r="CH14" s="309"/>
      <c r="CJ14" s="11" t="str">
        <f>+BD14</f>
        <v>ELC-COL-CAM4</v>
      </c>
      <c r="CK14" s="708">
        <f>100%-CK13</f>
        <v>2.6330487512965517E-3</v>
      </c>
      <c r="CM14" s="1"/>
      <c r="CN14" s="1"/>
      <c r="CO14" s="1"/>
      <c r="CP14" s="305"/>
      <c r="CR14" s="116"/>
      <c r="CT14" s="11" t="s">
        <v>143</v>
      </c>
      <c r="CU14" s="228"/>
      <c r="CW14" s="214" t="str">
        <f>+(PROCESS!N109)</f>
        <v>COLELC-GAS-CAM6</v>
      </c>
      <c r="CX14" s="12" t="s">
        <v>7</v>
      </c>
      <c r="CY14" s="313">
        <v>0.98873167284455521</v>
      </c>
      <c r="CZ14" s="709"/>
      <c r="DB14" s="11" t="str">
        <f>+BV13</f>
        <v>GAS-plt-CAM3</v>
      </c>
      <c r="DC14" s="228"/>
      <c r="DE14" s="214" t="str">
        <v>COLFUEL-GAS-CAM6</v>
      </c>
      <c r="DF14" s="12" t="s">
        <v>7</v>
      </c>
      <c r="DG14" s="313">
        <f t="shared" si="3"/>
        <v>0.98873167284455521</v>
      </c>
      <c r="DH14" s="710"/>
      <c r="DJ14" s="116"/>
      <c r="DK14" s="12" t="str">
        <v>COMPRA-ELC-CAM7</v>
      </c>
      <c r="DL14" s="12" t="str">
        <f>+'1. EXP_IMP'!$K$64</f>
        <v>ELC-SIN</v>
      </c>
      <c r="DM14" s="11" t="str">
        <f>+AU21</f>
        <v>ELC-CAM7</v>
      </c>
      <c r="DN14" s="292">
        <v>1</v>
      </c>
      <c r="DP14" s="12" t="str">
        <v>COMPRA-ELC-COLO-CAM7</v>
      </c>
      <c r="DQ14" s="14" t="str">
        <f>+'1. EXP_IMP'!$K$64</f>
        <v>ELC-SIN</v>
      </c>
      <c r="DR14" s="11" t="str">
        <v>ELC-O-COL-CAM7</v>
      </c>
      <c r="DS14" s="292">
        <v>1</v>
      </c>
      <c r="DU14" s="12" t="str">
        <v>COMPRA-ELC-COLG-CAM7</v>
      </c>
      <c r="DV14" s="14" t="str">
        <f>+'1. EXP_IMP'!$K$64</f>
        <v>ELC-SIN</v>
      </c>
      <c r="DW14" s="11" t="str">
        <v>ELC-G-COL-CAM7</v>
      </c>
      <c r="DX14" s="292">
        <v>1</v>
      </c>
    </row>
    <row r="15" spans="1:128" x14ac:dyDescent="0.25">
      <c r="B15" s="116"/>
      <c r="C15" s="14" t="str">
        <v>MIN-CAM7</v>
      </c>
      <c r="D15" s="14" t="str">
        <v>R-CAM7</v>
      </c>
      <c r="E15" s="214" t="s">
        <v>973</v>
      </c>
      <c r="F15" s="402">
        <v>157.75252398843665</v>
      </c>
      <c r="G15" s="696">
        <f t="shared" si="0"/>
        <v>9.9999999999999995E-7</v>
      </c>
      <c r="H15" s="295">
        <v>1</v>
      </c>
      <c r="I15" s="656"/>
      <c r="K15" s="116"/>
      <c r="L15" s="214"/>
      <c r="M15" s="214" t="s">
        <v>1117</v>
      </c>
      <c r="N15" s="214">
        <v>2033</v>
      </c>
      <c r="O15" s="287">
        <v>8.0077874319897546</v>
      </c>
      <c r="Q15" s="18" t="str">
        <f>+L51</f>
        <v>PROF-CAM4</v>
      </c>
      <c r="R15" s="18" t="str">
        <f>+D12</f>
        <v>R-CAM4</v>
      </c>
      <c r="S15" s="698">
        <f>100%-S16</f>
        <v>0.98952880617307648</v>
      </c>
      <c r="U15" s="12" t="str">
        <f>+Q21</f>
        <v>PROF-CAM7</v>
      </c>
      <c r="V15" s="12" t="str">
        <v>FLU-CAM7</v>
      </c>
      <c r="W15" s="266">
        <f>100%-S22-(S21*'5. Data'!P105*'5. Data'!X105)</f>
        <v>0.97215672334890446</v>
      </c>
      <c r="X15" s="699"/>
      <c r="Y15" s="699" t="str">
        <v>PROF-CAM7</v>
      </c>
      <c r="Z15" s="380">
        <v>1</v>
      </c>
      <c r="AA15" s="699"/>
      <c r="AB15" s="656"/>
      <c r="AC15" s="699"/>
      <c r="AD15" s="116"/>
      <c r="AE15" s="12" t="str">
        <v>SEP-CAM7</v>
      </c>
      <c r="AF15" s="12" t="str">
        <v>FLU-CAM7</v>
      </c>
      <c r="AG15" s="228">
        <v>1</v>
      </c>
      <c r="AJ15" s="12" t="s">
        <v>132</v>
      </c>
      <c r="AK15" s="11">
        <f>100%-('5. Data'!O102-'5. Data'!S102)/('5. Data'!AH102-'5. Data'!S102)</f>
        <v>1</v>
      </c>
      <c r="AL15" s="702"/>
      <c r="AM15" s="19"/>
      <c r="AN15" s="12" t="str">
        <v>FTE-FUEL-GAS-CAM7</v>
      </c>
      <c r="AO15" s="12" t="str">
        <v>GAS-CAM7</v>
      </c>
      <c r="AP15" s="12" t="str">
        <v>FUEL-GAS-CAM7</v>
      </c>
      <c r="AQ15" s="228">
        <v>1</v>
      </c>
      <c r="AR15" s="19"/>
      <c r="AS15" s="703" t="str">
        <v>AUTO-GAS-CAM5</v>
      </c>
      <c r="AT15" s="2" t="str">
        <f>+AP13</f>
        <v>FUEL-GAS-CAM5</v>
      </c>
      <c r="AU15" s="703" t="str">
        <f>+COMM!D94</f>
        <v>ELC-CAM5</v>
      </c>
      <c r="AV15" s="322">
        <f t="array" ref="AV15:AV17">+TRANSPOSE('5. Data'!U212:W212)</f>
        <v>0.35</v>
      </c>
      <c r="AW15" s="370"/>
      <c r="AX15" s="19" t="str">
        <v>AUTO-GAS-CAM5</v>
      </c>
      <c r="AY15" s="370">
        <f t="array" ref="AY15:AY17">+TRANSPOSE('5. Data'!AA212:AC212)</f>
        <v>0.61324097015441748</v>
      </c>
      <c r="AZ15" s="19" t="s">
        <v>973</v>
      </c>
      <c r="BA15" s="19"/>
      <c r="BB15" s="19" t="str">
        <v>AUTO-COL-GAS-CAM5</v>
      </c>
      <c r="BC15" s="19" t="str">
        <v>FUEL-GAS-CAM5</v>
      </c>
      <c r="BD15" s="19" t="str">
        <f>+COMM!D142</f>
        <v>ELC-COL-CAM5</v>
      </c>
      <c r="BE15" s="19">
        <f t="array" ref="BE15:BE17">+TRANSPOSE('5. Data'!U224:W224)</f>
        <v>0.35</v>
      </c>
      <c r="BF15" s="19"/>
      <c r="BG15" s="19" t="str">
        <v>AUTO-COL-GAS-CAM5</v>
      </c>
      <c r="BH15" s="370">
        <f t="array" ref="BH15:BH17">+TRANSPOSE('5. Data'!Z224:AB224)</f>
        <v>2.8530442598399999E-2</v>
      </c>
      <c r="BI15" s="19" t="s">
        <v>973</v>
      </c>
      <c r="BJ15" s="19"/>
      <c r="BK15" s="43"/>
      <c r="BL15" s="116"/>
      <c r="BM15" s="14" t="str">
        <v>PLT-CAM7</v>
      </c>
      <c r="BN15" s="14" t="s">
        <v>973</v>
      </c>
      <c r="BO15" s="274">
        <v>0</v>
      </c>
      <c r="BQ15" s="231" t="str">
        <v>PLT-CAM7</v>
      </c>
      <c r="BR15" s="11" t="str">
        <f>(AO15)</f>
        <v>GAS-CAM7</v>
      </c>
      <c r="BS15" s="228">
        <v>1</v>
      </c>
      <c r="BU15" s="228" t="str">
        <f>+BM12</f>
        <v>PLT-CAM4</v>
      </c>
      <c r="BV15" s="228" t="str">
        <f>+COMM!D73</f>
        <v>GAS-plt-CAM4</v>
      </c>
      <c r="BW15" s="295">
        <f>100%-BW16</f>
        <v>1</v>
      </c>
      <c r="BX15" s="656"/>
      <c r="BZ15" s="712"/>
      <c r="CA15" s="12" t="str">
        <f>+PROCESS!N119</f>
        <v>COLELC-MOIL-CAM5</v>
      </c>
      <c r="CB15" s="12" t="s">
        <v>139</v>
      </c>
      <c r="CC15" s="708">
        <f>+CG12</f>
        <v>0.99789444272584837</v>
      </c>
      <c r="CD15" s="713"/>
      <c r="CE15" s="713"/>
      <c r="CF15" s="713"/>
      <c r="CG15" s="713"/>
      <c r="CH15" s="713"/>
      <c r="CI15" s="12" t="str">
        <f>+PROCESS!N114</f>
        <v>COLFUEL-MOIL-CAM5</v>
      </c>
      <c r="CJ15" s="12" t="s">
        <v>139</v>
      </c>
      <c r="CK15" s="708">
        <f>+CO12</f>
        <v>0.99736695124870345</v>
      </c>
      <c r="CP15" s="305"/>
      <c r="CR15" s="116"/>
      <c r="CS15" s="12" t="str">
        <f>+CW12</f>
        <v>COLELC-GAS-CAM4</v>
      </c>
      <c r="CT15" s="12" t="s">
        <v>101</v>
      </c>
      <c r="CU15" s="228"/>
      <c r="CW15" s="214" t="str">
        <f>+(PROCESS!N110)</f>
        <v>COLELC-GAS-CAM7</v>
      </c>
      <c r="CX15" s="12" t="s">
        <v>7</v>
      </c>
      <c r="CY15" s="314">
        <v>0.98873167284455521</v>
      </c>
      <c r="CZ15" s="708"/>
      <c r="DA15" s="12" t="str">
        <f>+DE12</f>
        <v>COLFUEL-GAS-CAM4</v>
      </c>
      <c r="DB15" s="12" t="s">
        <v>101</v>
      </c>
      <c r="DC15" s="228"/>
      <c r="DE15" s="214" t="str">
        <v>COLFUEL-GAS-CAM7</v>
      </c>
      <c r="DF15" s="12" t="s">
        <v>7</v>
      </c>
      <c r="DG15" s="314">
        <f t="shared" si="3"/>
        <v>0.98873167284455521</v>
      </c>
      <c r="DH15" s="656"/>
      <c r="DJ15" s="116"/>
      <c r="DN15" s="292"/>
      <c r="DQ15" s="14"/>
      <c r="DS15" s="292"/>
      <c r="DV15" s="14"/>
      <c r="DX15" s="292"/>
    </row>
    <row r="16" spans="1:128" x14ac:dyDescent="0.25">
      <c r="B16" s="116"/>
      <c r="I16" s="656"/>
      <c r="K16" s="116"/>
      <c r="L16" s="214"/>
      <c r="M16" s="214" t="s">
        <v>1117</v>
      </c>
      <c r="N16" s="214">
        <v>2035</v>
      </c>
      <c r="O16" s="287">
        <v>2.86729599242289</v>
      </c>
      <c r="Q16" s="18"/>
      <c r="R16" s="18" t="str">
        <f>+COMM!D93</f>
        <v>ELC-CAM4</v>
      </c>
      <c r="S16" s="698">
        <f>+'5. Data'!N124/(1+'5. Data'!N124)</f>
        <v>1.0471193826923495E-2</v>
      </c>
      <c r="X16" s="1"/>
      <c r="Y16" s="1"/>
      <c r="Z16" s="1"/>
      <c r="AA16" s="1"/>
      <c r="AB16" s="656"/>
      <c r="AC16" s="1"/>
      <c r="AD16" s="116"/>
      <c r="AI16" s="12" t="str">
        <f>+AE13</f>
        <v>SEP-CAM5</v>
      </c>
      <c r="AJ16" s="12" t="s">
        <v>106</v>
      </c>
      <c r="AK16" s="11">
        <f>+('5. Data'!O103-'5. Data'!S103)/('5. Data'!AH103-'5. Data'!S103)</f>
        <v>2.446633894781371E-2</v>
      </c>
      <c r="AL16" s="702"/>
      <c r="AM16" s="19"/>
      <c r="AN16" s="12" t="str">
        <v>FTE-FUEL-DSL-CAM1</v>
      </c>
      <c r="AO16" s="12" t="s">
        <v>14</v>
      </c>
      <c r="AP16" s="12" t="str" cm="1">
        <f t="array" ref="AP16:AP22">+COMM!D128:D134</f>
        <v>FUEL-DSL-CAM1</v>
      </c>
      <c r="AQ16" s="228">
        <v>1</v>
      </c>
      <c r="AR16" s="19"/>
      <c r="AS16" s="703" t="str">
        <v>AUTO-OIL-CAM5</v>
      </c>
      <c r="AT16" s="2" t="str">
        <f>+AP27</f>
        <v>FUEL-OIL-CAM5</v>
      </c>
      <c r="AU16" s="703" t="str">
        <f t="shared" ref="AU16:AU17" si="8">+AU15</f>
        <v>ELC-CAM5</v>
      </c>
      <c r="AV16" s="322">
        <v>0.35</v>
      </c>
      <c r="AW16" s="370"/>
      <c r="AX16" s="19" t="str">
        <v>AUTO-OIL-CAM5</v>
      </c>
      <c r="AY16" s="370">
        <v>1.3049984589915189</v>
      </c>
      <c r="AZ16" s="19" t="s">
        <v>973</v>
      </c>
      <c r="BA16" s="19"/>
      <c r="BB16" s="19" t="str">
        <v>AUTO-COL-OIL-CAM5</v>
      </c>
      <c r="BC16" s="19" t="str">
        <v>FUEL-OIL-CAM5</v>
      </c>
      <c r="BD16" s="19" t="str">
        <f t="shared" ref="BD16:BD17" si="9">+BD15</f>
        <v>ELC-COL-CAM5</v>
      </c>
      <c r="BE16" s="19">
        <v>0.35</v>
      </c>
      <c r="BF16" s="19"/>
      <c r="BG16" s="19" t="str">
        <v>AUTO-COL-OIL-CAM5</v>
      </c>
      <c r="BH16" s="370">
        <v>0.1141217703936</v>
      </c>
      <c r="BI16" s="19" t="s">
        <v>973</v>
      </c>
      <c r="BJ16" s="19"/>
      <c r="BK16" s="43"/>
      <c r="BL16" s="116"/>
      <c r="BU16" s="228"/>
      <c r="BV16" s="228" t="s">
        <v>22</v>
      </c>
      <c r="BW16" s="400">
        <f>+'5. Data'!R159</f>
        <v>0</v>
      </c>
      <c r="BX16" s="656"/>
      <c r="BZ16" s="707"/>
      <c r="CB16" s="11" t="str">
        <f>+DR13</f>
        <v>ELC-O-COL-CAM6</v>
      </c>
      <c r="CC16" s="708">
        <f>100%-CC15</f>
        <v>2.105557274151626E-3</v>
      </c>
      <c r="CD16" s="309"/>
      <c r="CE16" s="309"/>
      <c r="CF16" s="309"/>
      <c r="CG16" s="309"/>
      <c r="CH16" s="309"/>
      <c r="CJ16" s="11" t="str">
        <f>+BD16</f>
        <v>ELC-COL-CAM5</v>
      </c>
      <c r="CK16" s="708">
        <f>100%-CK15</f>
        <v>2.6330487512965517E-3</v>
      </c>
      <c r="CP16" s="305"/>
      <c r="CR16" s="116"/>
      <c r="CT16" s="11" t="s">
        <v>144</v>
      </c>
      <c r="CU16" s="228"/>
      <c r="CZ16" s="1"/>
      <c r="DB16" s="11" t="str">
        <f>+BV15</f>
        <v>GAS-plt-CAM4</v>
      </c>
      <c r="DC16" s="228"/>
      <c r="DH16" s="656"/>
      <c r="DJ16" s="116"/>
    </row>
    <row r="17" spans="2:127" x14ac:dyDescent="0.25">
      <c r="B17" s="116"/>
      <c r="F17" s="231"/>
      <c r="I17" s="656"/>
      <c r="K17" s="116"/>
      <c r="L17" s="214"/>
      <c r="M17" s="214" t="s">
        <v>1117</v>
      </c>
      <c r="N17" s="214">
        <v>2037</v>
      </c>
      <c r="O17" s="287">
        <v>2.3371052350566992</v>
      </c>
      <c r="Q17" s="18" t="str">
        <f>+L65</f>
        <v>PROF-CAM5</v>
      </c>
      <c r="R17" s="18" t="str">
        <f>+D13</f>
        <v>R-CAM5</v>
      </c>
      <c r="S17" s="698">
        <f>100%-S18</f>
        <v>0.98952880617307648</v>
      </c>
      <c r="X17" s="1"/>
      <c r="Y17" s="1"/>
      <c r="Z17" s="1"/>
      <c r="AA17" s="1"/>
      <c r="AB17" s="656"/>
      <c r="AC17" s="1"/>
      <c r="AD17" s="116"/>
      <c r="AJ17" s="12" t="s">
        <v>139</v>
      </c>
      <c r="AK17" s="11">
        <f>100%-AK16</f>
        <v>0.97553366105218631</v>
      </c>
      <c r="AL17" s="702"/>
      <c r="AM17" s="19"/>
      <c r="AN17" s="12" t="str">
        <v>FTE-FUEL-DSL-CAM2</v>
      </c>
      <c r="AO17" s="12" t="s">
        <v>14</v>
      </c>
      <c r="AP17" t="str">
        <v>FUEL-DSL-CAM2</v>
      </c>
      <c r="AQ17" s="228">
        <v>1</v>
      </c>
      <c r="AR17" s="19"/>
      <c r="AS17" s="703" t="str">
        <v>AUTO-DSL-CAM5</v>
      </c>
      <c r="AT17" s="2" t="str">
        <f>+AP20</f>
        <v>FUEL-DSL-CAM5</v>
      </c>
      <c r="AU17" s="703" t="str">
        <f t="shared" si="8"/>
        <v>ELC-CAM5</v>
      </c>
      <c r="AV17" s="322">
        <v>0.35</v>
      </c>
      <c r="AW17" s="370"/>
      <c r="AX17" s="19" t="str">
        <v>AUTO-DSL-CAM5</v>
      </c>
      <c r="AY17" s="370">
        <v>0.61672895037406383</v>
      </c>
      <c r="AZ17" s="19" t="s">
        <v>973</v>
      </c>
      <c r="BA17" s="19"/>
      <c r="BB17" s="19" t="str">
        <v>AUTO-COL-DSL-CAM5</v>
      </c>
      <c r="BC17" s="19" t="str">
        <v>FUEL-DSL-CAM5</v>
      </c>
      <c r="BD17" s="19" t="str">
        <f t="shared" si="9"/>
        <v>ELC-COL-CAM5</v>
      </c>
      <c r="BE17" s="19">
        <v>0.35</v>
      </c>
      <c r="BF17" s="19"/>
      <c r="BG17" s="19" t="str">
        <v>AUTO-COL-DSL-CAM5</v>
      </c>
      <c r="BH17" s="370">
        <v>0.21397831948799997</v>
      </c>
      <c r="BI17" s="19" t="s">
        <v>973</v>
      </c>
      <c r="BJ17" s="19"/>
      <c r="BK17" s="43"/>
      <c r="BL17" s="116"/>
      <c r="BU17" s="228" t="str">
        <f>+BM13</f>
        <v>PLT-CAM5</v>
      </c>
      <c r="BV17" s="228" t="str">
        <f>+COMM!D74</f>
        <v>GAS-plt-CAM5</v>
      </c>
      <c r="BW17" s="295">
        <f>100%-BW18</f>
        <v>1</v>
      </c>
      <c r="BX17" s="656"/>
      <c r="BZ17" s="707"/>
      <c r="CA17" s="12" t="str">
        <f>+PROCESS!N120</f>
        <v>COLELC-MOIL-CAM6</v>
      </c>
      <c r="CB17" s="12" t="s">
        <v>140</v>
      </c>
      <c r="CC17" s="708">
        <f>+CG13</f>
        <v>0.99789444272584837</v>
      </c>
      <c r="CD17" s="309"/>
      <c r="CE17" s="309"/>
      <c r="CF17" s="309"/>
      <c r="CG17" s="309"/>
      <c r="CH17" s="309"/>
      <c r="CI17" s="12" t="str">
        <f>+PROCESS!N115</f>
        <v>COLFUEL-MOIL-CAM6</v>
      </c>
      <c r="CJ17" s="12" t="s">
        <v>140</v>
      </c>
      <c r="CK17" s="708">
        <f>+CO13</f>
        <v>0.99736695124870345</v>
      </c>
      <c r="CP17" s="305"/>
      <c r="CR17" s="116"/>
      <c r="CS17" s="12" t="str">
        <f>+CW13</f>
        <v>COLELC-GAS-CAM5</v>
      </c>
      <c r="CT17" s="12" t="s">
        <v>106</v>
      </c>
      <c r="CU17" s="228"/>
      <c r="CZ17" s="1"/>
      <c r="DA17" s="12" t="str">
        <f>+DE13</f>
        <v>COLFUEL-GAS-CAM5</v>
      </c>
      <c r="DB17" s="12" t="s">
        <v>106</v>
      </c>
      <c r="DC17" s="228"/>
      <c r="DH17" s="656"/>
      <c r="DJ17" s="116"/>
    </row>
    <row r="18" spans="2:127" x14ac:dyDescent="0.25">
      <c r="B18" s="116"/>
      <c r="I18" s="656"/>
      <c r="K18" s="116"/>
      <c r="L18" s="214"/>
      <c r="M18" s="214" t="s">
        <v>1117</v>
      </c>
      <c r="N18" s="214">
        <v>2040</v>
      </c>
      <c r="O18" s="287">
        <v>1.5418190990073675</v>
      </c>
      <c r="Q18" s="18"/>
      <c r="R18" s="18" t="str">
        <f>+COMM!D94</f>
        <v>ELC-CAM5</v>
      </c>
      <c r="S18" s="698">
        <f>+'5. Data'!N125/(1+'5. Data'!N125)</f>
        <v>1.0471193826923495E-2</v>
      </c>
      <c r="U18" s="14"/>
      <c r="V18" s="14" t="s">
        <v>556</v>
      </c>
      <c r="X18" s="1"/>
      <c r="Y18" s="1"/>
      <c r="Z18" s="1"/>
      <c r="AA18" s="1"/>
      <c r="AB18" s="656"/>
      <c r="AC18" s="1"/>
      <c r="AD18" s="116"/>
      <c r="AI18" s="12" t="str">
        <f>+AE14</f>
        <v>SEP-CAM6</v>
      </c>
      <c r="AJ18" s="12" t="s">
        <v>111</v>
      </c>
      <c r="AK18" s="11">
        <f>+('5. Data'!O104-'5. Data'!S104)/('5. Data'!AH104-'5. Data'!S104)</f>
        <v>4.1419278412092878E-2</v>
      </c>
      <c r="AL18" s="702"/>
      <c r="AM18" s="19"/>
      <c r="AN18" s="12" t="str">
        <v>FTE-FUEL-DSL-CAM3</v>
      </c>
      <c r="AO18" s="12" t="s">
        <v>14</v>
      </c>
      <c r="AP18" t="str">
        <v>FUEL-DSL-CAM3</v>
      </c>
      <c r="AQ18" s="228">
        <v>1</v>
      </c>
      <c r="AR18" s="19"/>
      <c r="AS18" s="703" t="str">
        <v>AUTO-GAS-CAM6</v>
      </c>
      <c r="AT18" s="2" t="str">
        <f>+AP14</f>
        <v>FUEL-GAS-CAM6</v>
      </c>
      <c r="AU18" s="703" t="str">
        <f>+COMM!D95</f>
        <v>ELC-CAM6</v>
      </c>
      <c r="AV18" s="322">
        <f t="array" ref="AV18:AV20">+TRANSPOSE('5. Data'!U213:W213)</f>
        <v>0.35</v>
      </c>
      <c r="AW18" s="370"/>
      <c r="AX18" s="19" t="str">
        <v>AUTO-GAS-CAM6</v>
      </c>
      <c r="AY18" s="370">
        <f t="array" ref="AY18:AY20">+TRANSPOSE('5. Data'!AA213:AC213)</f>
        <v>7.2015258812680727E-2</v>
      </c>
      <c r="AZ18" s="19" t="s">
        <v>973</v>
      </c>
      <c r="BA18" s="19"/>
      <c r="BB18" s="19" t="str">
        <v>AUTO-COL-GAS-CAM6</v>
      </c>
      <c r="BC18" s="19" t="str">
        <v>FUEL-GAS-CAM6</v>
      </c>
      <c r="BD18" s="19" t="str">
        <f>+COMM!D143</f>
        <v>ELC-COL-CAM6</v>
      </c>
      <c r="BE18" s="19">
        <f t="array" ref="BE18:BE20">+TRANSPOSE('5. Data'!U225:W225)</f>
        <v>0.35</v>
      </c>
      <c r="BF18" s="19"/>
      <c r="BG18" s="19" t="str">
        <v>AUTO-COL-GAS-CAM6</v>
      </c>
      <c r="BH18" s="370">
        <f t="array" ref="BH18:BH20">+TRANSPOSE('5. Data'!Z225:AB225)</f>
        <v>1.1095172121600003E-2</v>
      </c>
      <c r="BI18" s="19" t="s">
        <v>973</v>
      </c>
      <c r="BJ18" s="19"/>
      <c r="BK18" s="43"/>
      <c r="BL18" s="116"/>
      <c r="BU18" s="228"/>
      <c r="BV18" s="228" t="s">
        <v>22</v>
      </c>
      <c r="BW18" s="400">
        <f>+'5. Data'!R160</f>
        <v>0</v>
      </c>
      <c r="BX18" s="656"/>
      <c r="BZ18" s="707"/>
      <c r="CB18" s="11" t="str">
        <f>+DR14</f>
        <v>ELC-O-COL-CAM7</v>
      </c>
      <c r="CC18" s="708">
        <f>100%-CC17</f>
        <v>2.105557274151626E-3</v>
      </c>
      <c r="CD18" s="309"/>
      <c r="CE18" s="309"/>
      <c r="CF18" s="309"/>
      <c r="CG18" s="309"/>
      <c r="CH18" s="309"/>
      <c r="CJ18" s="11" t="str">
        <f>+BD20</f>
        <v>ELC-COL-CAM6</v>
      </c>
      <c r="CK18" s="708">
        <f>100%-CK17</f>
        <v>2.6330487512965517E-3</v>
      </c>
      <c r="CP18" s="305"/>
      <c r="CR18" s="116"/>
      <c r="CT18" s="11" t="s">
        <v>145</v>
      </c>
      <c r="CU18" s="228"/>
      <c r="CZ18" s="1"/>
      <c r="DB18" s="11" t="str">
        <f>+BV17</f>
        <v>GAS-plt-CAM5</v>
      </c>
      <c r="DC18" s="228"/>
      <c r="DH18" s="656"/>
      <c r="DJ18" s="116"/>
      <c r="DM18" s="12" t="s">
        <v>556</v>
      </c>
    </row>
    <row r="19" spans="2:127" x14ac:dyDescent="0.25">
      <c r="B19" s="116"/>
      <c r="I19" s="656"/>
      <c r="K19" s="116"/>
      <c r="L19" s="214"/>
      <c r="M19" s="214" t="s">
        <v>1117</v>
      </c>
      <c r="N19" s="214">
        <v>2043</v>
      </c>
      <c r="O19" s="287">
        <v>0.74653296295810601</v>
      </c>
      <c r="Q19" s="18" t="str">
        <f>+L79</f>
        <v>PROF-CAM6</v>
      </c>
      <c r="R19" s="18" t="str">
        <f>+D14</f>
        <v>R-CAM6</v>
      </c>
      <c r="S19" s="698">
        <f>100%-S20</f>
        <v>0.98952880617307648</v>
      </c>
      <c r="U19" s="14" t="s">
        <v>1573</v>
      </c>
      <c r="V19" s="365">
        <f>+'Bases de Cálculo'!G6</f>
        <v>55.539114956987063</v>
      </c>
      <c r="X19" s="1"/>
      <c r="Y19" s="1"/>
      <c r="Z19" s="1"/>
      <c r="AA19" s="1"/>
      <c r="AB19" s="656"/>
      <c r="AC19" s="1"/>
      <c r="AD19" s="116"/>
      <c r="AJ19" s="12" t="s">
        <v>140</v>
      </c>
      <c r="AK19" s="11">
        <f>100%-AK18</f>
        <v>0.95858072158790708</v>
      </c>
      <c r="AL19" s="702"/>
      <c r="AM19" s="19"/>
      <c r="AN19" s="12" t="str">
        <v>FTE-FUEL-DSL-CAM4</v>
      </c>
      <c r="AO19" s="12" t="s">
        <v>14</v>
      </c>
      <c r="AP19" t="str">
        <v>FUEL-DSL-CAM4</v>
      </c>
      <c r="AQ19" s="228">
        <v>1</v>
      </c>
      <c r="AR19" s="19"/>
      <c r="AS19" s="703" t="str">
        <v>AUTO-OIL-CAM6</v>
      </c>
      <c r="AT19" s="2" t="str">
        <f>+AP28</f>
        <v>FUEL-OIL-CAM6</v>
      </c>
      <c r="AU19" s="703" t="str">
        <f t="shared" ref="AU19:AU20" si="10">+AU18</f>
        <v>ELC-CAM6</v>
      </c>
      <c r="AV19" s="322">
        <v>0.35</v>
      </c>
      <c r="AW19" s="370"/>
      <c r="AX19" s="19" t="str">
        <v>AUTO-OIL-CAM6</v>
      </c>
      <c r="AY19" s="370">
        <v>0.62054333297305764</v>
      </c>
      <c r="AZ19" s="19" t="s">
        <v>973</v>
      </c>
      <c r="BA19" s="19"/>
      <c r="BB19" s="19" t="str">
        <v>AUTO-COL-OIL-CAM6</v>
      </c>
      <c r="BC19" s="19" t="str">
        <v>FUEL-OIL-CAM6</v>
      </c>
      <c r="BD19" s="19" t="str">
        <f t="shared" ref="BD19:BD20" si="11">+BD18</f>
        <v>ELC-COL-CAM6</v>
      </c>
      <c r="BE19" s="19">
        <v>0.35</v>
      </c>
      <c r="BF19" s="19"/>
      <c r="BG19" s="19" t="str">
        <v>AUTO-COL-OIL-CAM6</v>
      </c>
      <c r="BH19" s="370">
        <v>4.4380688486400012E-2</v>
      </c>
      <c r="BI19" s="19" t="s">
        <v>973</v>
      </c>
      <c r="BJ19" s="19"/>
      <c r="BK19" s="43"/>
      <c r="BL19" s="116"/>
      <c r="BU19" s="711" t="str">
        <f>+BM14</f>
        <v>PLT-CAM6</v>
      </c>
      <c r="BV19" s="309" t="str">
        <f>+COMM!D75</f>
        <v>GAS-plt-CAM6</v>
      </c>
      <c r="BW19" s="295">
        <f>100%-BW20</f>
        <v>0.60654715356213063</v>
      </c>
      <c r="BX19" s="656"/>
      <c r="BZ19" s="707"/>
      <c r="CA19" s="309"/>
      <c r="CB19" s="309"/>
      <c r="CC19" s="309"/>
      <c r="CD19" s="309"/>
      <c r="CE19" s="309"/>
      <c r="CF19" s="309"/>
      <c r="CG19" s="309"/>
      <c r="CH19" s="309"/>
      <c r="CI19" s="1"/>
      <c r="CJ19" s="1"/>
      <c r="CK19" s="1"/>
      <c r="CP19" s="305"/>
      <c r="CR19" s="116"/>
      <c r="CS19" s="12" t="str">
        <f>+CW14</f>
        <v>COLELC-GAS-CAM6</v>
      </c>
      <c r="CT19" s="12" t="s">
        <v>111</v>
      </c>
      <c r="CU19" s="228"/>
      <c r="CZ19" s="1"/>
      <c r="DA19" s="12" t="str">
        <f>+DE14</f>
        <v>COLFUEL-GAS-CAM6</v>
      </c>
      <c r="DB19" s="12" t="s">
        <v>111</v>
      </c>
      <c r="DC19" s="228"/>
      <c r="DH19" s="656"/>
      <c r="DJ19" s="116"/>
    </row>
    <row r="20" spans="2:127" x14ac:dyDescent="0.25">
      <c r="B20" s="116"/>
      <c r="I20" s="656"/>
      <c r="K20" s="116"/>
      <c r="L20" s="214"/>
      <c r="M20" s="214" t="s">
        <v>1117</v>
      </c>
      <c r="N20" s="214">
        <v>2045</v>
      </c>
      <c r="O20" s="287">
        <v>0.21634220559186546</v>
      </c>
      <c r="Q20" s="18"/>
      <c r="R20" s="18" t="str">
        <f>+COMM!D95</f>
        <v>ELC-CAM6</v>
      </c>
      <c r="S20" s="698">
        <f>+'5. Data'!N126/(1+'5. Data'!N126)</f>
        <v>1.0471193826923495E-2</v>
      </c>
      <c r="X20" s="1"/>
      <c r="Y20" s="1"/>
      <c r="Z20" s="1"/>
      <c r="AA20" s="1"/>
      <c r="AB20" s="656"/>
      <c r="AC20" s="1"/>
      <c r="AD20" s="116"/>
      <c r="AI20" s="12" t="str">
        <f>+AE15</f>
        <v>SEP-CAM7</v>
      </c>
      <c r="AJ20" s="12" t="str">
        <f>+COMM!D36</f>
        <v>GAS-CAM7</v>
      </c>
      <c r="AK20" s="11">
        <f>+('5. Data'!O105-'5. Data'!S105)/('5. Data'!AH105-'5. Data'!S105)</f>
        <v>0.99447612945601149</v>
      </c>
      <c r="AL20" s="656"/>
      <c r="AM20" s="1"/>
      <c r="AN20" s="12" t="str">
        <v>FTE-FUEL-DSL-CAM5</v>
      </c>
      <c r="AO20" s="12" t="s">
        <v>14</v>
      </c>
      <c r="AP20" t="str">
        <v>FUEL-DSL-CAM5</v>
      </c>
      <c r="AQ20" s="228">
        <v>1</v>
      </c>
      <c r="AR20" s="1"/>
      <c r="AS20" s="703" t="str">
        <v>AUTO-DSL-CAM6</v>
      </c>
      <c r="AT20" s="2" t="str">
        <f>+AP21</f>
        <v>FUEL-DSL-CAM6</v>
      </c>
      <c r="AU20" s="703" t="str">
        <f t="shared" si="10"/>
        <v>ELC-CAM6</v>
      </c>
      <c r="AV20" s="322">
        <v>0.35</v>
      </c>
      <c r="AW20" s="370"/>
      <c r="AX20" s="19" t="str">
        <v>AUTO-DSL-CAM6</v>
      </c>
      <c r="AY20" s="370">
        <v>0.29326244469426171</v>
      </c>
      <c r="AZ20" s="19" t="s">
        <v>973</v>
      </c>
      <c r="BA20" s="19"/>
      <c r="BB20" s="19" t="str">
        <v>AUTO-COL-DSL-CAM6</v>
      </c>
      <c r="BC20" s="19" t="str">
        <v>FUEL-DSL-CAM6</v>
      </c>
      <c r="BD20" s="19" t="str">
        <f t="shared" si="11"/>
        <v>ELC-COL-CAM6</v>
      </c>
      <c r="BE20" s="19">
        <v>0.35</v>
      </c>
      <c r="BF20" s="19"/>
      <c r="BG20" s="19" t="str">
        <v>AUTO-COL-DSL-CAM6</v>
      </c>
      <c r="BH20" s="370">
        <v>8.3213790912000027E-2</v>
      </c>
      <c r="BI20" s="19" t="s">
        <v>973</v>
      </c>
      <c r="BJ20" s="1"/>
      <c r="BK20" s="43"/>
      <c r="BL20" s="116"/>
      <c r="BU20" s="228"/>
      <c r="BV20" s="228" t="s">
        <v>22</v>
      </c>
      <c r="BW20" s="400">
        <f>+'5. Data'!R161</f>
        <v>0.39345284643786937</v>
      </c>
      <c r="BX20" s="656"/>
      <c r="BZ20" s="707"/>
      <c r="CA20" s="309"/>
      <c r="CB20" s="309"/>
      <c r="CC20" s="309"/>
      <c r="CD20" s="309"/>
      <c r="CE20" s="309"/>
      <c r="CF20" s="309"/>
      <c r="CG20" s="309"/>
      <c r="CH20" s="309"/>
      <c r="CI20" s="1"/>
      <c r="CJ20" s="1"/>
      <c r="CK20" s="1"/>
      <c r="CP20" s="305"/>
      <c r="CR20" s="116"/>
      <c r="CT20" s="11" t="s">
        <v>146</v>
      </c>
      <c r="CU20" s="228"/>
      <c r="CZ20" s="1"/>
      <c r="DB20" s="11" t="str">
        <f>+BV21</f>
        <v>GAS-plt-CAM7</v>
      </c>
      <c r="DC20" s="228"/>
      <c r="DH20" s="656"/>
      <c r="DJ20" s="116"/>
      <c r="DK20" s="381" t="s">
        <v>880</v>
      </c>
      <c r="DP20" s="381" t="s">
        <v>880</v>
      </c>
      <c r="DU20" s="381" t="s">
        <v>880</v>
      </c>
    </row>
    <row r="21" spans="2:127" ht="15.75" customHeight="1" x14ac:dyDescent="0.25">
      <c r="B21" s="116"/>
      <c r="I21" s="656"/>
      <c r="K21" s="116"/>
      <c r="L21" s="214"/>
      <c r="M21" s="214" t="s">
        <v>1117</v>
      </c>
      <c r="N21" s="214">
        <v>2047</v>
      </c>
      <c r="O21" s="287">
        <v>0</v>
      </c>
      <c r="Q21" s="18" t="str">
        <f>+L93</f>
        <v>PROF-CAM7</v>
      </c>
      <c r="R21" s="12" t="str">
        <f>+D15</f>
        <v>R-CAM7</v>
      </c>
      <c r="S21" s="698">
        <f>100%-S22</f>
        <v>0.98952880617307648</v>
      </c>
      <c r="X21" s="1"/>
      <c r="Y21" s="1"/>
      <c r="Z21" s="1"/>
      <c r="AA21" s="1"/>
      <c r="AB21" s="656"/>
      <c r="AC21" s="1"/>
      <c r="AD21" s="116"/>
      <c r="AJ21" s="12" t="str">
        <f>+COMM!D46</f>
        <v>LOIL-CAM7</v>
      </c>
      <c r="AK21" s="11">
        <f>100%-AK20</f>
        <v>5.5238705439885072E-3</v>
      </c>
      <c r="AL21" s="656"/>
      <c r="AM21" s="1"/>
      <c r="AN21" s="12" t="str">
        <v>FTE-FUEL-DSL-CAM6</v>
      </c>
      <c r="AO21" s="12" t="s">
        <v>14</v>
      </c>
      <c r="AP21" t="str">
        <v>FUEL-DSL-CAM6</v>
      </c>
      <c r="AQ21" s="228">
        <v>1</v>
      </c>
      <c r="AR21" s="1"/>
      <c r="AS21" s="703" t="str">
        <v>AUTO-GAS-CAM7</v>
      </c>
      <c r="AT21" s="2" t="str">
        <f>+AP15</f>
        <v>FUEL-GAS-CAM7</v>
      </c>
      <c r="AU21" s="703" t="str">
        <f>+COMM!D96</f>
        <v>ELC-CAM7</v>
      </c>
      <c r="AV21" s="322">
        <f t="array" ref="AV21:AV23">+TRANSPOSE('5. Data'!U214:W214)</f>
        <v>0.35</v>
      </c>
      <c r="AW21" s="370"/>
      <c r="AX21" s="19" t="str">
        <v>AUTO-GAS-CAM7</v>
      </c>
      <c r="AY21" s="370">
        <f t="array" ref="AY21:AY23">+TRANSPOSE('5. Data'!AA214:AC214)</f>
        <v>8.0173996489854554E-3</v>
      </c>
      <c r="AZ21" s="19" t="s">
        <v>973</v>
      </c>
      <c r="BA21" s="19"/>
      <c r="BB21" s="19" t="str">
        <v>AUTO-COL-GAS-CAM7</v>
      </c>
      <c r="BC21" s="19" t="str">
        <v>FUEL-GAS-CAM7</v>
      </c>
      <c r="BD21" s="19" t="str">
        <f>+COMM!D144</f>
        <v>ELC-COL-CAM7</v>
      </c>
      <c r="BE21" s="19">
        <f t="array" ref="BE21:BE23">+TRANSPOSE('5. Data'!U226:W226)</f>
        <v>0.35</v>
      </c>
      <c r="BF21" s="19"/>
      <c r="BG21" s="19" t="str">
        <v>AUTO-COL-GAS-CAM7</v>
      </c>
      <c r="BH21" s="370">
        <f t="array" ref="BH21:BH23">+TRANSPOSE('5. Data'!Z226:AB226)</f>
        <v>3.1700491776000001E-3</v>
      </c>
      <c r="BI21" s="19" t="s">
        <v>973</v>
      </c>
      <c r="BJ21" s="1"/>
      <c r="BK21" s="43"/>
      <c r="BL21" s="116"/>
      <c r="BU21" s="228" t="str">
        <f>+BM15</f>
        <v>PLT-CAM7</v>
      </c>
      <c r="BV21" s="228" t="str">
        <f>+COMM!D76</f>
        <v>GAS-plt-CAM7</v>
      </c>
      <c r="BW21" s="295">
        <f>100%-BW22</f>
        <v>1</v>
      </c>
      <c r="BX21" s="656"/>
      <c r="BZ21" s="707"/>
      <c r="CA21" s="309"/>
      <c r="CB21" s="309"/>
      <c r="CC21" s="309"/>
      <c r="CD21" s="309"/>
      <c r="CE21" s="309"/>
      <c r="CF21" s="309"/>
      <c r="CG21" s="309"/>
      <c r="CH21" s="309"/>
      <c r="CP21" s="305"/>
      <c r="CR21" s="116"/>
      <c r="CS21" s="12" t="str">
        <f>+CW15</f>
        <v>COLELC-GAS-CAM7</v>
      </c>
      <c r="CT21" s="12" t="s">
        <v>116</v>
      </c>
      <c r="CU21" s="228"/>
      <c r="CZ21" s="1"/>
      <c r="DA21" s="12" t="str">
        <f>+DE15</f>
        <v>COLFUEL-GAS-CAM7</v>
      </c>
      <c r="DB21" s="12" t="s">
        <v>116</v>
      </c>
      <c r="DC21" s="228"/>
      <c r="DH21" s="656"/>
      <c r="DJ21" s="116"/>
      <c r="DK21" s="337" t="s">
        <v>312</v>
      </c>
      <c r="DL21" s="337" t="s">
        <v>882</v>
      </c>
      <c r="DM21" s="337" t="s">
        <v>1056</v>
      </c>
      <c r="DP21" s="337" t="s">
        <v>312</v>
      </c>
      <c r="DQ21" s="337" t="s">
        <v>882</v>
      </c>
      <c r="DR21" s="337" t="s">
        <v>1056</v>
      </c>
      <c r="DU21" s="337" t="s">
        <v>312</v>
      </c>
      <c r="DV21" s="337" t="s">
        <v>882</v>
      </c>
      <c r="DW21" s="337" t="s">
        <v>1056</v>
      </c>
    </row>
    <row r="22" spans="2:127" ht="15.75" customHeight="1" x14ac:dyDescent="0.25">
      <c r="B22" s="116"/>
      <c r="I22" s="656"/>
      <c r="K22" s="116"/>
      <c r="L22" s="214"/>
      <c r="M22" s="214" t="s">
        <v>1117</v>
      </c>
      <c r="N22" s="214">
        <v>2050</v>
      </c>
      <c r="O22" s="287">
        <v>0</v>
      </c>
      <c r="R22" s="18" t="str">
        <f>+COMM!D96</f>
        <v>ELC-CAM7</v>
      </c>
      <c r="S22" s="698">
        <f>+'5. Data'!N127/(1+'5. Data'!N127)</f>
        <v>1.0471193826923495E-2</v>
      </c>
      <c r="X22" s="1"/>
      <c r="Y22" s="1"/>
      <c r="Z22" s="1"/>
      <c r="AA22" s="1"/>
      <c r="AB22" s="656"/>
      <c r="AC22" s="1"/>
      <c r="AD22" s="116"/>
      <c r="AL22" s="656"/>
      <c r="AM22" s="1"/>
      <c r="AN22" s="12" t="str">
        <v>FTE-FUEL-DSL-CAM7</v>
      </c>
      <c r="AO22" s="12" t="s">
        <v>14</v>
      </c>
      <c r="AP22" t="str">
        <v>FUEL-DSL-CAM7</v>
      </c>
      <c r="AQ22" s="228">
        <v>1</v>
      </c>
      <c r="AR22" s="1"/>
      <c r="AS22" s="703" t="str">
        <v>AUTO-OIL-CAM7</v>
      </c>
      <c r="AT22" s="2" t="str">
        <f>+AP29</f>
        <v>FUEL-OIL-CAM7</v>
      </c>
      <c r="AU22" s="703" t="str">
        <f t="shared" ref="AU22:AU23" si="12">+AU21</f>
        <v>ELC-CAM7</v>
      </c>
      <c r="AV22" s="322">
        <v>0.35</v>
      </c>
      <c r="AW22" s="370"/>
      <c r="AX22" s="19" t="str">
        <v>AUTO-OIL-CAM7</v>
      </c>
      <c r="AY22" s="370">
        <v>0</v>
      </c>
      <c r="AZ22" s="19" t="s">
        <v>973</v>
      </c>
      <c r="BA22" s="19"/>
      <c r="BB22" s="19" t="str">
        <v>AUTO-COL-OIL-CAM7</v>
      </c>
      <c r="BC22" s="19" t="str">
        <v>FUEL-OIL-CAM7</v>
      </c>
      <c r="BD22" s="19" t="str">
        <f t="shared" ref="BD22:BD23" si="13">+BD21</f>
        <v>ELC-COL-CAM7</v>
      </c>
      <c r="BE22" s="19">
        <v>0.35</v>
      </c>
      <c r="BF22" s="19"/>
      <c r="BG22" s="19" t="str">
        <v>AUTO-COL-OIL-CAM7</v>
      </c>
      <c r="BH22" s="370">
        <v>1.26801967104E-2</v>
      </c>
      <c r="BI22" s="19" t="s">
        <v>973</v>
      </c>
      <c r="BJ22" s="1"/>
      <c r="BK22" s="43"/>
      <c r="BL22" s="116"/>
      <c r="BU22" s="309"/>
      <c r="BV22" s="309" t="s">
        <v>22</v>
      </c>
      <c r="BW22" s="400">
        <f>+'5. Data'!R162</f>
        <v>0</v>
      </c>
      <c r="BX22" s="656"/>
      <c r="BZ22" s="707"/>
      <c r="CA22" s="309"/>
      <c r="CB22" s="309"/>
      <c r="CC22" s="309"/>
      <c r="CD22" s="309"/>
      <c r="CE22" s="309"/>
      <c r="CF22" s="309"/>
      <c r="CG22" s="309"/>
      <c r="CH22" s="309"/>
      <c r="CM22" s="381" t="s">
        <v>880</v>
      </c>
      <c r="CP22" s="305"/>
      <c r="CR22" s="116"/>
      <c r="CS22" s="283"/>
      <c r="CT22" s="11" t="s">
        <v>146</v>
      </c>
      <c r="CU22" s="228"/>
      <c r="CZ22" s="1"/>
      <c r="DA22" s="283"/>
      <c r="DB22" s="11" t="str">
        <f>+BV21</f>
        <v>GAS-plt-CAM7</v>
      </c>
      <c r="DC22" s="228"/>
      <c r="DH22" s="656"/>
      <c r="DJ22" s="116"/>
      <c r="DK22" s="12" t="str">
        <f>+(DK9)</f>
        <v>COMPRA-ELC-CAM1</v>
      </c>
      <c r="DL22" s="12" t="s">
        <v>1574</v>
      </c>
      <c r="DM22" s="222">
        <f>+'3. Scope3'!$G$19</f>
        <v>46.111111111111114</v>
      </c>
      <c r="DP22" s="12" t="str">
        <f t="array" ref="DP22:DP27">+DP9:DP14</f>
        <v>COMPRA-ELC-COLO-CAM1</v>
      </c>
      <c r="DQ22" s="12" t="s">
        <v>1574</v>
      </c>
      <c r="DR22" s="222">
        <f>+'3. Scope3'!$G$19</f>
        <v>46.111111111111114</v>
      </c>
      <c r="DU22" s="12" t="str">
        <f t="array" ref="DU22:DU27">+DU9:DU14</f>
        <v>COMPRA-ELC-COLG-CAM1</v>
      </c>
      <c r="DV22" s="12" t="s">
        <v>1574</v>
      </c>
      <c r="DW22" s="222">
        <f>+'3. Scope3'!$G$19</f>
        <v>46.111111111111114</v>
      </c>
    </row>
    <row r="23" spans="2:127" ht="15.75" customHeight="1" x14ac:dyDescent="0.25">
      <c r="B23" s="116"/>
      <c r="I23" s="656"/>
      <c r="K23" s="116"/>
      <c r="L23" s="214" t="str">
        <f>+PROCESS!N25</f>
        <v>PROF-CAM2</v>
      </c>
      <c r="M23" s="214" t="s">
        <v>1117</v>
      </c>
      <c r="N23" s="214">
        <v>2019</v>
      </c>
      <c r="O23" s="287">
        <f t="array" ref="O23:O36">+TRANSPOSE('5. Data'!AI100:AV100)</f>
        <v>363.68563536317856</v>
      </c>
      <c r="U23" s="381" t="s">
        <v>880</v>
      </c>
      <c r="X23" s="1"/>
      <c r="Y23" s="1"/>
      <c r="Z23" s="1"/>
      <c r="AA23" s="1"/>
      <c r="AB23" s="656"/>
      <c r="AC23" s="1"/>
      <c r="AD23" s="116"/>
      <c r="AL23" s="656"/>
      <c r="AM23" s="1"/>
      <c r="AN23" s="12" t="str">
        <v>FTE-FUEL-OIL-CAM1</v>
      </c>
      <c r="AO23" s="12" t="s">
        <v>13</v>
      </c>
      <c r="AP23" s="12" t="str">
        <f t="array" ref="AP23:AP29">+COMM!D121:D127</f>
        <v>FUEL-OIL-CAM1</v>
      </c>
      <c r="AQ23" s="228">
        <v>1</v>
      </c>
      <c r="AR23" s="1"/>
      <c r="AS23" s="703" t="str">
        <v>AUTO-DSL-CAM7</v>
      </c>
      <c r="AT23" s="2" t="str">
        <f>+AP22</f>
        <v>FUEL-DSL-CAM7</v>
      </c>
      <c r="AU23" s="703" t="str">
        <f t="shared" si="12"/>
        <v>ELC-CAM7</v>
      </c>
      <c r="AV23" s="322">
        <v>0.35</v>
      </c>
      <c r="AW23" s="370"/>
      <c r="AX23" s="19" t="str">
        <v>AUTO-DSL-CAM7</v>
      </c>
      <c r="AY23" s="370">
        <v>0.27999999999999997</v>
      </c>
      <c r="AZ23" s="19" t="s">
        <v>973</v>
      </c>
      <c r="BA23" s="19"/>
      <c r="BB23" s="19" t="str">
        <v>AUTO-COL-DSL-CAM7</v>
      </c>
      <c r="BC23" s="19" t="str">
        <v>FUEL-DSL-CAM7</v>
      </c>
      <c r="BD23" s="19" t="str">
        <f t="shared" si="13"/>
        <v>ELC-COL-CAM7</v>
      </c>
      <c r="BE23" s="19">
        <v>0.35</v>
      </c>
      <c r="BF23" s="19"/>
      <c r="BG23" s="19" t="str">
        <v>AUTO-COL-DSL-CAM7</v>
      </c>
      <c r="BH23" s="370">
        <v>2.3775368831999998E-2</v>
      </c>
      <c r="BI23" s="19" t="s">
        <v>973</v>
      </c>
      <c r="BJ23" s="1"/>
      <c r="BK23" s="43"/>
      <c r="BL23" s="116"/>
      <c r="BU23" s="1"/>
      <c r="BV23" s="1"/>
      <c r="BW23" s="1"/>
      <c r="BX23" s="656"/>
      <c r="BZ23" s="707"/>
      <c r="CC23" s="222"/>
      <c r="CE23" s="309"/>
      <c r="CF23" s="309"/>
      <c r="CG23" s="309"/>
      <c r="CH23" s="309"/>
      <c r="CL23" s="99"/>
      <c r="CM23" s="334" t="s">
        <v>312</v>
      </c>
      <c r="CN23" s="714" t="s">
        <v>1569</v>
      </c>
      <c r="CP23" s="305"/>
      <c r="CR23" s="116"/>
      <c r="CZ23" s="1"/>
      <c r="DH23" s="656"/>
      <c r="DJ23" s="116"/>
      <c r="DK23" s="12" t="str">
        <f t="shared" ref="DK23:DK27" si="14">+(DK10)</f>
        <v>COMPRA-ELC-CAM2-CAM3</v>
      </c>
      <c r="DL23" s="12" t="str">
        <f>+COMM!AK30</f>
        <v>CO2e-CAM2-CAM3</v>
      </c>
      <c r="DM23" s="222">
        <f>+'3. Scope3'!$G$19</f>
        <v>46.111111111111114</v>
      </c>
      <c r="DP23" s="12" t="str">
        <v>COMPRA-ELC-COLO-CAM2-CAM3</v>
      </c>
      <c r="DQ23" s="12" t="str">
        <f>+DL23</f>
        <v>CO2e-CAM2-CAM3</v>
      </c>
      <c r="DR23" s="222">
        <f>+'3. Scope3'!$G$19</f>
        <v>46.111111111111114</v>
      </c>
      <c r="DU23" s="12" t="str">
        <v>COMPRA-ELC-COLG-CAM2-CAM3</v>
      </c>
      <c r="DV23" s="12" t="str">
        <f>+DQ23</f>
        <v>CO2e-CAM2-CAM3</v>
      </c>
      <c r="DW23" s="222">
        <f>+'3. Scope3'!$G$19</f>
        <v>46.111111111111114</v>
      </c>
    </row>
    <row r="24" spans="2:127" ht="15.75" customHeight="1" x14ac:dyDescent="0.25">
      <c r="B24" s="116"/>
      <c r="I24" s="656"/>
      <c r="K24" s="116"/>
      <c r="M24" s="214" t="s">
        <v>1117</v>
      </c>
      <c r="N24" s="214">
        <v>2020</v>
      </c>
      <c r="O24" s="287">
        <v>357.03963544887284</v>
      </c>
      <c r="U24" s="337" t="s">
        <v>312</v>
      </c>
      <c r="V24" s="337" t="s">
        <v>882</v>
      </c>
      <c r="W24" s="337" t="s">
        <v>1056</v>
      </c>
      <c r="X24" s="678"/>
      <c r="Y24" s="678"/>
      <c r="Z24" s="678"/>
      <c r="AA24" s="678"/>
      <c r="AB24" s="677"/>
      <c r="AC24" s="1"/>
      <c r="AD24" s="116"/>
      <c r="AE24" s="381" t="s">
        <v>880</v>
      </c>
      <c r="AL24" s="656"/>
      <c r="AM24" s="1"/>
      <c r="AN24" s="12" t="str">
        <v>FTE-FUEL-OIL-CAM2</v>
      </c>
      <c r="AO24" s="12" t="s">
        <v>127</v>
      </c>
      <c r="AP24" s="12" t="str">
        <v>FUEL-OIL-CAM2</v>
      </c>
      <c r="AQ24" s="228">
        <v>1</v>
      </c>
      <c r="AR24" s="1"/>
      <c r="AS24" s="1"/>
      <c r="AT24" s="1"/>
      <c r="AU24" s="1"/>
      <c r="AV24" s="1"/>
      <c r="AW24" s="1"/>
      <c r="AX24" s="19" t="str">
        <f>+AS29</f>
        <v>AUTO-GAS-CAM2-CAM3</v>
      </c>
      <c r="AY24" s="370">
        <f t="array" ref="AY24:AY26">+TRANSPOSE('5. Data'!AA209:AC209)</f>
        <v>4.7328116359723582</v>
      </c>
      <c r="AZ24" s="19" t="s">
        <v>973</v>
      </c>
      <c r="BA24" s="19"/>
      <c r="BB24" s="19"/>
      <c r="BC24" s="19"/>
      <c r="BD24" s="19"/>
      <c r="BE24" s="19"/>
      <c r="BF24" s="19"/>
      <c r="BG24" s="1" t="str">
        <f>+BB29</f>
        <v>AUTO-COL-GAS-CAM2-CAM3</v>
      </c>
      <c r="BH24" s="370">
        <f t="array" ref="BH24:BH26">+TRANSPOSE('5. Data'!Z221:AB221)</f>
        <v>8.5591327795199984E-2</v>
      </c>
      <c r="BI24" s="19" t="s">
        <v>973</v>
      </c>
      <c r="BJ24" s="1"/>
      <c r="BK24" s="43"/>
      <c r="BL24" s="116"/>
      <c r="BU24" s="1"/>
      <c r="BV24" s="1"/>
      <c r="BW24" s="1"/>
      <c r="BX24" s="656"/>
      <c r="BZ24" s="657"/>
      <c r="CA24" s="1"/>
      <c r="CB24" s="1"/>
      <c r="CC24" s="1"/>
      <c r="CD24" s="1"/>
      <c r="CE24" s="1"/>
      <c r="CF24" s="1"/>
      <c r="CG24" s="1"/>
      <c r="CH24" s="1"/>
      <c r="CM24" s="12" t="str">
        <f t="array" ref="CM24:CM28">+CM9:CM13</f>
        <v>COLFUEL-LOIL-CAM2</v>
      </c>
      <c r="CN24" s="205">
        <f>+'5. Data'!N194</f>
        <v>0.4052236060193658</v>
      </c>
      <c r="CP24" s="305"/>
      <c r="CR24" s="116"/>
      <c r="CS24" s="381" t="s">
        <v>880</v>
      </c>
      <c r="CZ24" s="1"/>
      <c r="DA24" s="381" t="s">
        <v>880</v>
      </c>
      <c r="DH24" s="656"/>
      <c r="DJ24" s="116"/>
      <c r="DK24" s="12" t="str">
        <f t="shared" si="14"/>
        <v>COMPRA-ELC-CAM4</v>
      </c>
      <c r="DL24" s="12" t="s">
        <v>68</v>
      </c>
      <c r="DM24" s="222">
        <f>+'3. Scope3'!$G$19</f>
        <v>46.111111111111114</v>
      </c>
      <c r="DP24" s="12" t="str">
        <v>COMPRA-ELC-COLO-CAM4</v>
      </c>
      <c r="DQ24" s="12" t="s">
        <v>68</v>
      </c>
      <c r="DR24" s="222">
        <f>+'3. Scope3'!$G$19</f>
        <v>46.111111111111114</v>
      </c>
      <c r="DU24" s="12" t="str">
        <v>COMPRA-ELC-COLG-CAM4</v>
      </c>
      <c r="DV24" s="12" t="s">
        <v>68</v>
      </c>
      <c r="DW24" s="222">
        <f>+'3. Scope3'!$G$19</f>
        <v>46.111111111111114</v>
      </c>
    </row>
    <row r="25" spans="2:127" ht="15.75" customHeight="1" x14ac:dyDescent="0.25">
      <c r="B25" s="116"/>
      <c r="I25" s="656"/>
      <c r="K25" s="116"/>
      <c r="M25" s="214" t="s">
        <v>1117</v>
      </c>
      <c r="N25" s="214">
        <v>2023</v>
      </c>
      <c r="O25" s="287">
        <v>291.71333965512213</v>
      </c>
      <c r="Q25" s="421"/>
      <c r="S25" s="266"/>
      <c r="U25" s="214" t="str">
        <f t="array" ref="U25:U31">+U9:U15</f>
        <v>PROF-CAM1</v>
      </c>
      <c r="V25" s="214" t="str">
        <f t="array" ref="V25:V31">+COMM!AK20:AK26</f>
        <v>CO2e-CAM1</v>
      </c>
      <c r="W25" s="12">
        <f>+$V$19*('5. Data'!P99*'5. Data'!X99*'5. Oilfields'!S9/'5. Oilfields'!W9)</f>
        <v>7.5280656752686886E-2</v>
      </c>
      <c r="X25" s="1"/>
      <c r="Y25" s="701"/>
      <c r="Z25" s="1"/>
      <c r="AA25" s="701"/>
      <c r="AB25" s="715"/>
      <c r="AC25" s="390"/>
      <c r="AD25" s="116"/>
      <c r="AE25" s="337" t="s">
        <v>312</v>
      </c>
      <c r="AF25" s="337" t="s">
        <v>882</v>
      </c>
      <c r="AG25" s="337" t="s">
        <v>1056</v>
      </c>
      <c r="AL25" s="656"/>
      <c r="AM25" s="1"/>
      <c r="AN25" s="12" t="str">
        <v>FTE-FUEL-OIL-CAM3</v>
      </c>
      <c r="AO25" s="12" t="s">
        <v>141</v>
      </c>
      <c r="AP25" s="12" t="str">
        <v>FUEL-OIL-CAM3</v>
      </c>
      <c r="AQ25" s="228">
        <v>1</v>
      </c>
      <c r="AR25" s="1"/>
      <c r="AS25" s="1"/>
      <c r="AT25" s="1"/>
      <c r="AU25" s="1"/>
      <c r="AV25" s="1"/>
      <c r="AW25" s="1"/>
      <c r="AX25" s="19" t="str">
        <f>+AS31</f>
        <v>AUTO-OIL-CAM2-CAM3</v>
      </c>
      <c r="AY25" s="370">
        <v>1.5220623656853185</v>
      </c>
      <c r="AZ25" s="19" t="s">
        <v>973</v>
      </c>
      <c r="BA25" s="19"/>
      <c r="BB25" s="19"/>
      <c r="BC25" s="19"/>
      <c r="BD25" s="19"/>
      <c r="BE25" s="19"/>
      <c r="BF25" s="19"/>
      <c r="BG25" s="1" t="str">
        <f>+BB31</f>
        <v>AUTO-COL-OIL-CAM2-CAM3</v>
      </c>
      <c r="BH25" s="370">
        <v>0.34236531118079994</v>
      </c>
      <c r="BI25" s="19" t="s">
        <v>973</v>
      </c>
      <c r="BJ25" s="1"/>
      <c r="BK25" s="43"/>
      <c r="BL25" s="116"/>
      <c r="BU25" s="1"/>
      <c r="BV25" s="1"/>
      <c r="BW25" s="1"/>
      <c r="BX25" s="656"/>
      <c r="BZ25" s="657"/>
      <c r="CA25" s="1"/>
      <c r="CB25" s="1"/>
      <c r="CC25" s="1"/>
      <c r="CD25" s="1"/>
      <c r="CE25" s="1"/>
      <c r="CF25" s="1"/>
      <c r="CG25" s="1"/>
      <c r="CH25" s="1"/>
      <c r="CM25" s="12" t="str">
        <v>COLFUEL-HOIL-CAM3</v>
      </c>
      <c r="CN25" s="205">
        <f>+'5. Data'!N195</f>
        <v>0.95282307361310337</v>
      </c>
      <c r="CP25" s="305"/>
      <c r="CR25" s="116"/>
      <c r="CS25" s="693" t="s">
        <v>312</v>
      </c>
      <c r="CT25" s="684" t="s">
        <v>881</v>
      </c>
      <c r="CU25" s="716" t="s">
        <v>1051</v>
      </c>
      <c r="CZ25" s="1"/>
      <c r="DA25" s="334" t="s">
        <v>312</v>
      </c>
      <c r="DB25" s="679" t="s">
        <v>881</v>
      </c>
      <c r="DC25" s="371" t="s">
        <v>1051</v>
      </c>
      <c r="DH25" s="656"/>
      <c r="DJ25" s="116"/>
      <c r="DK25" s="12" t="str">
        <f t="shared" si="14"/>
        <v>COMPRA-ELC-CAM5</v>
      </c>
      <c r="DL25" s="12" t="s">
        <v>71</v>
      </c>
      <c r="DM25" s="222">
        <f>+'3. Scope3'!$G$19</f>
        <v>46.111111111111114</v>
      </c>
      <c r="DP25" s="12" t="str">
        <v>COMPRA-ELC-COLO-CAM5</v>
      </c>
      <c r="DQ25" s="12" t="s">
        <v>71</v>
      </c>
      <c r="DR25" s="222">
        <f>+'3. Scope3'!$G$19</f>
        <v>46.111111111111114</v>
      </c>
      <c r="DU25" s="12" t="str">
        <v>COMPRA-ELC-COLG-CAM5</v>
      </c>
      <c r="DV25" s="12" t="s">
        <v>71</v>
      </c>
      <c r="DW25" s="222">
        <f>+'3. Scope3'!$G$19</f>
        <v>46.111111111111114</v>
      </c>
    </row>
    <row r="26" spans="2:127" ht="15.75" customHeight="1" x14ac:dyDescent="0.25">
      <c r="B26" s="116"/>
      <c r="I26" s="656"/>
      <c r="K26" s="116"/>
      <c r="M26" s="214" t="s">
        <v>1117</v>
      </c>
      <c r="N26" s="214">
        <v>2025</v>
      </c>
      <c r="O26" s="287">
        <v>219.06541620476196</v>
      </c>
      <c r="Q26" s="421"/>
      <c r="S26" s="266"/>
      <c r="U26" s="214" t="str">
        <v>PROF-CAM2</v>
      </c>
      <c r="V26" s="16" t="str">
        <v>CO2e-CAM2</v>
      </c>
      <c r="W26" s="12">
        <f>+$V$19*('5. Data'!P100*'5. Data'!X100*'5. Oilfields'!S11/'5. Oilfields'!W10)</f>
        <v>0.50280542543476969</v>
      </c>
      <c r="X26" s="1"/>
      <c r="Y26" s="701"/>
      <c r="Z26" s="1"/>
      <c r="AA26" s="701"/>
      <c r="AB26" s="715"/>
      <c r="AC26" s="390"/>
      <c r="AD26" s="116"/>
      <c r="AE26" s="214" t="str" cm="1">
        <f t="array" ref="AE26:AE32">+AE9:AE15</f>
        <v>SEP-CAM1</v>
      </c>
      <c r="AF26" s="214" t="str" cm="1">
        <f t="array" ref="AF26:AF32">+V25:V31</f>
        <v>CO2e-CAM1</v>
      </c>
      <c r="AG26" s="12">
        <f>+'5. Data'!N141</f>
        <v>0.4</v>
      </c>
      <c r="AL26" s="656"/>
      <c r="AM26" s="1"/>
      <c r="AN26" s="12" t="str">
        <v>FTE-FUEL-OIL-CAM4</v>
      </c>
      <c r="AO26" s="12" t="s">
        <v>132</v>
      </c>
      <c r="AP26" s="12" t="str">
        <v>FUEL-OIL-CAM4</v>
      </c>
      <c r="AQ26" s="228">
        <v>1</v>
      </c>
      <c r="AR26" s="1"/>
      <c r="AS26" s="1"/>
      <c r="AT26" s="1"/>
      <c r="AU26" s="1"/>
      <c r="AV26" s="1"/>
      <c r="AW26" s="1"/>
      <c r="AX26" s="19" t="str">
        <f>+AS33</f>
        <v>AUTO-DSL-CAM2-CAM3</v>
      </c>
      <c r="AY26" s="370">
        <v>0.7193111369023244</v>
      </c>
      <c r="AZ26" s="19" t="s">
        <v>973</v>
      </c>
      <c r="BA26" s="19"/>
      <c r="BB26" s="19"/>
      <c r="BC26" s="19"/>
      <c r="BD26" s="19"/>
      <c r="BE26" s="19"/>
      <c r="BF26" s="19"/>
      <c r="BG26" s="1" t="str">
        <f>+BB33</f>
        <v>AUTO-COL-DSL-CAM2-CAM3</v>
      </c>
      <c r="BH26" s="370">
        <v>0.64193495846399984</v>
      </c>
      <c r="BI26" s="19" t="s">
        <v>973</v>
      </c>
      <c r="BJ26" s="1"/>
      <c r="BK26" s="43"/>
      <c r="BL26" s="116"/>
      <c r="BU26" s="1"/>
      <c r="BV26" s="1"/>
      <c r="BW26" s="1"/>
      <c r="BX26" s="656"/>
      <c r="BZ26" s="688"/>
      <c r="CA26" s="1"/>
      <c r="CB26" s="1"/>
      <c r="CC26" s="1"/>
      <c r="CD26" s="1"/>
      <c r="CE26" s="678"/>
      <c r="CF26" s="678"/>
      <c r="CG26" s="678"/>
      <c r="CH26" s="678"/>
      <c r="CM26" s="12" t="str">
        <v>COLFUEL-LOIL-CAM4</v>
      </c>
      <c r="CN26" s="205">
        <f>+'5. Data'!N196</f>
        <v>0.4052236060193658</v>
      </c>
      <c r="CP26" s="305"/>
      <c r="CR26" s="116"/>
      <c r="CS26" s="12" t="str">
        <f>+(CW9)</f>
        <v>COLELC-GAS-CAM1</v>
      </c>
      <c r="CT26" s="11" t="str">
        <f t="shared" ref="CT26:CT27" si="15">+DW9</f>
        <v>ELC-G-COL-CAM1</v>
      </c>
      <c r="CU26" s="266">
        <v>1.1268327155444839E-2</v>
      </c>
      <c r="CZ26" s="1"/>
      <c r="DA26" s="12" t="str">
        <f>+(DE9)</f>
        <v>COLFUEL-GAS-CAM1</v>
      </c>
      <c r="DB26" s="11" t="str">
        <f>+BD9</f>
        <v>ELC-COL-CAM1</v>
      </c>
      <c r="DC26" s="266">
        <f>+'5. Data'!N183/('5. Data'!N183+1)</f>
        <v>1.1268327155444839E-2</v>
      </c>
      <c r="DH26" s="656"/>
      <c r="DJ26" s="116"/>
      <c r="DK26" s="12" t="str">
        <f t="shared" si="14"/>
        <v>COMPRA-ELC-CAM6</v>
      </c>
      <c r="DL26" s="12" t="s">
        <v>73</v>
      </c>
      <c r="DM26" s="222">
        <f>+'3. Scope3'!$G$19</f>
        <v>46.111111111111114</v>
      </c>
      <c r="DP26" s="12" t="str">
        <v>COMPRA-ELC-COLO-CAM6</v>
      </c>
      <c r="DQ26" s="12" t="s">
        <v>73</v>
      </c>
      <c r="DR26" s="222">
        <f>+'3. Scope3'!$G$19</f>
        <v>46.111111111111114</v>
      </c>
      <c r="DU26" s="12" t="str">
        <v>COMPRA-ELC-COLG-CAM6</v>
      </c>
      <c r="DV26" s="12" t="s">
        <v>73</v>
      </c>
      <c r="DW26" s="222">
        <f>+'3. Scope3'!$G$19</f>
        <v>46.111111111111114</v>
      </c>
    </row>
    <row r="27" spans="2:127" ht="15.75" customHeight="1" x14ac:dyDescent="0.25">
      <c r="B27" s="116"/>
      <c r="I27" s="656"/>
      <c r="K27" s="116"/>
      <c r="M27" s="214" t="s">
        <v>1117</v>
      </c>
      <c r="N27" s="214">
        <v>2027</v>
      </c>
      <c r="O27" s="287">
        <v>170.23519767765302</v>
      </c>
      <c r="Q27" s="421"/>
      <c r="S27" s="266"/>
      <c r="U27" s="214" t="str">
        <v>PROF-CAM3</v>
      </c>
      <c r="V27" s="16" t="str">
        <v>CO2e-CAM3</v>
      </c>
      <c r="W27" s="12">
        <f>+$V$19*('5. Data'!P101*'5. Data'!X101*'5. Oilfields'!S13/'5. Oilfields'!W11)</f>
        <v>9.8862592174910294E-2</v>
      </c>
      <c r="X27" s="1"/>
      <c r="Y27" s="701"/>
      <c r="Z27" s="1"/>
      <c r="AA27" s="701"/>
      <c r="AB27" s="715"/>
      <c r="AC27" s="390"/>
      <c r="AD27" s="116"/>
      <c r="AE27" s="214" t="str">
        <v>SEP-CAM2</v>
      </c>
      <c r="AF27" s="16" t="str">
        <v>CO2e-CAM2</v>
      </c>
      <c r="AG27" s="12">
        <f>+'5. Data'!N142</f>
        <v>0.9</v>
      </c>
      <c r="AL27" s="656"/>
      <c r="AM27" s="1"/>
      <c r="AN27" s="12" t="str">
        <v>FTE-FUEL-OIL-CAM5</v>
      </c>
      <c r="AO27" s="12" t="s">
        <v>139</v>
      </c>
      <c r="AP27" s="12" t="str">
        <v>FUEL-OIL-CAM5</v>
      </c>
      <c r="AQ27" s="228">
        <v>1</v>
      </c>
      <c r="AR27" s="1"/>
      <c r="AS27" s="381" t="s">
        <v>880</v>
      </c>
      <c r="AT27" s="1"/>
      <c r="AU27" s="1"/>
      <c r="AV27" s="1"/>
      <c r="AW27" s="1"/>
      <c r="AX27" s="19" t="str">
        <f>+AS35</f>
        <v>AUTO-LPG-CAM2-CAM3</v>
      </c>
      <c r="AY27" s="401">
        <f>+'5. Data'!Z209</f>
        <v>0.63071999999999984</v>
      </c>
      <c r="AZ27" s="19" t="s">
        <v>973</v>
      </c>
      <c r="BA27" s="1"/>
      <c r="BB27" s="381" t="s">
        <v>880</v>
      </c>
      <c r="BC27" s="1"/>
      <c r="BD27" s="1"/>
      <c r="BE27" s="1"/>
      <c r="BF27" s="1"/>
      <c r="BG27" s="1"/>
      <c r="BH27" s="1"/>
      <c r="BI27" s="19"/>
      <c r="BJ27" s="1"/>
      <c r="BK27" s="43"/>
      <c r="BL27" s="116"/>
      <c r="BU27" s="1"/>
      <c r="BV27" s="1"/>
      <c r="BW27" s="1"/>
      <c r="BX27" s="656"/>
      <c r="BZ27" s="717"/>
      <c r="CA27" s="1"/>
      <c r="CB27" s="1"/>
      <c r="CC27" s="1"/>
      <c r="CD27" s="1"/>
      <c r="CE27" s="390"/>
      <c r="CF27" s="390"/>
      <c r="CG27" s="390"/>
      <c r="CH27" s="390"/>
      <c r="CM27" s="12" t="str">
        <v>COLFUEL-MOIL-CAM5</v>
      </c>
      <c r="CN27" s="205">
        <f>+'5. Data'!N197</f>
        <v>0.4052236060193658</v>
      </c>
      <c r="CP27" s="305"/>
      <c r="CR27" s="116"/>
      <c r="CS27" s="12" t="str">
        <f t="shared" ref="CS27:CS32" si="16">+(CW10)</f>
        <v>COLELC-GAS-CAM2</v>
      </c>
      <c r="CT27" s="11" t="str">
        <f t="shared" si="15"/>
        <v>ELC-G-COL-CAM2-CAM3</v>
      </c>
      <c r="CU27" s="266">
        <v>1.1268327155444867E-2</v>
      </c>
      <c r="CX27" s="14"/>
      <c r="CY27" s="14" t="s">
        <v>556</v>
      </c>
      <c r="CZ27" s="2"/>
      <c r="DA27" s="12" t="str">
        <f t="shared" ref="DA27:DA32" si="17">+(DE10)</f>
        <v>COLFUEL-GAS-CAM2</v>
      </c>
      <c r="DB27" s="12" t="str">
        <f>+BD29</f>
        <v>ELC-COL-CAM2-CAM3</v>
      </c>
      <c r="DC27" s="266">
        <f>+'5. Data'!N184/('5. Data'!N184+1)</f>
        <v>1.1268327155444867E-2</v>
      </c>
      <c r="DF27" s="14"/>
      <c r="DG27" s="14" t="str">
        <f>V18</f>
        <v>kt/PJ</v>
      </c>
      <c r="DH27" s="656"/>
      <c r="DJ27" s="116"/>
      <c r="DK27" s="12" t="str">
        <f t="shared" si="14"/>
        <v>COMPRA-ELC-CAM7</v>
      </c>
      <c r="DL27" s="12" t="s">
        <v>76</v>
      </c>
      <c r="DM27" s="222">
        <f>+'3. Scope3'!$G$19</f>
        <v>46.111111111111114</v>
      </c>
      <c r="DP27" s="12" t="str">
        <v>COMPRA-ELC-COLO-CAM7</v>
      </c>
      <c r="DQ27" s="12" t="s">
        <v>76</v>
      </c>
      <c r="DR27" s="222">
        <f>+'3. Scope3'!$G$19</f>
        <v>46.111111111111114</v>
      </c>
      <c r="DU27" s="12" t="str">
        <v>COMPRA-ELC-COLG-CAM7</v>
      </c>
      <c r="DV27" s="12" t="s">
        <v>76</v>
      </c>
      <c r="DW27" s="222">
        <f>+'3. Scope3'!$G$19</f>
        <v>46.111111111111114</v>
      </c>
    </row>
    <row r="28" spans="2:127" ht="15.75" customHeight="1" x14ac:dyDescent="0.25">
      <c r="B28" s="116"/>
      <c r="I28" s="656"/>
      <c r="K28" s="116"/>
      <c r="M28" s="214" t="s">
        <v>1117</v>
      </c>
      <c r="N28" s="214">
        <v>2030</v>
      </c>
      <c r="O28" s="287">
        <v>111.95261234678644</v>
      </c>
      <c r="Q28" s="421"/>
      <c r="S28" s="266"/>
      <c r="U28" s="214" t="str">
        <v>PROF-CAM4</v>
      </c>
      <c r="V28" s="16" t="str">
        <v>CO2e-CAM4</v>
      </c>
      <c r="W28" s="12">
        <f>+$V$19*('5. Data'!P102*'5. Data'!X102*'5. Oilfields'!S15/'5. Oilfields'!W12)</f>
        <v>16.255749671075399</v>
      </c>
      <c r="X28" s="1"/>
      <c r="Y28" s="701"/>
      <c r="Z28" s="1"/>
      <c r="AA28" s="701"/>
      <c r="AB28" s="715"/>
      <c r="AC28" s="390"/>
      <c r="AD28" s="116"/>
      <c r="AE28" s="214" t="str">
        <v>SEP-CAM3</v>
      </c>
      <c r="AF28" s="16" t="str">
        <v>CO2e-CAM3</v>
      </c>
      <c r="AG28" s="12">
        <f>+'5. Data'!N143</f>
        <v>0.5</v>
      </c>
      <c r="AL28" s="656"/>
      <c r="AM28" s="1"/>
      <c r="AN28" s="12" t="str">
        <v>FTE-FUEL-OIL-CAM6</v>
      </c>
      <c r="AO28" s="12" t="s">
        <v>140</v>
      </c>
      <c r="AP28" s="12" t="str">
        <v>FUEL-OIL-CAM6</v>
      </c>
      <c r="AQ28" s="228">
        <v>1</v>
      </c>
      <c r="AR28" s="1"/>
      <c r="AS28" s="371" t="s">
        <v>312</v>
      </c>
      <c r="AT28" s="371" t="s">
        <v>881</v>
      </c>
      <c r="AU28" s="679" t="s">
        <v>882</v>
      </c>
      <c r="AV28" s="680" t="s">
        <v>930</v>
      </c>
      <c r="AW28" s="1"/>
      <c r="AX28" s="1"/>
      <c r="AY28" s="1"/>
      <c r="AZ28" s="1"/>
      <c r="BA28" s="1"/>
      <c r="BB28" s="683" t="s">
        <v>312</v>
      </c>
      <c r="BC28" s="683" t="s">
        <v>881</v>
      </c>
      <c r="BD28" s="684" t="s">
        <v>882</v>
      </c>
      <c r="BE28" s="685" t="s">
        <v>930</v>
      </c>
      <c r="BF28" s="1"/>
      <c r="BG28" s="1"/>
      <c r="BH28" s="1"/>
      <c r="BI28" s="1"/>
      <c r="BJ28" s="1"/>
      <c r="BK28" s="43"/>
      <c r="BL28" s="116"/>
      <c r="BU28" s="1"/>
      <c r="BV28" s="1"/>
      <c r="BW28" s="1"/>
      <c r="BX28" s="656"/>
      <c r="BZ28" s="717"/>
      <c r="CA28" s="1"/>
      <c r="CB28" s="1"/>
      <c r="CC28" s="1"/>
      <c r="CD28" s="1"/>
      <c r="CE28" s="390"/>
      <c r="CF28" s="390"/>
      <c r="CG28" s="390"/>
      <c r="CH28" s="390"/>
      <c r="CM28" s="12" t="str">
        <v>COLFUEL-MOIL-CAM6</v>
      </c>
      <c r="CN28" s="205">
        <f>+'5. Data'!N198</f>
        <v>0.4052236060193658</v>
      </c>
      <c r="CP28" s="305"/>
      <c r="CR28" s="116"/>
      <c r="CS28" s="12" t="str">
        <f t="shared" si="16"/>
        <v>COLELC-GAS-CAM3</v>
      </c>
      <c r="CT28" s="11" t="str">
        <f>+CT27</f>
        <v>ELC-G-COL-CAM2-CAM3</v>
      </c>
      <c r="CU28" s="266">
        <v>1.1268327155444839E-2</v>
      </c>
      <c r="CX28" s="14" t="s">
        <v>1573</v>
      </c>
      <c r="CY28" s="365">
        <v>55.539114956987063</v>
      </c>
      <c r="CZ28" s="573"/>
      <c r="DA28" s="12" t="str">
        <f t="shared" si="17"/>
        <v>COLFUEL-GAS-CAM3</v>
      </c>
      <c r="DB28" s="12" t="str">
        <f>+DB27</f>
        <v>ELC-COL-CAM2-CAM3</v>
      </c>
      <c r="DC28" s="266">
        <f>+'5. Data'!N185/('5. Data'!N185+1)</f>
        <v>1.1268327155444839E-2</v>
      </c>
      <c r="DF28" s="14" t="str">
        <f t="shared" ref="DF28:DG28" si="18">U19</f>
        <v>F.E. GAS</v>
      </c>
      <c r="DG28" s="365">
        <f t="shared" si="18"/>
        <v>55.539114956987063</v>
      </c>
      <c r="DH28" s="656"/>
      <c r="DJ28" s="116"/>
      <c r="DM28" s="222"/>
    </row>
    <row r="29" spans="2:127" ht="15.75" customHeight="1" x14ac:dyDescent="0.25">
      <c r="B29" s="116"/>
      <c r="I29" s="656"/>
      <c r="K29" s="116"/>
      <c r="M29" s="214" t="s">
        <v>1117</v>
      </c>
      <c r="N29" s="214">
        <v>2033</v>
      </c>
      <c r="O29" s="287">
        <v>72.379931845519636</v>
      </c>
      <c r="Q29" s="421"/>
      <c r="S29" s="266"/>
      <c r="U29" s="214" t="str">
        <v>PROF-CAM5</v>
      </c>
      <c r="V29" s="16" t="str">
        <v>CO2e-CAM5</v>
      </c>
      <c r="W29" s="12">
        <f>+$V$19*('5. Data'!P103*'5. Data'!X103*'5. Oilfields'!S17/'5. Oilfields'!W13)</f>
        <v>0.25965658382877249</v>
      </c>
      <c r="X29" s="1"/>
      <c r="Y29" s="701"/>
      <c r="Z29" s="1"/>
      <c r="AA29" s="701"/>
      <c r="AB29" s="715"/>
      <c r="AC29" s="390"/>
      <c r="AD29" s="116"/>
      <c r="AE29" s="214" t="str">
        <v>SEP-CAM4</v>
      </c>
      <c r="AF29" s="16" t="str">
        <v>CO2e-CAM4</v>
      </c>
      <c r="AG29" s="12">
        <f>+'5. Data'!N144</f>
        <v>0.5</v>
      </c>
      <c r="AL29" s="656"/>
      <c r="AM29" s="1"/>
      <c r="AN29" s="12" t="str">
        <v>FTE-FUEL-OIL-CAM7</v>
      </c>
      <c r="AO29" s="12" t="s">
        <v>138</v>
      </c>
      <c r="AP29" s="12" t="str">
        <v>FUEL-OIL-CAM7</v>
      </c>
      <c r="AQ29" s="228">
        <v>1</v>
      </c>
      <c r="AR29" s="1"/>
      <c r="AS29" s="19" t="str">
        <f>+PROCESS!N160</f>
        <v>AUTO-GAS-CAM2-CAM3</v>
      </c>
      <c r="AT29" s="344" t="str">
        <f>AP10</f>
        <v>FUEL-GAS-CAM2</v>
      </c>
      <c r="AU29" s="344" t="str">
        <f>+COMM!D137</f>
        <v>ELC-CAM2-CAM3</v>
      </c>
      <c r="AV29" s="400">
        <f>+'5. Data'!U209</f>
        <v>0.35</v>
      </c>
      <c r="AW29" s="1"/>
      <c r="AX29" s="1"/>
      <c r="AY29" s="1"/>
      <c r="AZ29" s="1"/>
      <c r="BA29" s="1"/>
      <c r="BB29" s="1" t="str">
        <f>+PROCESS!N179</f>
        <v>AUTO-COL-GAS-CAM2-CAM3</v>
      </c>
      <c r="BC29" s="344" t="str">
        <f t="array" ref="BC29:BC34">+AT29:AT34</f>
        <v>FUEL-GAS-CAM2</v>
      </c>
      <c r="BD29" s="344" t="str">
        <f>+COMM!D139</f>
        <v>ELC-COL-CAM2-CAM3</v>
      </c>
      <c r="BE29" s="400">
        <f>+'5. Data'!U221</f>
        <v>0.35</v>
      </c>
      <c r="BF29" s="1"/>
      <c r="BG29" s="1"/>
      <c r="BH29" s="370"/>
      <c r="BI29" s="1"/>
      <c r="BJ29" s="1"/>
      <c r="BK29" s="43"/>
      <c r="BL29" s="116"/>
      <c r="BU29" s="1"/>
      <c r="BV29" s="1"/>
      <c r="BW29" s="1"/>
      <c r="BX29" s="656"/>
      <c r="BZ29" s="717"/>
      <c r="CA29" s="1"/>
      <c r="CB29" s="1"/>
      <c r="CC29" s="1"/>
      <c r="CD29" s="1"/>
      <c r="CE29" s="390"/>
      <c r="CF29" s="390"/>
      <c r="CG29" s="390"/>
      <c r="CH29" s="390"/>
      <c r="CM29" s="228" t="str">
        <f t="array" ref="CM29:CM33">+CE9:CE13</f>
        <v>COLELC-LOIL-CAM2</v>
      </c>
      <c r="CN29" s="205">
        <f t="array" ref="CN29:CN33">+CN24:CN28</f>
        <v>0.4052236060193658</v>
      </c>
      <c r="CP29" s="305"/>
      <c r="CR29" s="116"/>
      <c r="CS29" s="12" t="str">
        <f t="shared" si="16"/>
        <v>COLELC-GAS-CAM4</v>
      </c>
      <c r="CT29" s="11" t="str">
        <f t="shared" ref="CT29:CT32" si="19">+DW11</f>
        <v>ELC-G-COL-CAM4</v>
      </c>
      <c r="CU29" s="266">
        <v>1.1268327155444839E-2</v>
      </c>
      <c r="CZ29" s="1"/>
      <c r="DA29" s="12" t="str">
        <f t="shared" si="17"/>
        <v>COLFUEL-GAS-CAM4</v>
      </c>
      <c r="DB29" s="11" t="str">
        <f>+BD14</f>
        <v>ELC-COL-CAM4</v>
      </c>
      <c r="DC29" s="266">
        <f>+'5. Data'!N186/('5. Data'!N186+1)</f>
        <v>1.1268327155444839E-2</v>
      </c>
      <c r="DH29" s="656"/>
      <c r="DJ29" s="116"/>
    </row>
    <row r="30" spans="2:127" ht="15.75" customHeight="1" x14ac:dyDescent="0.25">
      <c r="B30" s="116"/>
      <c r="I30" s="656"/>
      <c r="K30" s="116"/>
      <c r="M30" s="214" t="s">
        <v>1117</v>
      </c>
      <c r="N30" s="214">
        <v>2035</v>
      </c>
      <c r="O30" s="287">
        <v>52.2350632561674</v>
      </c>
      <c r="Q30" s="421"/>
      <c r="S30" s="266"/>
      <c r="U30" s="214" t="str">
        <v>PROF-CAM6</v>
      </c>
      <c r="V30" s="16" t="str">
        <v>CO2e-CAM6</v>
      </c>
      <c r="W30" s="12">
        <f>+$V$19*('5. Data'!P104*'5. Data'!X104*'5. Oilfields'!S19/'5. Oilfields'!W14)</f>
        <v>0.45296459494763186</v>
      </c>
      <c r="X30" s="1"/>
      <c r="Y30" s="701"/>
      <c r="Z30" s="1"/>
      <c r="AA30" s="701"/>
      <c r="AB30" s="715"/>
      <c r="AC30" s="390"/>
      <c r="AD30" s="116"/>
      <c r="AE30" s="214" t="str">
        <v>SEP-CAM5</v>
      </c>
      <c r="AF30" s="16" t="str">
        <v>CO2e-CAM5</v>
      </c>
      <c r="AG30" s="12">
        <f>+'5. Data'!N145</f>
        <v>0.5</v>
      </c>
      <c r="AL30" s="656"/>
      <c r="AM30" s="1"/>
      <c r="AN30" s="1" t="str">
        <f>+PROCESS!N156</f>
        <v>FTE-FUEL-LPG-CAM2</v>
      </c>
      <c r="AO30" s="1" t="s">
        <v>22</v>
      </c>
      <c r="AP30" s="1" t="str">
        <f>+COMM!D135</f>
        <v>FUEL-LPG-CAM2</v>
      </c>
      <c r="AQ30" s="309">
        <v>1</v>
      </c>
      <c r="AR30" s="1"/>
      <c r="AS30" s="1"/>
      <c r="AT30" s="718" t="str">
        <f>+AP11</f>
        <v>FUEL-GAS-CAM3</v>
      </c>
      <c r="AU30" s="344"/>
      <c r="AV30" s="2"/>
      <c r="AW30" s="370"/>
      <c r="AX30" s="1"/>
      <c r="AY30" s="1"/>
      <c r="AZ30" s="1"/>
      <c r="BA30" s="1"/>
      <c r="BB30" s="1"/>
      <c r="BC30" s="718" t="str">
        <v>FUEL-GAS-CAM3</v>
      </c>
      <c r="BD30" s="344"/>
      <c r="BE30" s="2"/>
      <c r="BF30" s="1"/>
      <c r="BG30" s="1"/>
      <c r="BH30" s="1"/>
      <c r="BI30" s="1"/>
      <c r="BJ30" s="1"/>
      <c r="BK30" s="43"/>
      <c r="BL30" s="116"/>
      <c r="BU30" s="1"/>
      <c r="BV30" s="1"/>
      <c r="BW30" s="1"/>
      <c r="BX30" s="656"/>
      <c r="BZ30" s="717"/>
      <c r="CA30" s="1"/>
      <c r="CB30" s="1"/>
      <c r="CC30" s="1"/>
      <c r="CD30" s="1"/>
      <c r="CE30" s="390"/>
      <c r="CF30" s="390"/>
      <c r="CG30" s="390"/>
      <c r="CH30" s="390"/>
      <c r="CM30" s="719" t="str">
        <v>COLELC-HOIL-CAM3</v>
      </c>
      <c r="CN30" s="205">
        <v>0.95282307361310337</v>
      </c>
      <c r="CP30" s="305"/>
      <c r="CR30" s="116"/>
      <c r="CS30" s="12" t="str">
        <f t="shared" si="16"/>
        <v>COLELC-GAS-CAM5</v>
      </c>
      <c r="CT30" s="11" t="str">
        <f t="shared" si="19"/>
        <v>ELC-G-COL-CAM5</v>
      </c>
      <c r="CU30" s="266">
        <v>1.1268327155444839E-2</v>
      </c>
      <c r="CZ30" s="1"/>
      <c r="DA30" s="12" t="str">
        <f t="shared" si="17"/>
        <v>COLFUEL-GAS-CAM5</v>
      </c>
      <c r="DB30" s="11" t="str">
        <f>+BD17</f>
        <v>ELC-COL-CAM5</v>
      </c>
      <c r="DC30" s="266">
        <f>+'5. Data'!N187/('5. Data'!N187+1)</f>
        <v>1.1268327155444839E-2</v>
      </c>
      <c r="DH30" s="656"/>
      <c r="DJ30" s="116"/>
    </row>
    <row r="31" spans="2:127" ht="15.75" customHeight="1" x14ac:dyDescent="0.25">
      <c r="B31" s="116"/>
      <c r="I31" s="656"/>
      <c r="K31" s="116"/>
      <c r="M31" s="214" t="s">
        <v>1117</v>
      </c>
      <c r="N31" s="214">
        <v>2037</v>
      </c>
      <c r="O31" s="287">
        <v>39.077990841053399</v>
      </c>
      <c r="Q31" s="421"/>
      <c r="S31" s="266"/>
      <c r="U31" s="14" t="str">
        <v>PROF-CAM7</v>
      </c>
      <c r="V31" s="14" t="str">
        <v>CO2e-CAM7</v>
      </c>
      <c r="W31" s="12">
        <f>+$V$19*('5. Data'!P105*'5. Data'!X105*'5. Oilfields'!S21/'5. Oilfields'!W15)</f>
        <v>0.99246354197944708</v>
      </c>
      <c r="X31" s="1"/>
      <c r="Y31" s="701"/>
      <c r="Z31" s="1"/>
      <c r="AA31" s="701"/>
      <c r="AB31" s="656"/>
      <c r="AC31" s="390"/>
      <c r="AD31" s="116"/>
      <c r="AE31" s="214" t="str">
        <v>SEP-CAM6</v>
      </c>
      <c r="AF31" s="16" t="str">
        <v>CO2e-CAM6</v>
      </c>
      <c r="AG31" s="12">
        <f>+'5. Data'!N146</f>
        <v>0.5</v>
      </c>
      <c r="AL31" s="656"/>
      <c r="AM31" s="1"/>
      <c r="AN31" s="1"/>
      <c r="AO31" s="1"/>
      <c r="AP31" s="1"/>
      <c r="AQ31" s="1"/>
      <c r="AR31" s="1"/>
      <c r="AS31" s="19" t="str">
        <f>+PROCESS!N161</f>
        <v>AUTO-OIL-CAM2-CAM3</v>
      </c>
      <c r="AT31" s="718" t="str">
        <f t="shared" ref="AT31:AT32" si="20">+AP24</f>
        <v>FUEL-OIL-CAM2</v>
      </c>
      <c r="AU31" s="344" t="str">
        <f>+AU29</f>
        <v>ELC-CAM2-CAM3</v>
      </c>
      <c r="AV31" s="400">
        <f>+'5. Data'!V209</f>
        <v>0.35</v>
      </c>
      <c r="AW31" s="1"/>
      <c r="AX31" s="1"/>
      <c r="AY31" s="1"/>
      <c r="AZ31" s="1"/>
      <c r="BA31" s="1"/>
      <c r="BB31" s="1" t="str">
        <f>+PROCESS!N180</f>
        <v>AUTO-COL-OIL-CAM2-CAM3</v>
      </c>
      <c r="BC31" s="718" t="str">
        <v>FUEL-OIL-CAM2</v>
      </c>
      <c r="BD31" s="344" t="str">
        <f>+COMM!D139</f>
        <v>ELC-COL-CAM2-CAM3</v>
      </c>
      <c r="BE31" s="400">
        <f>+'5. Data'!V221</f>
        <v>0.35</v>
      </c>
      <c r="BF31" s="1"/>
      <c r="BG31" s="1"/>
      <c r="BH31" s="1"/>
      <c r="BI31" s="1"/>
      <c r="BJ31" s="1"/>
      <c r="BK31" s="43"/>
      <c r="BL31" s="116"/>
      <c r="BU31" s="1"/>
      <c r="BV31" s="1"/>
      <c r="BW31" s="1"/>
      <c r="BX31" s="656"/>
      <c r="BZ31" s="717"/>
      <c r="CA31" s="1"/>
      <c r="CB31" s="1"/>
      <c r="CC31" s="1"/>
      <c r="CD31" s="1"/>
      <c r="CE31" s="390"/>
      <c r="CF31" s="390"/>
      <c r="CG31" s="390"/>
      <c r="CH31" s="390"/>
      <c r="CM31" s="719" t="str">
        <v>COLELC-LOIL-CAM4</v>
      </c>
      <c r="CN31" s="205">
        <v>0.4052236060193658</v>
      </c>
      <c r="CP31" s="305"/>
      <c r="CR31" s="116"/>
      <c r="CS31" s="12" t="str">
        <f t="shared" si="16"/>
        <v>COLELC-GAS-CAM6</v>
      </c>
      <c r="CT31" s="11" t="str">
        <f t="shared" si="19"/>
        <v>ELC-G-COL-CAM6</v>
      </c>
      <c r="CU31" s="266">
        <v>1.1268327155444839E-2</v>
      </c>
      <c r="CZ31" s="1"/>
      <c r="DA31" s="12" t="str">
        <f t="shared" si="17"/>
        <v>COLFUEL-GAS-CAM6</v>
      </c>
      <c r="DB31" s="11" t="str">
        <f>+BD19</f>
        <v>ELC-COL-CAM6</v>
      </c>
      <c r="DC31" s="266">
        <f>+'5. Data'!N188/('5. Data'!N188+1)</f>
        <v>1.1268327155444839E-2</v>
      </c>
      <c r="DH31" s="656"/>
      <c r="DJ31" s="116"/>
    </row>
    <row r="32" spans="2:127" ht="15.75" customHeight="1" x14ac:dyDescent="0.25">
      <c r="B32" s="116"/>
      <c r="I32" s="656"/>
      <c r="K32" s="116"/>
      <c r="M32" s="214" t="s">
        <v>1117</v>
      </c>
      <c r="N32" s="214">
        <v>2040</v>
      </c>
      <c r="O32" s="287">
        <v>23.3968962245543</v>
      </c>
      <c r="X32" s="1"/>
      <c r="Y32" s="1"/>
      <c r="Z32" s="1"/>
      <c r="AA32" s="1"/>
      <c r="AB32" s="656"/>
      <c r="AC32" s="1"/>
      <c r="AD32" s="116"/>
      <c r="AE32" s="14" t="str">
        <v>SEP-CAM7</v>
      </c>
      <c r="AF32" s="14" t="str">
        <v>CO2e-CAM7</v>
      </c>
      <c r="AG32" s="12">
        <f>+'5. Data'!N147</f>
        <v>0.4</v>
      </c>
      <c r="AL32" s="656"/>
      <c r="AM32" s="1"/>
      <c r="AN32" s="1"/>
      <c r="AO32" s="1"/>
      <c r="AP32" s="1"/>
      <c r="AQ32" s="1"/>
      <c r="AR32" s="1"/>
      <c r="AS32" s="1"/>
      <c r="AT32" s="718" t="str">
        <f t="shared" si="20"/>
        <v>FUEL-OIL-CAM3</v>
      </c>
      <c r="AU32" s="344"/>
      <c r="AV32" s="2"/>
      <c r="AW32" s="1"/>
      <c r="AX32" s="1"/>
      <c r="AY32" s="1"/>
      <c r="AZ32" s="1"/>
      <c r="BA32" s="1"/>
      <c r="BB32" s="1"/>
      <c r="BC32" s="718" t="str">
        <v>FUEL-OIL-CAM3</v>
      </c>
      <c r="BD32" s="344"/>
      <c r="BE32" s="2"/>
      <c r="BF32" s="1"/>
      <c r="BG32" s="1"/>
      <c r="BH32" s="1"/>
      <c r="BI32" s="1"/>
      <c r="BJ32" s="1"/>
      <c r="BK32" s="43"/>
      <c r="BL32" s="116"/>
      <c r="BU32" s="1"/>
      <c r="BV32" s="1"/>
      <c r="BW32" s="1"/>
      <c r="BX32" s="656"/>
      <c r="BZ32" s="717"/>
      <c r="CA32" s="1"/>
      <c r="CB32" s="1"/>
      <c r="CC32" s="1"/>
      <c r="CD32" s="1"/>
      <c r="CE32" s="390"/>
      <c r="CF32" s="390"/>
      <c r="CG32" s="390"/>
      <c r="CH32" s="390"/>
      <c r="CM32" s="719" t="str">
        <v>COLELC-MOIL-CAM5</v>
      </c>
      <c r="CN32" s="205">
        <v>0.4052236060193658</v>
      </c>
      <c r="CP32" s="305"/>
      <c r="CR32" s="116"/>
      <c r="CS32" s="12" t="str">
        <f t="shared" si="16"/>
        <v>COLELC-GAS-CAM7</v>
      </c>
      <c r="CT32" s="11" t="str">
        <f t="shared" si="19"/>
        <v>ELC-G-COL-CAM7</v>
      </c>
      <c r="CU32" s="266">
        <v>1.1268327155444839E-2</v>
      </c>
      <c r="CZ32" s="1"/>
      <c r="DA32" s="12" t="str">
        <f t="shared" si="17"/>
        <v>COLFUEL-GAS-CAM7</v>
      </c>
      <c r="DB32" s="11" t="str">
        <f>+BD22</f>
        <v>ELC-COL-CAM7</v>
      </c>
      <c r="DC32" s="266">
        <f>+'5. Data'!N189/('5. Data'!N189+1)</f>
        <v>1.1268327155444839E-2</v>
      </c>
      <c r="DH32" s="656"/>
      <c r="DJ32" s="116"/>
    </row>
    <row r="33" spans="2:114" ht="15.75" customHeight="1" x14ac:dyDescent="0.25">
      <c r="B33" s="116"/>
      <c r="I33" s="656"/>
      <c r="K33" s="116"/>
      <c r="M33" s="214" t="s">
        <v>1117</v>
      </c>
      <c r="N33" s="214">
        <v>2043</v>
      </c>
      <c r="O33" s="287">
        <v>17.354491524384926</v>
      </c>
      <c r="X33" s="1"/>
      <c r="Y33" s="1"/>
      <c r="Z33" s="1"/>
      <c r="AA33" s="1"/>
      <c r="AB33" s="656"/>
      <c r="AC33" s="1"/>
      <c r="AD33" s="116"/>
      <c r="AL33" s="656"/>
      <c r="AM33" s="1"/>
      <c r="AN33" s="1"/>
      <c r="AO33" s="1"/>
      <c r="AP33" s="1"/>
      <c r="AQ33" s="1"/>
      <c r="AR33" s="1"/>
      <c r="AS33" s="19" t="str">
        <f>+PROCESS!N162</f>
        <v>AUTO-DSL-CAM2-CAM3</v>
      </c>
      <c r="AT33" s="720" t="str">
        <f t="shared" ref="AT33:AT34" si="21">+AP17</f>
        <v>FUEL-DSL-CAM2</v>
      </c>
      <c r="AU33" s="344" t="str">
        <f>+AU31</f>
        <v>ELC-CAM2-CAM3</v>
      </c>
      <c r="AV33" s="400">
        <f>+'5. Data'!W209</f>
        <v>0.35</v>
      </c>
      <c r="AW33" s="1"/>
      <c r="AX33" s="1"/>
      <c r="AY33" s="1"/>
      <c r="AZ33" s="1"/>
      <c r="BA33" s="1"/>
      <c r="BB33" s="1" t="str">
        <f>+PROCESS!N181</f>
        <v>AUTO-COL-DSL-CAM2-CAM3</v>
      </c>
      <c r="BC33" s="720" t="str">
        <v>FUEL-DSL-CAM2</v>
      </c>
      <c r="BD33" s="344" t="str">
        <f>+COMM!D139</f>
        <v>ELC-COL-CAM2-CAM3</v>
      </c>
      <c r="BE33" s="400">
        <f>+'5. Data'!W221</f>
        <v>0.35</v>
      </c>
      <c r="BF33" s="1"/>
      <c r="BG33" s="1"/>
      <c r="BH33" s="1"/>
      <c r="BI33" s="1"/>
      <c r="BJ33" s="1"/>
      <c r="BK33" s="43"/>
      <c r="BL33" s="116"/>
      <c r="BU33" s="1"/>
      <c r="BV33" s="1"/>
      <c r="BW33" s="1"/>
      <c r="BX33" s="656"/>
      <c r="BZ33" s="657"/>
      <c r="CA33" s="1"/>
      <c r="CB33" s="1"/>
      <c r="CC33" s="1"/>
      <c r="CD33" s="1"/>
      <c r="CE33" s="1"/>
      <c r="CF33" s="1"/>
      <c r="CG33" s="1"/>
      <c r="CH33" s="1"/>
      <c r="CM33" s="719" t="str">
        <v>COLELC-MOIL-CAM6</v>
      </c>
      <c r="CN33" s="205">
        <v>0.4052236060193658</v>
      </c>
      <c r="CP33" s="305"/>
      <c r="CR33" s="116"/>
      <c r="CZ33" s="1"/>
      <c r="DA33" s="1"/>
      <c r="DB33" s="1"/>
      <c r="DC33" s="1"/>
      <c r="DD33" s="1"/>
      <c r="DE33" s="1"/>
      <c r="DF33" s="1"/>
      <c r="DG33" s="1"/>
      <c r="DH33" s="656"/>
      <c r="DJ33" s="116"/>
    </row>
    <row r="34" spans="2:114" ht="15.75" customHeight="1" x14ac:dyDescent="0.25">
      <c r="B34" s="116"/>
      <c r="I34" s="656"/>
      <c r="K34" s="116"/>
      <c r="M34" s="214" t="s">
        <v>1117</v>
      </c>
      <c r="N34" s="214">
        <v>2045</v>
      </c>
      <c r="O34" s="287">
        <v>13.326221724272058</v>
      </c>
      <c r="X34" s="1"/>
      <c r="Y34" s="1"/>
      <c r="Z34" s="1"/>
      <c r="AA34" s="1"/>
      <c r="AB34" s="656"/>
      <c r="AC34" s="1"/>
      <c r="AD34" s="116"/>
      <c r="AL34" s="656"/>
      <c r="AM34" s="1"/>
      <c r="AN34" s="1"/>
      <c r="AO34" s="1"/>
      <c r="AP34" s="1"/>
      <c r="AQ34" s="1"/>
      <c r="AR34" s="1"/>
      <c r="AS34" s="1"/>
      <c r="AT34" s="718" t="str">
        <f t="shared" si="21"/>
        <v>FUEL-DSL-CAM3</v>
      </c>
      <c r="AU34" s="344"/>
      <c r="AV34" s="2"/>
      <c r="AW34" s="1"/>
      <c r="AX34" s="1"/>
      <c r="AY34" s="1"/>
      <c r="AZ34" s="1"/>
      <c r="BA34" s="1"/>
      <c r="BB34" s="1"/>
      <c r="BC34" s="718" t="str">
        <v>FUEL-DSL-CAM3</v>
      </c>
      <c r="BD34" s="344"/>
      <c r="BE34" s="2"/>
      <c r="BF34" s="1"/>
      <c r="BG34" s="1"/>
      <c r="BH34" s="1"/>
      <c r="BI34" s="1"/>
      <c r="BJ34" s="1"/>
      <c r="BK34" s="43"/>
      <c r="BL34" s="116"/>
      <c r="BU34" s="1"/>
      <c r="BV34" s="1"/>
      <c r="BW34" s="1"/>
      <c r="BX34" s="656"/>
      <c r="BZ34" s="657"/>
      <c r="CA34" s="1"/>
      <c r="CB34" s="1"/>
      <c r="CC34" s="1"/>
      <c r="CD34" s="1"/>
      <c r="CE34" s="1"/>
      <c r="CF34" s="1"/>
      <c r="CG34" s="1"/>
      <c r="CH34" s="1"/>
      <c r="CP34" s="305"/>
      <c r="CR34" s="116"/>
      <c r="CZ34" s="1"/>
      <c r="DA34" s="1"/>
      <c r="DB34" s="1"/>
      <c r="DC34" s="1"/>
      <c r="DD34" s="1"/>
      <c r="DE34" s="1"/>
      <c r="DF34" s="1"/>
      <c r="DG34" s="1"/>
      <c r="DH34" s="656"/>
      <c r="DJ34" s="116"/>
    </row>
    <row r="35" spans="2:114" ht="15.75" customHeight="1" x14ac:dyDescent="0.25">
      <c r="B35" s="116"/>
      <c r="I35" s="656"/>
      <c r="K35" s="116"/>
      <c r="M35" s="214" t="s">
        <v>1117</v>
      </c>
      <c r="N35" s="214">
        <v>2047</v>
      </c>
      <c r="O35" s="287">
        <v>10.029486407153993</v>
      </c>
      <c r="Q35" s="421"/>
      <c r="U35" s="721"/>
      <c r="V35" s="721"/>
      <c r="X35" s="1"/>
      <c r="Y35" s="1"/>
      <c r="Z35" s="1"/>
      <c r="AA35" s="1"/>
      <c r="AB35" s="656"/>
      <c r="AC35" s="1"/>
      <c r="AD35" s="116"/>
      <c r="AL35" s="656"/>
      <c r="AM35" s="1"/>
      <c r="AN35" s="1"/>
      <c r="AO35" s="1"/>
      <c r="AP35" s="1"/>
      <c r="AQ35" s="1"/>
      <c r="AR35" s="1"/>
      <c r="AS35" s="19" t="str">
        <f>+PROCESS!N163</f>
        <v>AUTO-LPG-CAM2-CAM3</v>
      </c>
      <c r="AT35" s="1" t="str">
        <f>+AP30</f>
        <v>FUEL-LPG-CAM2</v>
      </c>
      <c r="AU35" s="1" t="str">
        <f>+AU33</f>
        <v>ELC-CAM2-CAM3</v>
      </c>
      <c r="AV35" s="322">
        <f>+'5. Data'!T209</f>
        <v>0.35</v>
      </c>
      <c r="AW35" s="370"/>
      <c r="AX35" s="1"/>
      <c r="AY35" s="1"/>
      <c r="AZ35" s="1"/>
      <c r="BA35" s="1"/>
      <c r="BB35" s="1"/>
      <c r="BC35" s="1"/>
      <c r="BD35" s="1"/>
      <c r="BE35" s="322"/>
      <c r="BF35" s="1"/>
      <c r="BG35" s="1"/>
      <c r="BH35" s="1"/>
      <c r="BI35" s="1"/>
      <c r="BJ35" s="1"/>
      <c r="BK35" s="43"/>
      <c r="BL35" s="116"/>
      <c r="BU35" s="1"/>
      <c r="BV35" s="1"/>
      <c r="BW35" s="1"/>
      <c r="BX35" s="656"/>
      <c r="BZ35" s="657"/>
      <c r="CA35" s="1"/>
      <c r="CB35" s="1"/>
      <c r="CC35" s="1"/>
      <c r="CD35" s="1"/>
      <c r="CE35" s="1"/>
      <c r="CF35" s="1"/>
      <c r="CG35" s="1"/>
      <c r="CH35" s="1"/>
      <c r="CP35" s="305"/>
      <c r="CR35" s="116"/>
      <c r="CZ35" s="1"/>
      <c r="DA35" s="1"/>
      <c r="DB35" s="1"/>
      <c r="DC35" s="1"/>
      <c r="DD35" s="1"/>
      <c r="DE35" s="1"/>
      <c r="DF35" s="1"/>
      <c r="DG35" s="1"/>
      <c r="DH35" s="656"/>
      <c r="DJ35" s="116"/>
    </row>
    <row r="36" spans="2:114" ht="15.75" customHeight="1" x14ac:dyDescent="0.25">
      <c r="B36" s="116"/>
      <c r="I36" s="656"/>
      <c r="K36" s="116"/>
      <c r="M36" s="214" t="s">
        <v>1117</v>
      </c>
      <c r="N36" s="214">
        <v>2050</v>
      </c>
      <c r="O36" s="287">
        <v>6.6898601086639449</v>
      </c>
      <c r="Q36" s="421"/>
      <c r="U36" s="722"/>
      <c r="X36" s="1"/>
      <c r="Y36" s="1"/>
      <c r="Z36" s="1"/>
      <c r="AA36" s="1"/>
      <c r="AB36" s="656"/>
      <c r="AC36" s="1"/>
      <c r="AD36" s="116"/>
      <c r="AL36" s="656"/>
      <c r="AM36" s="1"/>
      <c r="AN36" s="1"/>
      <c r="AO36" s="1"/>
      <c r="AP36" s="1"/>
      <c r="AQ36" s="1"/>
      <c r="AR36" s="1"/>
      <c r="AS36" s="1"/>
      <c r="AT36" s="1"/>
      <c r="AU36" s="704"/>
      <c r="AV36" s="703"/>
      <c r="AW36" s="370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43"/>
      <c r="BL36" s="116"/>
      <c r="BU36" s="1"/>
      <c r="BV36" s="1"/>
      <c r="BW36" s="1"/>
      <c r="BX36" s="656"/>
      <c r="BZ36" s="657"/>
      <c r="CA36" s="1"/>
      <c r="CB36" s="1"/>
      <c r="CC36" s="1"/>
      <c r="CD36" s="1"/>
      <c r="CE36" s="1"/>
      <c r="CF36" s="1"/>
      <c r="CG36" s="1"/>
      <c r="CH36" s="1"/>
      <c r="CP36" s="305"/>
      <c r="CR36" s="116"/>
      <c r="CZ36" s="1"/>
      <c r="DA36" s="1"/>
      <c r="DB36" s="1"/>
      <c r="DC36" s="1"/>
      <c r="DD36" s="1"/>
      <c r="DE36" s="1"/>
      <c r="DF36" s="1"/>
      <c r="DG36" s="1"/>
      <c r="DH36" s="656"/>
      <c r="DJ36" s="116"/>
    </row>
    <row r="37" spans="2:114" ht="15.75" customHeight="1" x14ac:dyDescent="0.25">
      <c r="B37" s="116"/>
      <c r="I37" s="656"/>
      <c r="K37" s="116"/>
      <c r="L37" s="214" t="str">
        <f>+PROCESS!N26</f>
        <v>PROF-CAM3</v>
      </c>
      <c r="M37" s="214" t="s">
        <v>1117</v>
      </c>
      <c r="N37" s="214">
        <v>2019</v>
      </c>
      <c r="O37" s="287">
        <f t="array" ref="O37:O50">+TRANSPOSE('5. Data'!AI101:AV101)</f>
        <v>726.70451084468357</v>
      </c>
      <c r="Q37" s="421"/>
      <c r="X37" s="1"/>
      <c r="Y37" s="1"/>
      <c r="Z37" s="1"/>
      <c r="AA37" s="1"/>
      <c r="AB37" s="656"/>
      <c r="AC37" s="1"/>
      <c r="AD37" s="116"/>
      <c r="AL37" s="656"/>
      <c r="AM37" s="1"/>
      <c r="AN37" s="1"/>
      <c r="AO37" s="1"/>
      <c r="AP37" s="1"/>
      <c r="AQ37" s="1"/>
      <c r="AR37" s="1"/>
      <c r="AS37" s="1"/>
      <c r="AT37" s="1"/>
      <c r="AU37" s="704"/>
      <c r="AV37" s="703"/>
      <c r="AW37" s="370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43"/>
      <c r="BL37" s="116"/>
      <c r="BU37" s="1"/>
      <c r="BV37" s="1"/>
      <c r="BW37" s="1"/>
      <c r="BX37" s="656"/>
      <c r="BZ37" s="657"/>
      <c r="CA37" s="1"/>
      <c r="CB37" s="1"/>
      <c r="CC37" s="1"/>
      <c r="CD37" s="1"/>
      <c r="CE37" s="1"/>
      <c r="CF37" s="1"/>
      <c r="CG37" s="1"/>
      <c r="CH37" s="1"/>
      <c r="CP37" s="305"/>
      <c r="CR37" s="116"/>
      <c r="CZ37" s="1"/>
      <c r="DA37" s="1"/>
      <c r="DB37" s="1"/>
      <c r="DC37" s="1"/>
      <c r="DD37" s="1"/>
      <c r="DE37" s="1"/>
      <c r="DF37" s="1"/>
      <c r="DG37" s="1"/>
      <c r="DH37" s="656"/>
      <c r="DJ37" s="116"/>
    </row>
    <row r="38" spans="2:114" ht="15.75" customHeight="1" x14ac:dyDescent="0.25">
      <c r="B38" s="116"/>
      <c r="I38" s="656"/>
      <c r="K38" s="116"/>
      <c r="M38" s="214" t="s">
        <v>1117</v>
      </c>
      <c r="N38" s="214">
        <v>2020</v>
      </c>
      <c r="O38" s="287">
        <v>687.86225103060212</v>
      </c>
      <c r="Q38" s="421"/>
      <c r="X38" s="1"/>
      <c r="Y38" s="1"/>
      <c r="Z38" s="1"/>
      <c r="AA38" s="1"/>
      <c r="AB38" s="656"/>
      <c r="AC38" s="1"/>
      <c r="AD38" s="116"/>
      <c r="AL38" s="656"/>
      <c r="AM38" s="1"/>
      <c r="AN38" s="1"/>
      <c r="AO38" s="1"/>
      <c r="AP38" s="1"/>
      <c r="AQ38" s="1"/>
      <c r="AR38" s="1"/>
      <c r="AS38" s="1"/>
      <c r="AT38" s="1"/>
      <c r="AU38" s="704"/>
      <c r="AV38" s="703"/>
      <c r="AW38" s="370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43"/>
      <c r="BL38" s="116"/>
      <c r="BU38" s="1"/>
      <c r="BV38" s="1"/>
      <c r="BW38" s="1"/>
      <c r="BX38" s="656"/>
      <c r="BZ38" s="657"/>
      <c r="CA38" s="1"/>
      <c r="CB38" s="1"/>
      <c r="CC38" s="1"/>
      <c r="CD38" s="1"/>
      <c r="CE38" s="1"/>
      <c r="CF38" s="1"/>
      <c r="CG38" s="1"/>
      <c r="CH38" s="1"/>
      <c r="CP38" s="305"/>
      <c r="CR38" s="116"/>
      <c r="CZ38" s="1"/>
      <c r="DA38" s="1"/>
      <c r="DB38" s="1"/>
      <c r="DC38" s="1"/>
      <c r="DD38" s="1"/>
      <c r="DE38" s="1"/>
      <c r="DF38" s="1"/>
      <c r="DG38" s="1"/>
      <c r="DH38" s="656"/>
      <c r="DJ38" s="116"/>
    </row>
    <row r="39" spans="2:114" ht="15.75" customHeight="1" x14ac:dyDescent="0.25">
      <c r="B39" s="116"/>
      <c r="I39" s="656"/>
      <c r="K39" s="116"/>
      <c r="M39" s="214" t="s">
        <v>1117</v>
      </c>
      <c r="N39" s="214">
        <v>2023</v>
      </c>
      <c r="O39" s="287">
        <v>587.55750824736049</v>
      </c>
      <c r="Q39" s="421"/>
      <c r="X39" s="1"/>
      <c r="Y39" s="1"/>
      <c r="Z39" s="1"/>
      <c r="AA39" s="1"/>
      <c r="AB39" s="656"/>
      <c r="AC39" s="1"/>
      <c r="AD39" s="116"/>
      <c r="AL39" s="656"/>
      <c r="AM39" s="1"/>
      <c r="AN39" s="1"/>
      <c r="AO39" s="1"/>
      <c r="AP39" s="1"/>
      <c r="AQ39" s="1"/>
      <c r="AR39" s="1"/>
      <c r="AS39" s="1"/>
      <c r="AT39" s="1"/>
      <c r="AU39" s="19"/>
      <c r="AV39" s="703"/>
      <c r="AW39" s="370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43"/>
      <c r="BL39" s="116"/>
      <c r="BU39" s="1"/>
      <c r="BV39" s="1"/>
      <c r="BW39" s="1"/>
      <c r="BX39" s="656"/>
      <c r="BZ39" s="657"/>
      <c r="CA39" s="1"/>
      <c r="CB39" s="1"/>
      <c r="CC39" s="1"/>
      <c r="CD39" s="1"/>
      <c r="CE39" s="1"/>
      <c r="CF39" s="1"/>
      <c r="CG39" s="1"/>
      <c r="CH39" s="1"/>
      <c r="CP39" s="305"/>
      <c r="CR39" s="116"/>
      <c r="CZ39" s="1"/>
      <c r="DA39" s="1"/>
      <c r="DB39" s="1"/>
      <c r="DC39" s="1"/>
      <c r="DD39" s="1"/>
      <c r="DE39" s="1"/>
      <c r="DF39" s="1"/>
      <c r="DG39" s="1"/>
      <c r="DH39" s="656"/>
      <c r="DJ39" s="116"/>
    </row>
    <row r="40" spans="2:114" ht="15.75" customHeight="1" x14ac:dyDescent="0.25">
      <c r="B40" s="116"/>
      <c r="I40" s="656"/>
      <c r="K40" s="116"/>
      <c r="M40" s="214" t="s">
        <v>1117</v>
      </c>
      <c r="N40" s="214">
        <v>2025</v>
      </c>
      <c r="O40" s="287">
        <v>494.42471335568871</v>
      </c>
      <c r="Q40" s="421"/>
      <c r="X40" s="1"/>
      <c r="Y40" s="1"/>
      <c r="Z40" s="1"/>
      <c r="AA40" s="1"/>
      <c r="AB40" s="656"/>
      <c r="AC40" s="1"/>
      <c r="AD40" s="116"/>
      <c r="AL40" s="656"/>
      <c r="AM40" s="1"/>
      <c r="AN40" s="1"/>
      <c r="AO40" s="1"/>
      <c r="AP40" s="1"/>
      <c r="AQ40" s="1"/>
      <c r="AR40" s="1"/>
      <c r="AS40" s="1"/>
      <c r="AT40" s="1"/>
      <c r="AU40" s="19"/>
      <c r="AV40" s="703"/>
      <c r="AW40" s="370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43"/>
      <c r="BL40" s="116"/>
      <c r="BU40" s="1"/>
      <c r="BV40" s="1"/>
      <c r="BW40" s="1"/>
      <c r="BX40" s="656"/>
      <c r="BZ40" s="657"/>
      <c r="CA40" s="1"/>
      <c r="CB40" s="1"/>
      <c r="CC40" s="1"/>
      <c r="CD40" s="1"/>
      <c r="CE40" s="1"/>
      <c r="CF40" s="1"/>
      <c r="CG40" s="1"/>
      <c r="CH40" s="1"/>
      <c r="CP40" s="305"/>
      <c r="CR40" s="116"/>
      <c r="CZ40" s="1"/>
      <c r="DA40" s="1"/>
      <c r="DB40" s="1"/>
      <c r="DC40" s="1"/>
      <c r="DD40" s="1"/>
      <c r="DE40" s="1"/>
      <c r="DF40" s="1"/>
      <c r="DG40" s="1"/>
      <c r="DH40" s="656"/>
      <c r="DJ40" s="116"/>
    </row>
    <row r="41" spans="2:114" ht="15.75" customHeight="1" x14ac:dyDescent="0.25">
      <c r="B41" s="116"/>
      <c r="I41" s="656"/>
      <c r="K41" s="116"/>
      <c r="M41" s="214" t="s">
        <v>1117</v>
      </c>
      <c r="N41" s="214">
        <v>2027</v>
      </c>
      <c r="O41" s="287">
        <v>420.57125502833946</v>
      </c>
      <c r="Q41" s="421"/>
      <c r="X41" s="1"/>
      <c r="Y41" s="1"/>
      <c r="Z41" s="1"/>
      <c r="AA41" s="1"/>
      <c r="AB41" s="656"/>
      <c r="AC41" s="1"/>
      <c r="AD41" s="116"/>
      <c r="AL41" s="656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43"/>
      <c r="BL41" s="116"/>
      <c r="BU41" s="1"/>
      <c r="BV41" s="1"/>
      <c r="BW41" s="1"/>
      <c r="BX41" s="656"/>
      <c r="BZ41" s="657"/>
      <c r="CA41" s="1"/>
      <c r="CB41" s="1"/>
      <c r="CC41" s="1"/>
      <c r="CD41" s="1"/>
      <c r="CE41" s="1"/>
      <c r="CF41" s="1"/>
      <c r="CG41" s="1"/>
      <c r="CH41" s="1"/>
      <c r="CP41" s="305"/>
      <c r="CR41" s="116"/>
      <c r="CZ41" s="1"/>
      <c r="DA41" s="1"/>
      <c r="DB41" s="1"/>
      <c r="DC41" s="1"/>
      <c r="DD41" s="1"/>
      <c r="DE41" s="1"/>
      <c r="DF41" s="1"/>
      <c r="DG41" s="1"/>
      <c r="DH41" s="656"/>
      <c r="DJ41" s="116"/>
    </row>
    <row r="42" spans="2:114" ht="15.75" customHeight="1" x14ac:dyDescent="0.25">
      <c r="B42" s="116"/>
      <c r="I42" s="656"/>
      <c r="K42" s="116"/>
      <c r="M42" s="214" t="s">
        <v>1117</v>
      </c>
      <c r="N42" s="214">
        <v>2030</v>
      </c>
      <c r="O42" s="287">
        <v>309.7910675373156</v>
      </c>
      <c r="X42" s="1"/>
      <c r="Y42" s="1"/>
      <c r="Z42" s="1"/>
      <c r="AA42" s="1"/>
      <c r="AB42" s="656"/>
      <c r="AC42" s="1"/>
      <c r="AD42" s="116"/>
      <c r="AL42" s="656"/>
      <c r="AM42" s="1"/>
      <c r="AN42" s="283" t="s">
        <v>987</v>
      </c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43"/>
      <c r="BL42" s="116"/>
      <c r="BU42" s="1"/>
      <c r="BV42" s="1"/>
      <c r="BW42" s="1"/>
      <c r="BX42" s="656"/>
      <c r="BZ42" s="657"/>
      <c r="CA42" s="1"/>
      <c r="CB42" s="1"/>
      <c r="CC42" s="1"/>
      <c r="CD42" s="1"/>
      <c r="CE42" s="1"/>
      <c r="CF42" s="1"/>
      <c r="CG42" s="1"/>
      <c r="CH42" s="1"/>
      <c r="CP42" s="305"/>
      <c r="CR42" s="116"/>
      <c r="CZ42" s="1"/>
      <c r="DA42" s="1"/>
      <c r="DB42" s="1"/>
      <c r="DC42" s="1"/>
      <c r="DD42" s="1"/>
      <c r="DE42" s="1"/>
      <c r="DF42" s="1"/>
      <c r="DG42" s="1"/>
      <c r="DH42" s="656"/>
      <c r="DJ42" s="116"/>
    </row>
    <row r="43" spans="2:114" ht="15.75" customHeight="1" x14ac:dyDescent="0.25">
      <c r="B43" s="116"/>
      <c r="I43" s="656"/>
      <c r="K43" s="116"/>
      <c r="M43" s="214" t="s">
        <v>1117</v>
      </c>
      <c r="N43" s="214">
        <v>2033</v>
      </c>
      <c r="O43" s="287">
        <v>257.83201320744161</v>
      </c>
      <c r="X43" s="1"/>
      <c r="Y43" s="1"/>
      <c r="Z43" s="1"/>
      <c r="AA43" s="1"/>
      <c r="AB43" s="656"/>
      <c r="AC43" s="1"/>
      <c r="AD43" s="116"/>
      <c r="AL43" s="656"/>
      <c r="AM43" s="1"/>
      <c r="AN43" s="337" t="s">
        <v>43</v>
      </c>
      <c r="AO43" s="723" t="str">
        <f>+AP9</f>
        <v>FUEL-GAS-CAM1</v>
      </c>
      <c r="AP43" s="337" t="str">
        <f>+AP16</f>
        <v>FUEL-DSL-CAM1</v>
      </c>
      <c r="AQ43" s="724" t="str">
        <f>+AP23</f>
        <v>FUEL-OIL-CAM1</v>
      </c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43"/>
      <c r="BL43" s="116"/>
      <c r="BU43" s="1"/>
      <c r="BV43" s="1"/>
      <c r="BW43" s="1"/>
      <c r="BX43" s="656"/>
      <c r="BZ43" s="657"/>
      <c r="CA43" s="1"/>
      <c r="CB43" s="1"/>
      <c r="CC43" s="1"/>
      <c r="CD43" s="1"/>
      <c r="CE43" s="1"/>
      <c r="CF43" s="1"/>
      <c r="CG43" s="1"/>
      <c r="CH43" s="1"/>
      <c r="CP43" s="305"/>
      <c r="CR43" s="116"/>
      <c r="CZ43" s="1"/>
      <c r="DA43" s="1"/>
      <c r="DB43" s="1"/>
      <c r="DC43" s="1"/>
      <c r="DD43" s="1"/>
      <c r="DE43" s="1"/>
      <c r="DF43" s="1"/>
      <c r="DG43" s="1"/>
      <c r="DH43" s="656"/>
      <c r="DJ43" s="116"/>
    </row>
    <row r="44" spans="2:114" ht="15.75" customHeight="1" x14ac:dyDescent="0.25">
      <c r="B44" s="116"/>
      <c r="I44" s="656"/>
      <c r="K44" s="116"/>
      <c r="M44" s="214" t="s">
        <v>1117</v>
      </c>
      <c r="N44" s="214">
        <v>2035</v>
      </c>
      <c r="O44" s="287">
        <v>218.66172919585773</v>
      </c>
      <c r="X44" s="1"/>
      <c r="Y44" s="1"/>
      <c r="Z44" s="1"/>
      <c r="AA44" s="1"/>
      <c r="AB44" s="656"/>
      <c r="AC44" s="1"/>
      <c r="AD44" s="116"/>
      <c r="AL44" s="656"/>
      <c r="AM44" s="1"/>
      <c r="AN44" s="14" t="str">
        <f>+COMM!AK20</f>
        <v>CO2e-CAM1</v>
      </c>
      <c r="AO44" s="365">
        <f>+AO75</f>
        <v>55.539114956987063</v>
      </c>
      <c r="AP44" s="365">
        <f>+AO79</f>
        <v>75.166375708662926</v>
      </c>
      <c r="AQ44" s="365">
        <f>+AO76</f>
        <v>77.841777688967127</v>
      </c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43"/>
      <c r="BL44" s="116"/>
      <c r="BU44" s="1"/>
      <c r="BV44" s="1"/>
      <c r="BW44" s="1"/>
      <c r="BX44" s="656"/>
      <c r="BZ44" s="657"/>
      <c r="CA44" s="1"/>
      <c r="CB44" s="1"/>
      <c r="CC44" s="1"/>
      <c r="CD44" s="1"/>
      <c r="CE44" s="1"/>
      <c r="CF44" s="1"/>
      <c r="CG44" s="1"/>
      <c r="CH44" s="1"/>
      <c r="CP44" s="305"/>
      <c r="CR44" s="116"/>
      <c r="CZ44" s="1"/>
      <c r="DA44" s="1"/>
      <c r="DB44" s="1"/>
      <c r="DC44" s="1"/>
      <c r="DD44" s="1"/>
      <c r="DE44" s="1"/>
      <c r="DF44" s="1"/>
      <c r="DG44" s="1"/>
      <c r="DH44" s="656"/>
      <c r="DJ44" s="116"/>
    </row>
    <row r="45" spans="2:114" ht="15.75" customHeight="1" x14ac:dyDescent="0.25">
      <c r="B45" s="116"/>
      <c r="I45" s="656"/>
      <c r="K45" s="116"/>
      <c r="M45" s="214" t="s">
        <v>1117</v>
      </c>
      <c r="N45" s="214">
        <v>2037</v>
      </c>
      <c r="O45" s="287">
        <v>182.14935775491111</v>
      </c>
      <c r="X45" s="1"/>
      <c r="Y45" s="1"/>
      <c r="Z45" s="1"/>
      <c r="AA45" s="1"/>
      <c r="AB45" s="656"/>
      <c r="AC45" s="1"/>
      <c r="AD45" s="116"/>
      <c r="AL45" s="656"/>
      <c r="AM45" s="1"/>
      <c r="AO45" s="330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43"/>
      <c r="BL45" s="116"/>
      <c r="BU45" s="1"/>
      <c r="BV45" s="1"/>
      <c r="BW45" s="1"/>
      <c r="BX45" s="656"/>
      <c r="BZ45" s="657"/>
      <c r="CA45" s="1"/>
      <c r="CB45" s="1"/>
      <c r="CC45" s="1"/>
      <c r="CD45" s="1"/>
      <c r="CE45" s="1"/>
      <c r="CF45" s="1"/>
      <c r="CG45" s="1"/>
      <c r="CH45" s="1"/>
      <c r="CP45" s="305"/>
      <c r="CR45" s="116"/>
      <c r="CZ45" s="1"/>
      <c r="DA45" s="1"/>
      <c r="DB45" s="1"/>
      <c r="DC45" s="1"/>
      <c r="DD45" s="1"/>
      <c r="DE45" s="1"/>
      <c r="DF45" s="1"/>
      <c r="DG45" s="1"/>
      <c r="DH45" s="656"/>
      <c r="DJ45" s="116"/>
    </row>
    <row r="46" spans="2:114" ht="15.75" customHeight="1" x14ac:dyDescent="0.25">
      <c r="B46" s="116"/>
      <c r="I46" s="656"/>
      <c r="K46" s="116"/>
      <c r="M46" s="214" t="s">
        <v>1117</v>
      </c>
      <c r="N46" s="214">
        <v>2040</v>
      </c>
      <c r="O46" s="287">
        <v>127.3982825137665</v>
      </c>
      <c r="X46" s="1"/>
      <c r="Y46" s="1"/>
      <c r="Z46" s="1"/>
      <c r="AA46" s="1"/>
      <c r="AB46" s="656"/>
      <c r="AC46" s="1"/>
      <c r="AD46" s="116"/>
      <c r="AL46" s="656"/>
      <c r="AM46" s="1"/>
      <c r="AO46" s="330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43"/>
      <c r="BL46" s="116"/>
      <c r="BU46" s="1"/>
      <c r="BV46" s="1"/>
      <c r="BW46" s="1"/>
      <c r="BX46" s="656"/>
      <c r="BZ46" s="657"/>
      <c r="CA46" s="1"/>
      <c r="CB46" s="1"/>
      <c r="CC46" s="1"/>
      <c r="CD46" s="1"/>
      <c r="CE46" s="1"/>
      <c r="CF46" s="1"/>
      <c r="CG46" s="1"/>
      <c r="CH46" s="1"/>
      <c r="CP46" s="305"/>
      <c r="CR46" s="116"/>
      <c r="CZ46" s="1"/>
      <c r="DA46" s="1"/>
      <c r="DB46" s="1"/>
      <c r="DC46" s="1"/>
      <c r="DD46" s="1"/>
      <c r="DE46" s="1"/>
      <c r="DF46" s="1"/>
      <c r="DG46" s="1"/>
      <c r="DH46" s="656"/>
      <c r="DJ46" s="116"/>
    </row>
    <row r="47" spans="2:114" ht="15.75" customHeight="1" x14ac:dyDescent="0.25">
      <c r="B47" s="116"/>
      <c r="I47" s="656"/>
      <c r="K47" s="116"/>
      <c r="M47" s="214" t="s">
        <v>1117</v>
      </c>
      <c r="N47" s="214">
        <v>2043</v>
      </c>
      <c r="O47" s="287">
        <v>81.49849118140061</v>
      </c>
      <c r="X47" s="1"/>
      <c r="Y47" s="1"/>
      <c r="Z47" s="1"/>
      <c r="AA47" s="1"/>
      <c r="AB47" s="656"/>
      <c r="AC47" s="1"/>
      <c r="AD47" s="116"/>
      <c r="AL47" s="656"/>
      <c r="AM47" s="1"/>
      <c r="AN47" s="283" t="s">
        <v>987</v>
      </c>
      <c r="AO47" s="330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43"/>
      <c r="BL47" s="116"/>
      <c r="BU47" s="1"/>
      <c r="BV47" s="1"/>
      <c r="BW47" s="1"/>
      <c r="BX47" s="656"/>
      <c r="BZ47" s="657"/>
      <c r="CA47" s="1"/>
      <c r="CB47" s="1"/>
      <c r="CC47" s="1"/>
      <c r="CD47" s="1"/>
      <c r="CE47" s="1"/>
      <c r="CF47" s="1"/>
      <c r="CG47" s="1"/>
      <c r="CH47" s="1"/>
      <c r="CP47" s="305"/>
      <c r="CR47" s="116"/>
      <c r="CZ47" s="1"/>
      <c r="DA47" s="1"/>
      <c r="DB47" s="1"/>
      <c r="DC47" s="1"/>
      <c r="DD47" s="1"/>
      <c r="DE47" s="1"/>
      <c r="DF47" s="1"/>
      <c r="DG47" s="1"/>
      <c r="DH47" s="656"/>
      <c r="DJ47" s="116"/>
    </row>
    <row r="48" spans="2:114" ht="15.75" customHeight="1" x14ac:dyDescent="0.25">
      <c r="B48" s="116"/>
      <c r="I48" s="656"/>
      <c r="K48" s="116"/>
      <c r="M48" s="214" t="s">
        <v>1117</v>
      </c>
      <c r="N48" s="214">
        <v>2045</v>
      </c>
      <c r="O48" s="287">
        <v>70.347634082399537</v>
      </c>
      <c r="X48" s="1"/>
      <c r="Y48" s="1"/>
      <c r="Z48" s="1"/>
      <c r="AA48" s="1"/>
      <c r="AB48" s="656"/>
      <c r="AC48" s="1"/>
      <c r="AD48" s="116"/>
      <c r="AL48" s="656"/>
      <c r="AM48" s="1"/>
      <c r="AN48" s="337" t="s">
        <v>43</v>
      </c>
      <c r="AO48" s="723" t="str">
        <f>+AP10</f>
        <v>FUEL-GAS-CAM2</v>
      </c>
      <c r="AP48" s="337" t="str">
        <f>+AP17</f>
        <v>FUEL-DSL-CAM2</v>
      </c>
      <c r="AQ48" s="724" t="str">
        <f>+AP24</f>
        <v>FUEL-OIL-CAM2</v>
      </c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43"/>
      <c r="BL48" s="116"/>
      <c r="BU48" s="1"/>
      <c r="BV48" s="1"/>
      <c r="BW48" s="1"/>
      <c r="BX48" s="656"/>
      <c r="BZ48" s="657"/>
      <c r="CA48" s="1"/>
      <c r="CB48" s="1"/>
      <c r="CC48" s="1"/>
      <c r="CD48" s="1"/>
      <c r="CE48" s="1"/>
      <c r="CF48" s="1"/>
      <c r="CG48" s="1"/>
      <c r="CH48" s="1"/>
      <c r="CP48" s="305"/>
      <c r="CR48" s="116"/>
      <c r="CZ48" s="1"/>
      <c r="DA48" s="1"/>
      <c r="DB48" s="1"/>
      <c r="DC48" s="1"/>
      <c r="DD48" s="1"/>
      <c r="DE48" s="1"/>
      <c r="DF48" s="1"/>
      <c r="DG48" s="1"/>
      <c r="DH48" s="656"/>
      <c r="DJ48" s="116"/>
    </row>
    <row r="49" spans="2:114" ht="15.75" customHeight="1" x14ac:dyDescent="0.25">
      <c r="B49" s="116"/>
      <c r="I49" s="656"/>
      <c r="K49" s="116"/>
      <c r="M49" s="214" t="s">
        <v>1117</v>
      </c>
      <c r="N49" s="214">
        <v>2047</v>
      </c>
      <c r="O49" s="287">
        <v>64.244040865995586</v>
      </c>
      <c r="X49" s="1"/>
      <c r="Y49" s="1"/>
      <c r="Z49" s="1"/>
      <c r="AA49" s="1"/>
      <c r="AB49" s="656"/>
      <c r="AC49" s="1"/>
      <c r="AD49" s="116"/>
      <c r="AL49" s="656"/>
      <c r="AM49" s="1"/>
      <c r="AN49" s="214" t="str">
        <f>+V26</f>
        <v>CO2e-CAM2</v>
      </c>
      <c r="AO49" s="725">
        <f t="shared" ref="AO49:AQ49" si="22">+AO44</f>
        <v>55.539114956987063</v>
      </c>
      <c r="AP49" s="390">
        <f t="shared" si="22"/>
        <v>75.166375708662926</v>
      </c>
      <c r="AQ49" s="370">
        <f t="shared" si="22"/>
        <v>77.841777688967127</v>
      </c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43"/>
      <c r="BL49" s="116"/>
      <c r="BU49" s="1"/>
      <c r="BV49" s="1"/>
      <c r="BW49" s="1"/>
      <c r="BX49" s="656"/>
      <c r="BZ49" s="657"/>
      <c r="CA49" s="1"/>
      <c r="CB49" s="1"/>
      <c r="CC49" s="1"/>
      <c r="CD49" s="1"/>
      <c r="CE49" s="1"/>
      <c r="CF49" s="1"/>
      <c r="CG49" s="1"/>
      <c r="CH49" s="1"/>
      <c r="CP49" s="305"/>
      <c r="CR49" s="116"/>
      <c r="CZ49" s="1"/>
      <c r="DA49" s="1"/>
      <c r="DB49" s="1"/>
      <c r="DC49" s="1"/>
      <c r="DD49" s="1"/>
      <c r="DE49" s="1"/>
      <c r="DF49" s="1"/>
      <c r="DG49" s="1"/>
      <c r="DH49" s="656"/>
      <c r="DJ49" s="116"/>
    </row>
    <row r="50" spans="2:114" ht="15.75" customHeight="1" x14ac:dyDescent="0.25">
      <c r="B50" s="116"/>
      <c r="I50" s="656"/>
      <c r="K50" s="116"/>
      <c r="M50" s="214" t="s">
        <v>1117</v>
      </c>
      <c r="N50" s="214">
        <v>2050</v>
      </c>
      <c r="O50" s="287">
        <v>55.088651041389411</v>
      </c>
      <c r="X50" s="1"/>
      <c r="Y50" s="1"/>
      <c r="Z50" s="1"/>
      <c r="AA50" s="1"/>
      <c r="AB50" s="656"/>
      <c r="AC50" s="1"/>
      <c r="AD50" s="116"/>
      <c r="AL50" s="656"/>
      <c r="AM50" s="1"/>
      <c r="AO50" s="330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43"/>
      <c r="BL50" s="116"/>
      <c r="BU50" s="1"/>
      <c r="BV50" s="1"/>
      <c r="BW50" s="1"/>
      <c r="BX50" s="656"/>
      <c r="BZ50" s="657"/>
      <c r="CA50" s="1"/>
      <c r="CB50" s="1"/>
      <c r="CC50" s="1"/>
      <c r="CD50" s="1"/>
      <c r="CE50" s="1"/>
      <c r="CF50" s="1"/>
      <c r="CG50" s="1"/>
      <c r="CH50" s="1"/>
      <c r="CP50" s="305"/>
      <c r="CR50" s="116"/>
      <c r="CZ50" s="1"/>
      <c r="DA50" s="1"/>
      <c r="DB50" s="1"/>
      <c r="DC50" s="1"/>
      <c r="DD50" s="1"/>
      <c r="DE50" s="1"/>
      <c r="DF50" s="1"/>
      <c r="DG50" s="1"/>
      <c r="DH50" s="656"/>
      <c r="DJ50" s="116"/>
    </row>
    <row r="51" spans="2:114" ht="15.75" customHeight="1" x14ac:dyDescent="0.25">
      <c r="B51" s="116"/>
      <c r="I51" s="656"/>
      <c r="K51" s="116"/>
      <c r="L51" s="214" t="str">
        <f>+PROCESS!N27</f>
        <v>PROF-CAM4</v>
      </c>
      <c r="M51" s="214" t="s">
        <v>1117</v>
      </c>
      <c r="N51" s="214">
        <v>2019</v>
      </c>
      <c r="O51" s="287">
        <f t="array" ref="O51:O64">+TRANSPOSE('5. Data'!AI102:AV102)</f>
        <v>5.6352908998762912</v>
      </c>
      <c r="X51" s="1"/>
      <c r="Y51" s="1"/>
      <c r="Z51" s="1"/>
      <c r="AA51" s="1"/>
      <c r="AB51" s="656"/>
      <c r="AC51" s="1"/>
      <c r="AD51" s="116"/>
      <c r="AL51" s="656"/>
      <c r="AM51" s="1"/>
      <c r="AN51" s="283" t="s">
        <v>987</v>
      </c>
      <c r="AO51" s="330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43"/>
      <c r="BL51" s="116"/>
      <c r="BU51" s="1"/>
      <c r="BV51" s="1"/>
      <c r="BW51" s="1"/>
      <c r="BX51" s="656"/>
      <c r="BZ51" s="657"/>
      <c r="CA51" s="1"/>
      <c r="CB51" s="1"/>
      <c r="CC51" s="1"/>
      <c r="CD51" s="1"/>
      <c r="CE51" s="1"/>
      <c r="CF51" s="1"/>
      <c r="CG51" s="1"/>
      <c r="CH51" s="1"/>
      <c r="CP51" s="305"/>
      <c r="CR51" s="116"/>
      <c r="CZ51" s="1"/>
      <c r="DA51" s="1"/>
      <c r="DB51" s="1"/>
      <c r="DC51" s="1"/>
      <c r="DD51" s="1"/>
      <c r="DE51" s="1"/>
      <c r="DF51" s="1"/>
      <c r="DG51" s="1"/>
      <c r="DH51" s="656"/>
      <c r="DJ51" s="116"/>
    </row>
    <row r="52" spans="2:114" ht="15.75" customHeight="1" x14ac:dyDescent="0.25">
      <c r="B52" s="116"/>
      <c r="I52" s="656"/>
      <c r="K52" s="116"/>
      <c r="M52" s="214" t="s">
        <v>1117</v>
      </c>
      <c r="N52" s="214">
        <v>2020</v>
      </c>
      <c r="O52" s="287">
        <v>5.3251450871105153</v>
      </c>
      <c r="X52" s="1"/>
      <c r="Y52" s="1"/>
      <c r="Z52" s="1"/>
      <c r="AA52" s="1"/>
      <c r="AB52" s="656"/>
      <c r="AC52" s="1"/>
      <c r="AD52" s="116"/>
      <c r="AL52" s="656"/>
      <c r="AM52" s="1"/>
      <c r="AN52" s="337" t="s">
        <v>43</v>
      </c>
      <c r="AO52" s="723" t="str">
        <f>+AP11</f>
        <v>FUEL-GAS-CAM3</v>
      </c>
      <c r="AP52" s="337" t="str">
        <f>+AP18</f>
        <v>FUEL-DSL-CAM3</v>
      </c>
      <c r="AQ52" s="724" t="str">
        <f>+AP25</f>
        <v>FUEL-OIL-CAM3</v>
      </c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43"/>
      <c r="BL52" s="116"/>
      <c r="BU52" s="1"/>
      <c r="BV52" s="1"/>
      <c r="BW52" s="1"/>
      <c r="BX52" s="656"/>
      <c r="BZ52" s="657"/>
      <c r="CA52" s="1"/>
      <c r="CB52" s="1"/>
      <c r="CC52" s="1"/>
      <c r="CD52" s="1"/>
      <c r="CE52" s="1"/>
      <c r="CF52" s="1"/>
      <c r="CG52" s="1"/>
      <c r="CH52" s="1"/>
      <c r="CP52" s="305"/>
      <c r="CR52" s="116"/>
      <c r="CZ52" s="1"/>
      <c r="DA52" s="1"/>
      <c r="DB52" s="1"/>
      <c r="DC52" s="1"/>
      <c r="DD52" s="1"/>
      <c r="DE52" s="1"/>
      <c r="DF52" s="1"/>
      <c r="DG52" s="1"/>
      <c r="DH52" s="656"/>
      <c r="DJ52" s="116"/>
    </row>
    <row r="53" spans="2:114" ht="15.75" customHeight="1" x14ac:dyDescent="0.25">
      <c r="B53" s="116"/>
      <c r="I53" s="656"/>
      <c r="K53" s="116"/>
      <c r="M53" s="214" t="s">
        <v>1117</v>
      </c>
      <c r="N53" s="214">
        <v>2023</v>
      </c>
      <c r="O53" s="287">
        <v>4.6229281525464918</v>
      </c>
      <c r="X53" s="1"/>
      <c r="Y53" s="1"/>
      <c r="Z53" s="1"/>
      <c r="AA53" s="1"/>
      <c r="AB53" s="656"/>
      <c r="AC53" s="1"/>
      <c r="AD53" s="116"/>
      <c r="AL53" s="656"/>
      <c r="AM53" s="1"/>
      <c r="AN53" s="214" t="str">
        <f>+V27</f>
        <v>CO2e-CAM3</v>
      </c>
      <c r="AO53" s="725">
        <f t="shared" ref="AO53:AQ53" si="23">+AO44</f>
        <v>55.539114956987063</v>
      </c>
      <c r="AP53" s="390">
        <f t="shared" si="23"/>
        <v>75.166375708662926</v>
      </c>
      <c r="AQ53" s="370">
        <f t="shared" si="23"/>
        <v>77.841777688967127</v>
      </c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43"/>
      <c r="BL53" s="116"/>
      <c r="BU53" s="1"/>
      <c r="BV53" s="1"/>
      <c r="BW53" s="1"/>
      <c r="BX53" s="656"/>
      <c r="BZ53" s="657"/>
      <c r="CA53" s="1"/>
      <c r="CB53" s="1"/>
      <c r="CC53" s="1"/>
      <c r="CD53" s="1"/>
      <c r="CE53" s="1"/>
      <c r="CF53" s="1"/>
      <c r="CG53" s="1"/>
      <c r="CH53" s="1"/>
      <c r="CP53" s="305"/>
      <c r="CR53" s="116"/>
      <c r="CZ53" s="1"/>
      <c r="DA53" s="1"/>
      <c r="DB53" s="1"/>
      <c r="DC53" s="1"/>
      <c r="DD53" s="1"/>
      <c r="DE53" s="1"/>
      <c r="DF53" s="1"/>
      <c r="DG53" s="1"/>
      <c r="DH53" s="656"/>
      <c r="DJ53" s="116"/>
    </row>
    <row r="54" spans="2:114" ht="15.75" customHeight="1" x14ac:dyDescent="0.25">
      <c r="B54" s="116"/>
      <c r="I54" s="656"/>
      <c r="K54" s="116"/>
      <c r="M54" s="214" t="s">
        <v>1117</v>
      </c>
      <c r="N54" s="214">
        <v>2025</v>
      </c>
      <c r="O54" s="287">
        <v>4.1547835295038089</v>
      </c>
      <c r="X54" s="1"/>
      <c r="Y54" s="1"/>
      <c r="Z54" s="1"/>
      <c r="AA54" s="1"/>
      <c r="AB54" s="656"/>
      <c r="AC54" s="1"/>
      <c r="AD54" s="116"/>
      <c r="AL54" s="656"/>
      <c r="AM54" s="1"/>
      <c r="AO54" s="330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43"/>
      <c r="BL54" s="116"/>
      <c r="BU54" s="1"/>
      <c r="BV54" s="1"/>
      <c r="BW54" s="1"/>
      <c r="BX54" s="656"/>
      <c r="BZ54" s="657"/>
      <c r="CA54" s="1"/>
      <c r="CB54" s="1"/>
      <c r="CC54" s="1"/>
      <c r="CD54" s="1"/>
      <c r="CE54" s="1"/>
      <c r="CF54" s="1"/>
      <c r="CG54" s="1"/>
      <c r="CH54" s="1"/>
      <c r="CP54" s="305"/>
      <c r="CR54" s="116"/>
      <c r="CZ54" s="1"/>
      <c r="DA54" s="1"/>
      <c r="DB54" s="1"/>
      <c r="DC54" s="1"/>
      <c r="DD54" s="1"/>
      <c r="DE54" s="1"/>
      <c r="DF54" s="1"/>
      <c r="DG54" s="1"/>
      <c r="DH54" s="656"/>
      <c r="DJ54" s="116"/>
    </row>
    <row r="55" spans="2:114" ht="15.75" customHeight="1" x14ac:dyDescent="0.25">
      <c r="B55" s="116"/>
      <c r="I55" s="656"/>
      <c r="K55" s="116"/>
      <c r="M55" s="214" t="s">
        <v>1117</v>
      </c>
      <c r="N55" s="214">
        <v>2027</v>
      </c>
      <c r="O55" s="287">
        <v>3.4993810572440527</v>
      </c>
      <c r="X55" s="1"/>
      <c r="Y55" s="1"/>
      <c r="Z55" s="1"/>
      <c r="AA55" s="1"/>
      <c r="AB55" s="656"/>
      <c r="AC55" s="1"/>
      <c r="AD55" s="116"/>
      <c r="AL55" s="656"/>
      <c r="AM55" s="1"/>
      <c r="AN55" s="283" t="s">
        <v>987</v>
      </c>
      <c r="AO55" s="330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43"/>
      <c r="BL55" s="116"/>
      <c r="BU55" s="1"/>
      <c r="BV55" s="1"/>
      <c r="BW55" s="1"/>
      <c r="BX55" s="656"/>
      <c r="BZ55" s="657"/>
      <c r="CA55" s="1"/>
      <c r="CB55" s="1"/>
      <c r="CC55" s="1"/>
      <c r="CD55" s="1"/>
      <c r="CE55" s="1"/>
      <c r="CF55" s="1"/>
      <c r="CG55" s="1"/>
      <c r="CH55" s="1"/>
      <c r="CP55" s="305"/>
      <c r="CR55" s="116"/>
      <c r="CZ55" s="1"/>
      <c r="DA55" s="1"/>
      <c r="DB55" s="1"/>
      <c r="DC55" s="1"/>
      <c r="DD55" s="1"/>
      <c r="DE55" s="1"/>
      <c r="DF55" s="1"/>
      <c r="DG55" s="1"/>
      <c r="DH55" s="656"/>
      <c r="DJ55" s="116"/>
    </row>
    <row r="56" spans="2:114" ht="15.75" customHeight="1" x14ac:dyDescent="0.25">
      <c r="B56" s="116"/>
      <c r="I56" s="656"/>
      <c r="K56" s="116"/>
      <c r="M56" s="214" t="s">
        <v>1117</v>
      </c>
      <c r="N56" s="214">
        <v>2030</v>
      </c>
      <c r="O56" s="287">
        <v>2.5162773488544192</v>
      </c>
      <c r="X56" s="1"/>
      <c r="Y56" s="1"/>
      <c r="Z56" s="1"/>
      <c r="AA56" s="1"/>
      <c r="AB56" s="656"/>
      <c r="AC56" s="1"/>
      <c r="AD56" s="116"/>
      <c r="AL56" s="656"/>
      <c r="AM56" s="1"/>
      <c r="AN56" s="337" t="s">
        <v>43</v>
      </c>
      <c r="AO56" s="723" t="str">
        <f>+AP12</f>
        <v>FUEL-GAS-CAM4</v>
      </c>
      <c r="AP56" s="337" t="str">
        <f>+AP19</f>
        <v>FUEL-DSL-CAM4</v>
      </c>
      <c r="AQ56" s="724" t="str">
        <f>+AP26</f>
        <v>FUEL-OIL-CAM4</v>
      </c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43"/>
      <c r="BL56" s="116"/>
      <c r="BU56" s="1"/>
      <c r="BV56" s="1"/>
      <c r="BW56" s="1"/>
      <c r="BX56" s="656"/>
      <c r="BZ56" s="657"/>
      <c r="CA56" s="1"/>
      <c r="CB56" s="1"/>
      <c r="CC56" s="1"/>
      <c r="CD56" s="1"/>
      <c r="CE56" s="1"/>
      <c r="CF56" s="1"/>
      <c r="CG56" s="1"/>
      <c r="CH56" s="1"/>
      <c r="CP56" s="305"/>
      <c r="CR56" s="116"/>
      <c r="CZ56" s="1"/>
      <c r="DA56" s="1"/>
      <c r="DB56" s="1"/>
      <c r="DC56" s="1"/>
      <c r="DD56" s="1"/>
      <c r="DE56" s="1"/>
      <c r="DF56" s="1"/>
      <c r="DG56" s="1"/>
      <c r="DH56" s="656"/>
      <c r="DJ56" s="116"/>
    </row>
    <row r="57" spans="2:114" ht="15.75" customHeight="1" x14ac:dyDescent="0.25">
      <c r="B57" s="116"/>
      <c r="I57" s="656"/>
      <c r="K57" s="116"/>
      <c r="M57" s="214" t="s">
        <v>1117</v>
      </c>
      <c r="N57" s="214">
        <v>2033</v>
      </c>
      <c r="O57" s="287">
        <v>2.0247254946596041</v>
      </c>
      <c r="X57" s="1"/>
      <c r="Y57" s="1"/>
      <c r="Z57" s="1"/>
      <c r="AA57" s="1"/>
      <c r="AB57" s="656"/>
      <c r="AC57" s="1"/>
      <c r="AD57" s="116"/>
      <c r="AL57" s="656"/>
      <c r="AM57" s="1"/>
      <c r="AN57" s="214" t="str">
        <f>+V28</f>
        <v>CO2e-CAM4</v>
      </c>
      <c r="AO57" s="725">
        <f t="shared" ref="AO57:AQ57" si="24">+AO44</f>
        <v>55.539114956987063</v>
      </c>
      <c r="AP57" s="390">
        <f t="shared" si="24"/>
        <v>75.166375708662926</v>
      </c>
      <c r="AQ57" s="370">
        <f t="shared" si="24"/>
        <v>77.841777688967127</v>
      </c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43"/>
      <c r="BL57" s="116"/>
      <c r="BU57" s="1"/>
      <c r="BV57" s="1"/>
      <c r="BW57" s="1"/>
      <c r="BX57" s="656"/>
      <c r="BZ57" s="657"/>
      <c r="CA57" s="1"/>
      <c r="CB57" s="1"/>
      <c r="CC57" s="1"/>
      <c r="CD57" s="1"/>
      <c r="CE57" s="1"/>
      <c r="CF57" s="1"/>
      <c r="CG57" s="1"/>
      <c r="CH57" s="1"/>
      <c r="CP57" s="305"/>
      <c r="CR57" s="116"/>
      <c r="CZ57" s="1"/>
      <c r="DA57" s="1"/>
      <c r="DB57" s="1"/>
      <c r="DC57" s="1"/>
      <c r="DD57" s="1"/>
      <c r="DE57" s="1"/>
      <c r="DF57" s="1"/>
      <c r="DG57" s="1"/>
      <c r="DH57" s="656"/>
      <c r="DJ57" s="116"/>
    </row>
    <row r="58" spans="2:114" ht="15.75" customHeight="1" x14ac:dyDescent="0.25">
      <c r="B58" s="116"/>
      <c r="I58" s="656"/>
      <c r="K58" s="116"/>
      <c r="M58" s="214" t="s">
        <v>1117</v>
      </c>
      <c r="N58" s="214">
        <v>2035</v>
      </c>
      <c r="O58" s="287">
        <v>1.6970242585297266</v>
      </c>
      <c r="X58" s="1"/>
      <c r="Y58" s="1"/>
      <c r="Z58" s="1"/>
      <c r="AA58" s="1"/>
      <c r="AB58" s="656"/>
      <c r="AC58" s="1"/>
      <c r="AD58" s="116"/>
      <c r="AL58" s="656"/>
      <c r="AM58" s="1"/>
      <c r="AO58" s="330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43"/>
      <c r="BL58" s="116"/>
      <c r="BU58" s="1"/>
      <c r="BV58" s="1"/>
      <c r="BW58" s="1"/>
      <c r="BX58" s="656"/>
      <c r="BZ58" s="657"/>
      <c r="CA58" s="1"/>
      <c r="CB58" s="1"/>
      <c r="CC58" s="1"/>
      <c r="CD58" s="1"/>
      <c r="CE58" s="1"/>
      <c r="CF58" s="1"/>
      <c r="CG58" s="1"/>
      <c r="CH58" s="1"/>
      <c r="CP58" s="305"/>
      <c r="CR58" s="116"/>
      <c r="CZ58" s="1"/>
      <c r="DA58" s="1"/>
      <c r="DB58" s="1"/>
      <c r="DC58" s="1"/>
      <c r="DD58" s="1"/>
      <c r="DE58" s="1"/>
      <c r="DF58" s="1"/>
      <c r="DG58" s="1"/>
      <c r="DH58" s="656"/>
      <c r="DJ58" s="116"/>
    </row>
    <row r="59" spans="2:114" ht="15.75" customHeight="1" x14ac:dyDescent="0.25">
      <c r="B59" s="116"/>
      <c r="I59" s="656"/>
      <c r="K59" s="116"/>
      <c r="M59" s="214" t="s">
        <v>1117</v>
      </c>
      <c r="N59" s="214">
        <v>2037</v>
      </c>
      <c r="O59" s="287">
        <v>1.4629519470083854</v>
      </c>
      <c r="X59" s="1"/>
      <c r="Y59" s="1"/>
      <c r="Z59" s="1"/>
      <c r="AA59" s="1"/>
      <c r="AB59" s="656"/>
      <c r="AC59" s="1"/>
      <c r="AD59" s="116"/>
      <c r="AL59" s="656"/>
      <c r="AM59" s="1"/>
      <c r="AN59" s="283" t="s">
        <v>987</v>
      </c>
      <c r="AO59" s="330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43"/>
      <c r="BL59" s="116"/>
      <c r="BU59" s="1"/>
      <c r="BV59" s="1"/>
      <c r="BW59" s="1"/>
      <c r="BX59" s="656"/>
      <c r="BZ59" s="657"/>
      <c r="CA59" s="1"/>
      <c r="CB59" s="1"/>
      <c r="CC59" s="1"/>
      <c r="CD59" s="1"/>
      <c r="CE59" s="1"/>
      <c r="CF59" s="1"/>
      <c r="CG59" s="1"/>
      <c r="CH59" s="1"/>
      <c r="CP59" s="305"/>
      <c r="CR59" s="116"/>
      <c r="CZ59" s="1"/>
      <c r="DA59" s="1"/>
      <c r="DB59" s="1"/>
      <c r="DC59" s="1"/>
      <c r="DD59" s="1"/>
      <c r="DE59" s="1"/>
      <c r="DF59" s="1"/>
      <c r="DG59" s="1"/>
      <c r="DH59" s="656"/>
      <c r="DJ59" s="116"/>
    </row>
    <row r="60" spans="2:114" ht="15.75" customHeight="1" x14ac:dyDescent="0.25">
      <c r="B60" s="116"/>
      <c r="I60" s="656"/>
      <c r="K60" s="116"/>
      <c r="M60" s="214" t="s">
        <v>1117</v>
      </c>
      <c r="N60" s="214">
        <v>2040</v>
      </c>
      <c r="O60" s="287">
        <v>1.1118434797263739</v>
      </c>
      <c r="X60" s="1"/>
      <c r="Y60" s="1"/>
      <c r="Z60" s="1"/>
      <c r="AA60" s="1"/>
      <c r="AB60" s="656"/>
      <c r="AC60" s="1"/>
      <c r="AD60" s="116"/>
      <c r="AL60" s="656"/>
      <c r="AM60" s="1"/>
      <c r="AN60" s="337" t="s">
        <v>43</v>
      </c>
      <c r="AO60" s="723" t="str">
        <f>+AP13</f>
        <v>FUEL-GAS-CAM5</v>
      </c>
      <c r="AP60" s="337" t="str">
        <f>+AP20</f>
        <v>FUEL-DSL-CAM5</v>
      </c>
      <c r="AQ60" s="724" t="str">
        <f>+AP27</f>
        <v>FUEL-OIL-CAM5</v>
      </c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43"/>
      <c r="BL60" s="116"/>
      <c r="BU60" s="1"/>
      <c r="BV60" s="1"/>
      <c r="BW60" s="1"/>
      <c r="BX60" s="656"/>
      <c r="BZ60" s="657"/>
      <c r="CA60" s="1"/>
      <c r="CB60" s="1"/>
      <c r="CC60" s="1"/>
      <c r="CD60" s="1"/>
      <c r="CE60" s="1"/>
      <c r="CF60" s="1"/>
      <c r="CG60" s="1"/>
      <c r="CH60" s="1"/>
      <c r="CP60" s="305"/>
      <c r="CR60" s="116"/>
      <c r="CZ60" s="1"/>
      <c r="DA60" s="1"/>
      <c r="DB60" s="1"/>
      <c r="DC60" s="1"/>
      <c r="DD60" s="1"/>
      <c r="DE60" s="1"/>
      <c r="DF60" s="1"/>
      <c r="DG60" s="1"/>
      <c r="DH60" s="656"/>
      <c r="DJ60" s="116"/>
    </row>
    <row r="61" spans="2:114" ht="15.75" customHeight="1" x14ac:dyDescent="0.25">
      <c r="B61" s="116"/>
      <c r="I61" s="656"/>
      <c r="K61" s="116"/>
      <c r="M61" s="214" t="s">
        <v>1117</v>
      </c>
      <c r="N61" s="214">
        <v>2043</v>
      </c>
      <c r="O61" s="287">
        <v>0.99480732396570282</v>
      </c>
      <c r="X61" s="1"/>
      <c r="Y61" s="1"/>
      <c r="Z61" s="1"/>
      <c r="AA61" s="1"/>
      <c r="AB61" s="656"/>
      <c r="AC61" s="1"/>
      <c r="AD61" s="116"/>
      <c r="AL61" s="656"/>
      <c r="AM61" s="1"/>
      <c r="AN61" s="214" t="str">
        <f>+V29</f>
        <v>CO2e-CAM5</v>
      </c>
      <c r="AO61" s="725">
        <f t="shared" ref="AO61:AQ61" si="25">+AO44</f>
        <v>55.539114956987063</v>
      </c>
      <c r="AP61" s="390">
        <f t="shared" si="25"/>
        <v>75.166375708662926</v>
      </c>
      <c r="AQ61" s="370">
        <f t="shared" si="25"/>
        <v>77.841777688967127</v>
      </c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43"/>
      <c r="BL61" s="116"/>
      <c r="BU61" s="1"/>
      <c r="BV61" s="1"/>
      <c r="BW61" s="1"/>
      <c r="BX61" s="656"/>
      <c r="BZ61" s="657"/>
      <c r="CA61" s="1"/>
      <c r="CB61" s="1"/>
      <c r="CC61" s="1"/>
      <c r="CD61" s="1"/>
      <c r="CE61" s="1"/>
      <c r="CF61" s="1"/>
      <c r="CG61" s="1"/>
      <c r="CH61" s="1"/>
      <c r="CP61" s="305"/>
      <c r="CR61" s="116"/>
      <c r="CZ61" s="1"/>
      <c r="DA61" s="1"/>
      <c r="DB61" s="1"/>
      <c r="DC61" s="1"/>
      <c r="DD61" s="1"/>
      <c r="DE61" s="1"/>
      <c r="DF61" s="1"/>
      <c r="DG61" s="1"/>
      <c r="DH61" s="656"/>
      <c r="DJ61" s="116"/>
    </row>
    <row r="62" spans="2:114" ht="15.75" customHeight="1" x14ac:dyDescent="0.25">
      <c r="B62" s="116"/>
      <c r="I62" s="656"/>
      <c r="K62" s="116"/>
      <c r="M62" s="214" t="s">
        <v>1117</v>
      </c>
      <c r="N62" s="214">
        <v>2045</v>
      </c>
      <c r="O62" s="287">
        <v>0.9167832201252627</v>
      </c>
      <c r="X62" s="1"/>
      <c r="Y62" s="1"/>
      <c r="Z62" s="1"/>
      <c r="AA62" s="1"/>
      <c r="AB62" s="656"/>
      <c r="AC62" s="1"/>
      <c r="AD62" s="116"/>
      <c r="AL62" s="656"/>
      <c r="AM62" s="1"/>
      <c r="AO62" s="330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43"/>
      <c r="BL62" s="116"/>
      <c r="BU62" s="1"/>
      <c r="BV62" s="1"/>
      <c r="BW62" s="1"/>
      <c r="BX62" s="656"/>
      <c r="BZ62" s="657"/>
      <c r="CA62" s="1"/>
      <c r="CB62" s="1"/>
      <c r="CC62" s="1"/>
      <c r="CD62" s="1"/>
      <c r="CE62" s="1"/>
      <c r="CF62" s="1"/>
      <c r="CG62" s="1"/>
      <c r="CH62" s="1"/>
      <c r="CP62" s="305"/>
      <c r="CR62" s="116"/>
      <c r="CZ62" s="1"/>
      <c r="DA62" s="1"/>
      <c r="DB62" s="1"/>
      <c r="DC62" s="1"/>
      <c r="DD62" s="1"/>
      <c r="DE62" s="1"/>
      <c r="DF62" s="1"/>
      <c r="DG62" s="1"/>
      <c r="DH62" s="656"/>
      <c r="DJ62" s="116"/>
    </row>
    <row r="63" spans="2:114" ht="15.75" customHeight="1" x14ac:dyDescent="0.25">
      <c r="B63" s="116"/>
      <c r="I63" s="656"/>
      <c r="K63" s="116"/>
      <c r="M63" s="214" t="s">
        <v>1117</v>
      </c>
      <c r="N63" s="214">
        <v>2047</v>
      </c>
      <c r="O63" s="287">
        <v>0.83875911628481048</v>
      </c>
      <c r="X63" s="1"/>
      <c r="Y63" s="1"/>
      <c r="Z63" s="1"/>
      <c r="AA63" s="1"/>
      <c r="AB63" s="656"/>
      <c r="AC63" s="1"/>
      <c r="AD63" s="116"/>
      <c r="AL63" s="656"/>
      <c r="AM63" s="1"/>
      <c r="AN63" s="283" t="s">
        <v>987</v>
      </c>
      <c r="AO63" s="330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43"/>
      <c r="BL63" s="116"/>
      <c r="BU63" s="1"/>
      <c r="BV63" s="1"/>
      <c r="BW63" s="1"/>
      <c r="BX63" s="656"/>
      <c r="BZ63" s="657"/>
      <c r="CA63" s="1"/>
      <c r="CB63" s="1"/>
      <c r="CC63" s="1"/>
      <c r="CD63" s="1"/>
      <c r="CE63" s="1"/>
      <c r="CF63" s="1"/>
      <c r="CG63" s="1"/>
      <c r="CH63" s="1"/>
      <c r="CP63" s="305"/>
      <c r="CR63" s="116"/>
      <c r="CZ63" s="1"/>
      <c r="DA63" s="1"/>
      <c r="DB63" s="1"/>
      <c r="DC63" s="1"/>
      <c r="DD63" s="1"/>
      <c r="DE63" s="1"/>
      <c r="DF63" s="1"/>
      <c r="DG63" s="1"/>
      <c r="DH63" s="656"/>
      <c r="DJ63" s="116"/>
    </row>
    <row r="64" spans="2:114" ht="15.75" customHeight="1" x14ac:dyDescent="0.25">
      <c r="B64" s="116"/>
      <c r="I64" s="656"/>
      <c r="K64" s="116"/>
      <c r="M64" s="214" t="s">
        <v>1117</v>
      </c>
      <c r="N64" s="214">
        <v>2050</v>
      </c>
      <c r="O64" s="287">
        <v>0.72172296052414664</v>
      </c>
      <c r="X64" s="1"/>
      <c r="Y64" s="1"/>
      <c r="Z64" s="1"/>
      <c r="AA64" s="1"/>
      <c r="AB64" s="656"/>
      <c r="AC64" s="1"/>
      <c r="AD64" s="116"/>
      <c r="AL64" s="656"/>
      <c r="AM64" s="1"/>
      <c r="AN64" s="337" t="s">
        <v>43</v>
      </c>
      <c r="AO64" s="723" t="str">
        <f>+AP14</f>
        <v>FUEL-GAS-CAM6</v>
      </c>
      <c r="AP64" s="337" t="str">
        <f>+AP21</f>
        <v>FUEL-DSL-CAM6</v>
      </c>
      <c r="AQ64" s="724" t="str">
        <f>+AP28</f>
        <v>FUEL-OIL-CAM6</v>
      </c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43"/>
      <c r="BL64" s="116"/>
      <c r="BU64" s="1"/>
      <c r="BV64" s="1"/>
      <c r="BW64" s="1"/>
      <c r="BX64" s="656"/>
      <c r="BZ64" s="657"/>
      <c r="CA64" s="1"/>
      <c r="CB64" s="1"/>
      <c r="CC64" s="1"/>
      <c r="CD64" s="1"/>
      <c r="CE64" s="1"/>
      <c r="CF64" s="1"/>
      <c r="CG64" s="1"/>
      <c r="CH64" s="1"/>
      <c r="CP64" s="305"/>
      <c r="CR64" s="116"/>
      <c r="CZ64" s="1"/>
      <c r="DA64" s="1"/>
      <c r="DB64" s="1"/>
      <c r="DC64" s="1"/>
      <c r="DD64" s="1"/>
      <c r="DE64" s="1"/>
      <c r="DF64" s="1"/>
      <c r="DG64" s="1"/>
      <c r="DH64" s="656"/>
      <c r="DJ64" s="116"/>
    </row>
    <row r="65" spans="2:114" ht="15.75" customHeight="1" x14ac:dyDescent="0.25">
      <c r="B65" s="116"/>
      <c r="I65" s="656"/>
      <c r="K65" s="116"/>
      <c r="L65" s="214" t="str">
        <f>+PROCESS!N28</f>
        <v>PROF-CAM5</v>
      </c>
      <c r="M65" s="214" t="s">
        <v>1117</v>
      </c>
      <c r="N65" s="214">
        <v>2019</v>
      </c>
      <c r="O65" s="287">
        <f t="array" ref="O65:O78">+TRANSPOSE('5. Data'!AI103:AV103)</f>
        <v>165.44478873779963</v>
      </c>
      <c r="X65" s="1"/>
      <c r="Y65" s="1"/>
      <c r="Z65" s="1"/>
      <c r="AA65" s="1"/>
      <c r="AB65" s="656"/>
      <c r="AC65" s="1"/>
      <c r="AD65" s="116"/>
      <c r="AL65" s="656"/>
      <c r="AM65" s="1"/>
      <c r="AN65" s="214" t="str">
        <f>+V30</f>
        <v>CO2e-CAM6</v>
      </c>
      <c r="AO65" s="725">
        <f t="shared" ref="AO65:AQ65" si="26">+AO44</f>
        <v>55.539114956987063</v>
      </c>
      <c r="AP65" s="390">
        <f t="shared" si="26"/>
        <v>75.166375708662926</v>
      </c>
      <c r="AQ65" s="370">
        <f t="shared" si="26"/>
        <v>77.841777688967127</v>
      </c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43"/>
      <c r="BL65" s="116"/>
      <c r="BU65" s="1"/>
      <c r="BV65" s="1"/>
      <c r="BW65" s="1"/>
      <c r="BX65" s="656"/>
      <c r="BZ65" s="657"/>
      <c r="CA65" s="1"/>
      <c r="CB65" s="1"/>
      <c r="CC65" s="1"/>
      <c r="CD65" s="1"/>
      <c r="CE65" s="1"/>
      <c r="CF65" s="1"/>
      <c r="CG65" s="1"/>
      <c r="CH65" s="1"/>
      <c r="CP65" s="305"/>
      <c r="CR65" s="116"/>
      <c r="CZ65" s="1"/>
      <c r="DA65" s="1"/>
      <c r="DB65" s="1"/>
      <c r="DC65" s="1"/>
      <c r="DD65" s="1"/>
      <c r="DE65" s="1"/>
      <c r="DF65" s="1"/>
      <c r="DG65" s="1"/>
      <c r="DH65" s="656"/>
      <c r="DJ65" s="116"/>
    </row>
    <row r="66" spans="2:114" ht="15.75" customHeight="1" x14ac:dyDescent="0.25">
      <c r="B66" s="116"/>
      <c r="I66" s="656"/>
      <c r="K66" s="116"/>
      <c r="M66" s="214" t="s">
        <v>1117</v>
      </c>
      <c r="N66" s="214">
        <v>2020</v>
      </c>
      <c r="O66" s="287">
        <v>153.89107121101256</v>
      </c>
      <c r="X66" s="1"/>
      <c r="Y66" s="1"/>
      <c r="Z66" s="1"/>
      <c r="AA66" s="1"/>
      <c r="AB66" s="656"/>
      <c r="AC66" s="1"/>
      <c r="AD66" s="116"/>
      <c r="AL66" s="656"/>
      <c r="AM66" s="1"/>
      <c r="AO66" s="330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43"/>
      <c r="BL66" s="116"/>
      <c r="BU66" s="1"/>
      <c r="BV66" s="1"/>
      <c r="BW66" s="1"/>
      <c r="BX66" s="656"/>
      <c r="BZ66" s="657"/>
      <c r="CA66" s="1"/>
      <c r="CB66" s="1"/>
      <c r="CC66" s="1"/>
      <c r="CD66" s="1"/>
      <c r="CE66" s="1"/>
      <c r="CF66" s="1"/>
      <c r="CG66" s="1"/>
      <c r="CH66" s="1"/>
      <c r="CP66" s="305"/>
      <c r="CR66" s="116"/>
      <c r="CZ66" s="1"/>
      <c r="DA66" s="1"/>
      <c r="DB66" s="1"/>
      <c r="DC66" s="1"/>
      <c r="DD66" s="1"/>
      <c r="DE66" s="1"/>
      <c r="DF66" s="1"/>
      <c r="DG66" s="1"/>
      <c r="DH66" s="656"/>
      <c r="DJ66" s="116"/>
    </row>
    <row r="67" spans="2:114" ht="15.75" customHeight="1" x14ac:dyDescent="0.25">
      <c r="B67" s="116"/>
      <c r="I67" s="656"/>
      <c r="K67" s="116"/>
      <c r="M67" s="214" t="s">
        <v>1117</v>
      </c>
      <c r="N67" s="214">
        <v>2023</v>
      </c>
      <c r="O67" s="287">
        <v>117.34515536171116</v>
      </c>
      <c r="X67" s="1"/>
      <c r="Y67" s="1"/>
      <c r="Z67" s="1"/>
      <c r="AA67" s="1"/>
      <c r="AB67" s="656"/>
      <c r="AC67" s="1"/>
      <c r="AD67" s="116"/>
      <c r="AL67" s="656"/>
      <c r="AM67" s="1"/>
      <c r="AO67" s="330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43"/>
      <c r="BL67" s="116"/>
      <c r="BU67" s="1"/>
      <c r="BV67" s="1"/>
      <c r="BW67" s="1"/>
      <c r="BX67" s="656"/>
      <c r="BZ67" s="657"/>
      <c r="CA67" s="1"/>
      <c r="CB67" s="1"/>
      <c r="CC67" s="1"/>
      <c r="CD67" s="1"/>
      <c r="CE67" s="1"/>
      <c r="CF67" s="1"/>
      <c r="CG67" s="1"/>
      <c r="CH67" s="1"/>
      <c r="CP67" s="305"/>
      <c r="CR67" s="116"/>
      <c r="CZ67" s="1"/>
      <c r="DA67" s="1"/>
      <c r="DB67" s="1"/>
      <c r="DC67" s="1"/>
      <c r="DD67" s="1"/>
      <c r="DE67" s="1"/>
      <c r="DF67" s="1"/>
      <c r="DG67" s="1"/>
      <c r="DH67" s="656"/>
      <c r="DJ67" s="116"/>
    </row>
    <row r="68" spans="2:114" ht="15.75" customHeight="1" x14ac:dyDescent="0.25">
      <c r="B68" s="116"/>
      <c r="I68" s="656"/>
      <c r="K68" s="116"/>
      <c r="M68" s="214" t="s">
        <v>1117</v>
      </c>
      <c r="N68" s="214">
        <v>2025</v>
      </c>
      <c r="O68" s="287">
        <v>91.230677358831571</v>
      </c>
      <c r="X68" s="1"/>
      <c r="Y68" s="1"/>
      <c r="Z68" s="1"/>
      <c r="AA68" s="1"/>
      <c r="AB68" s="656"/>
      <c r="AC68" s="1"/>
      <c r="AD68" s="116"/>
      <c r="AL68" s="656"/>
      <c r="AM68" s="1"/>
      <c r="AN68" s="283" t="s">
        <v>987</v>
      </c>
      <c r="AO68" s="330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43"/>
      <c r="BL68" s="116"/>
      <c r="BU68" s="1"/>
      <c r="BV68" s="1"/>
      <c r="BW68" s="1"/>
      <c r="BX68" s="656"/>
      <c r="BZ68" s="657"/>
      <c r="CA68" s="1"/>
      <c r="CB68" s="1"/>
      <c r="CC68" s="1"/>
      <c r="CD68" s="1"/>
      <c r="CE68" s="1"/>
      <c r="CF68" s="1"/>
      <c r="CG68" s="1"/>
      <c r="CH68" s="1"/>
      <c r="CP68" s="305"/>
      <c r="CR68" s="116"/>
      <c r="CZ68" s="1"/>
      <c r="DA68" s="1"/>
      <c r="DB68" s="1"/>
      <c r="DC68" s="1"/>
      <c r="DD68" s="1"/>
      <c r="DE68" s="1"/>
      <c r="DF68" s="1"/>
      <c r="DG68" s="1"/>
      <c r="DH68" s="656"/>
      <c r="DJ68" s="116"/>
    </row>
    <row r="69" spans="2:114" ht="15.75" customHeight="1" x14ac:dyDescent="0.25">
      <c r="B69" s="116"/>
      <c r="I69" s="656"/>
      <c r="K69" s="116"/>
      <c r="M69" s="214" t="s">
        <v>1117</v>
      </c>
      <c r="N69" s="214">
        <v>2027</v>
      </c>
      <c r="O69" s="287">
        <v>73.19355276753096</v>
      </c>
      <c r="X69" s="1"/>
      <c r="Y69" s="1"/>
      <c r="Z69" s="1"/>
      <c r="AA69" s="1"/>
      <c r="AB69" s="656"/>
      <c r="AC69" s="1"/>
      <c r="AD69" s="116"/>
      <c r="AL69" s="656"/>
      <c r="AM69" s="1"/>
      <c r="AN69" s="337" t="s">
        <v>43</v>
      </c>
      <c r="AO69" s="723" t="str">
        <f>+AP15</f>
        <v>FUEL-GAS-CAM7</v>
      </c>
      <c r="AP69" s="337" t="str">
        <f>+AP22</f>
        <v>FUEL-DSL-CAM7</v>
      </c>
      <c r="AQ69" s="724" t="str">
        <f>+AP29</f>
        <v>FUEL-OIL-CAM7</v>
      </c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43"/>
      <c r="BL69" s="116"/>
      <c r="BU69" s="1"/>
      <c r="BV69" s="1"/>
      <c r="BW69" s="1"/>
      <c r="BX69" s="656"/>
      <c r="BZ69" s="657"/>
      <c r="CA69" s="1"/>
      <c r="CB69" s="1"/>
      <c r="CC69" s="1"/>
      <c r="CD69" s="1"/>
      <c r="CE69" s="1"/>
      <c r="CF69" s="1"/>
      <c r="CG69" s="1"/>
      <c r="CH69" s="1"/>
      <c r="CP69" s="305"/>
      <c r="CR69" s="116"/>
      <c r="CZ69" s="1"/>
      <c r="DA69" s="1"/>
      <c r="DB69" s="1"/>
      <c r="DC69" s="1"/>
      <c r="DD69" s="1"/>
      <c r="DE69" s="1"/>
      <c r="DF69" s="1"/>
      <c r="DG69" s="1"/>
      <c r="DH69" s="656"/>
      <c r="DJ69" s="116"/>
    </row>
    <row r="70" spans="2:114" ht="15.75" customHeight="1" x14ac:dyDescent="0.25">
      <c r="B70" s="116"/>
      <c r="I70" s="656"/>
      <c r="K70" s="116"/>
      <c r="M70" s="214" t="s">
        <v>1117</v>
      </c>
      <c r="N70" s="214">
        <v>2030</v>
      </c>
      <c r="O70" s="287">
        <v>46.137865880580037</v>
      </c>
      <c r="X70" s="1"/>
      <c r="Y70" s="1"/>
      <c r="Z70" s="1"/>
      <c r="AA70" s="1"/>
      <c r="AB70" s="656"/>
      <c r="AC70" s="1"/>
      <c r="AD70" s="116"/>
      <c r="AL70" s="656"/>
      <c r="AM70" s="1"/>
      <c r="AN70" s="214" t="str">
        <f>+COMM!AK26</f>
        <v>CO2e-CAM7</v>
      </c>
      <c r="AO70" s="286">
        <f t="shared" ref="AO70:AQ70" si="27">+AO44</f>
        <v>55.539114956987063</v>
      </c>
      <c r="AP70" s="390">
        <f t="shared" si="27"/>
        <v>75.166375708662926</v>
      </c>
      <c r="AQ70" s="370">
        <f t="shared" si="27"/>
        <v>77.841777688967127</v>
      </c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43"/>
      <c r="BL70" s="116"/>
      <c r="BU70" s="1"/>
      <c r="BV70" s="1"/>
      <c r="BW70" s="1"/>
      <c r="BX70" s="656"/>
      <c r="BZ70" s="657"/>
      <c r="CA70" s="1"/>
      <c r="CB70" s="1"/>
      <c r="CC70" s="1"/>
      <c r="CD70" s="1"/>
      <c r="CE70" s="1"/>
      <c r="CF70" s="1"/>
      <c r="CG70" s="1"/>
      <c r="CH70" s="1"/>
      <c r="CP70" s="305"/>
      <c r="CR70" s="116"/>
      <c r="CZ70" s="1"/>
      <c r="DA70" s="1"/>
      <c r="DB70" s="1"/>
      <c r="DC70" s="1"/>
      <c r="DD70" s="1"/>
      <c r="DE70" s="1"/>
      <c r="DF70" s="1"/>
      <c r="DG70" s="1"/>
      <c r="DH70" s="656"/>
      <c r="DJ70" s="116"/>
    </row>
    <row r="71" spans="2:114" ht="15.75" customHeight="1" x14ac:dyDescent="0.25">
      <c r="B71" s="116"/>
      <c r="I71" s="656"/>
      <c r="K71" s="116"/>
      <c r="M71" s="214" t="s">
        <v>1117</v>
      </c>
      <c r="N71" s="214">
        <v>2033</v>
      </c>
      <c r="O71" s="287">
        <v>34.93812928869707</v>
      </c>
      <c r="X71" s="1"/>
      <c r="Y71" s="1"/>
      <c r="Z71" s="1"/>
      <c r="AA71" s="1"/>
      <c r="AB71" s="656"/>
      <c r="AC71" s="1"/>
      <c r="AD71" s="116"/>
      <c r="AL71" s="656"/>
      <c r="AM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43"/>
      <c r="BL71" s="116"/>
      <c r="BU71" s="1"/>
      <c r="BV71" s="1"/>
      <c r="BW71" s="1"/>
      <c r="BX71" s="656"/>
      <c r="BZ71" s="657"/>
      <c r="CA71" s="1"/>
      <c r="CB71" s="1"/>
      <c r="CC71" s="1"/>
      <c r="CD71" s="1"/>
      <c r="CE71" s="1"/>
      <c r="CF71" s="1"/>
      <c r="CG71" s="1"/>
      <c r="CH71" s="1"/>
      <c r="CP71" s="305"/>
      <c r="CR71" s="116"/>
      <c r="CZ71" s="1"/>
      <c r="DA71" s="1"/>
      <c r="DB71" s="1"/>
      <c r="DC71" s="1"/>
      <c r="DD71" s="1"/>
      <c r="DE71" s="1"/>
      <c r="DF71" s="1"/>
      <c r="DG71" s="1"/>
      <c r="DH71" s="656"/>
      <c r="DJ71" s="116"/>
    </row>
    <row r="72" spans="2:114" ht="15.75" customHeight="1" x14ac:dyDescent="0.25">
      <c r="B72" s="116"/>
      <c r="I72" s="656"/>
      <c r="K72" s="116"/>
      <c r="M72" s="214" t="s">
        <v>1117</v>
      </c>
      <c r="N72" s="214">
        <v>2035</v>
      </c>
      <c r="O72" s="287">
        <v>27.471638227441758</v>
      </c>
      <c r="X72" s="1"/>
      <c r="Y72" s="1"/>
      <c r="Z72" s="1"/>
      <c r="AA72" s="1"/>
      <c r="AB72" s="656"/>
      <c r="AC72" s="1"/>
      <c r="AD72" s="116"/>
      <c r="AL72" s="656"/>
      <c r="AM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43"/>
      <c r="BL72" s="116"/>
      <c r="BU72" s="1"/>
      <c r="BV72" s="1"/>
      <c r="BW72" s="1"/>
      <c r="BX72" s="656"/>
      <c r="BZ72" s="657"/>
      <c r="CA72" s="1"/>
      <c r="CB72" s="1"/>
      <c r="CC72" s="1"/>
      <c r="CD72" s="1"/>
      <c r="CE72" s="1"/>
      <c r="CF72" s="1"/>
      <c r="CG72" s="1"/>
      <c r="CH72" s="1"/>
      <c r="CP72" s="305"/>
      <c r="CR72" s="116"/>
      <c r="CZ72" s="1"/>
      <c r="DA72" s="1"/>
      <c r="DB72" s="1"/>
      <c r="DC72" s="1"/>
      <c r="DD72" s="1"/>
      <c r="DE72" s="1"/>
      <c r="DF72" s="1"/>
      <c r="DG72" s="1"/>
      <c r="DH72" s="656"/>
      <c r="DJ72" s="116"/>
    </row>
    <row r="73" spans="2:114" ht="15.75" customHeight="1" x14ac:dyDescent="0.25">
      <c r="B73" s="116"/>
      <c r="I73" s="656"/>
      <c r="K73" s="116"/>
      <c r="M73" s="214" t="s">
        <v>1117</v>
      </c>
      <c r="N73" s="214">
        <v>2037</v>
      </c>
      <c r="O73" s="287">
        <v>23.215461459279428</v>
      </c>
      <c r="X73" s="1"/>
      <c r="Y73" s="1"/>
      <c r="Z73" s="1"/>
      <c r="AA73" s="1"/>
      <c r="AB73" s="656"/>
      <c r="AC73" s="1"/>
      <c r="AD73" s="116"/>
      <c r="AL73" s="656"/>
      <c r="AM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43"/>
      <c r="BL73" s="116"/>
      <c r="BU73" s="1"/>
      <c r="BV73" s="1"/>
      <c r="BW73" s="1"/>
      <c r="BX73" s="656"/>
      <c r="BZ73" s="657"/>
      <c r="CA73" s="1"/>
      <c r="CB73" s="1"/>
      <c r="CC73" s="1"/>
      <c r="CD73" s="1"/>
      <c r="CE73" s="1"/>
      <c r="CF73" s="1"/>
      <c r="CG73" s="1"/>
      <c r="CH73" s="1"/>
      <c r="CP73" s="305"/>
      <c r="CR73" s="116"/>
      <c r="CZ73" s="1"/>
      <c r="DA73" s="1"/>
      <c r="DB73" s="1"/>
      <c r="DC73" s="1"/>
      <c r="DD73" s="1"/>
      <c r="DE73" s="1"/>
      <c r="DF73" s="1"/>
      <c r="DG73" s="1"/>
      <c r="DH73" s="656"/>
      <c r="DJ73" s="116"/>
    </row>
    <row r="74" spans="2:114" ht="15.75" customHeight="1" x14ac:dyDescent="0.25">
      <c r="B74" s="116"/>
      <c r="I74" s="656"/>
      <c r="K74" s="116"/>
      <c r="M74" s="214" t="s">
        <v>1117</v>
      </c>
      <c r="N74" s="214">
        <v>2040</v>
      </c>
      <c r="O74" s="287">
        <v>16.831196307035714</v>
      </c>
      <c r="X74" s="1"/>
      <c r="Y74" s="1"/>
      <c r="Z74" s="1"/>
      <c r="AA74" s="1"/>
      <c r="AB74" s="656"/>
      <c r="AC74" s="1"/>
      <c r="AD74" s="116"/>
      <c r="AL74" s="656"/>
      <c r="AM74" s="1"/>
      <c r="AO74" s="12" t="s">
        <v>1575</v>
      </c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43"/>
      <c r="BL74" s="116"/>
      <c r="BU74" s="1"/>
      <c r="BV74" s="1"/>
      <c r="BW74" s="1"/>
      <c r="BX74" s="656"/>
      <c r="BZ74" s="657"/>
      <c r="CA74" s="1"/>
      <c r="CB74" s="1"/>
      <c r="CC74" s="1"/>
      <c r="CD74" s="1"/>
      <c r="CE74" s="1"/>
      <c r="CF74" s="1"/>
      <c r="CG74" s="1"/>
      <c r="CH74" s="1"/>
      <c r="CP74" s="305"/>
      <c r="CR74" s="116"/>
      <c r="CZ74" s="1"/>
      <c r="DA74" s="1"/>
      <c r="DB74" s="1"/>
      <c r="DC74" s="1"/>
      <c r="DD74" s="1"/>
      <c r="DE74" s="1"/>
      <c r="DF74" s="1"/>
      <c r="DG74" s="1"/>
      <c r="DH74" s="656"/>
      <c r="DJ74" s="116"/>
    </row>
    <row r="75" spans="2:114" ht="15.75" customHeight="1" x14ac:dyDescent="0.25">
      <c r="B75" s="116"/>
      <c r="I75" s="656"/>
      <c r="K75" s="116"/>
      <c r="M75" s="214" t="s">
        <v>1117</v>
      </c>
      <c r="N75" s="214">
        <v>2043</v>
      </c>
      <c r="O75" s="287">
        <v>12.14520015893914</v>
      </c>
      <c r="X75" s="1"/>
      <c r="Y75" s="1"/>
      <c r="Z75" s="1"/>
      <c r="AA75" s="1"/>
      <c r="AB75" s="656"/>
      <c r="AC75" s="1"/>
      <c r="AD75" s="116"/>
      <c r="AL75" s="656"/>
      <c r="AM75" s="1"/>
      <c r="AN75" s="12" t="s">
        <v>7</v>
      </c>
      <c r="AO75" s="222">
        <f>+'Bases de Cálculo'!G6</f>
        <v>55.539114956987063</v>
      </c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43"/>
      <c r="BL75" s="116"/>
      <c r="BU75" s="1"/>
      <c r="BV75" s="1"/>
      <c r="BW75" s="1"/>
      <c r="BX75" s="656"/>
      <c r="BZ75" s="657"/>
      <c r="CA75" s="1"/>
      <c r="CB75" s="1"/>
      <c r="CC75" s="1"/>
      <c r="CD75" s="1"/>
      <c r="CE75" s="1"/>
      <c r="CF75" s="1"/>
      <c r="CG75" s="1"/>
      <c r="CH75" s="1"/>
      <c r="CP75" s="305"/>
      <c r="CR75" s="116"/>
      <c r="CZ75" s="1"/>
      <c r="DA75" s="1"/>
      <c r="DB75" s="1"/>
      <c r="DC75" s="1"/>
      <c r="DD75" s="1"/>
      <c r="DE75" s="1"/>
      <c r="DF75" s="1"/>
      <c r="DG75" s="1"/>
      <c r="DH75" s="656"/>
      <c r="DJ75" s="116"/>
    </row>
    <row r="76" spans="2:114" ht="15.75" customHeight="1" x14ac:dyDescent="0.25">
      <c r="B76" s="116"/>
      <c r="I76" s="656"/>
      <c r="K76" s="116"/>
      <c r="M76" s="214" t="s">
        <v>1117</v>
      </c>
      <c r="N76" s="214">
        <v>2045</v>
      </c>
      <c r="O76" s="287">
        <v>9.7568222406346106</v>
      </c>
      <c r="X76" s="1"/>
      <c r="Y76" s="1"/>
      <c r="Z76" s="1"/>
      <c r="AA76" s="1"/>
      <c r="AB76" s="656"/>
      <c r="AC76" s="1"/>
      <c r="AD76" s="116"/>
      <c r="AL76" s="656"/>
      <c r="AM76" s="1"/>
      <c r="AN76" s="12" t="s">
        <v>13</v>
      </c>
      <c r="AO76" s="222">
        <f>+'Bases de Cálculo'!G7</f>
        <v>77.841777688967127</v>
      </c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43"/>
      <c r="BL76" s="116"/>
      <c r="BU76" s="1"/>
      <c r="BV76" s="1"/>
      <c r="BW76" s="1"/>
      <c r="BX76" s="656"/>
      <c r="BZ76" s="657"/>
      <c r="CA76" s="1"/>
      <c r="CB76" s="1"/>
      <c r="CC76" s="1"/>
      <c r="CD76" s="1"/>
      <c r="CE76" s="1"/>
      <c r="CF76" s="1"/>
      <c r="CG76" s="1"/>
      <c r="CH76" s="1"/>
      <c r="CP76" s="305"/>
      <c r="CR76" s="116"/>
      <c r="CZ76" s="1"/>
      <c r="DA76" s="1"/>
      <c r="DB76" s="1"/>
      <c r="DC76" s="1"/>
      <c r="DD76" s="1"/>
      <c r="DE76" s="1"/>
      <c r="DF76" s="1"/>
      <c r="DG76" s="1"/>
      <c r="DH76" s="656"/>
      <c r="DJ76" s="116"/>
    </row>
    <row r="77" spans="2:114" ht="15.75" customHeight="1" x14ac:dyDescent="0.25">
      <c r="B77" s="116"/>
      <c r="I77" s="656"/>
      <c r="K77" s="116"/>
      <c r="M77" s="214" t="s">
        <v>1117</v>
      </c>
      <c r="N77" s="214">
        <v>2047</v>
      </c>
      <c r="O77" s="287">
        <v>7.7567559465187346</v>
      </c>
      <c r="X77" s="1"/>
      <c r="Y77" s="1"/>
      <c r="Z77" s="1"/>
      <c r="AA77" s="1"/>
      <c r="AB77" s="656"/>
      <c r="AC77" s="1"/>
      <c r="AD77" s="116"/>
      <c r="AL77" s="656"/>
      <c r="AM77" s="1"/>
      <c r="AN77" s="12" t="s">
        <v>17</v>
      </c>
      <c r="AO77" s="222">
        <f>+'Bases de Cálculo'!G7</f>
        <v>77.841777688967127</v>
      </c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43"/>
      <c r="BL77" s="116"/>
      <c r="BU77" s="1"/>
      <c r="BV77" s="1"/>
      <c r="BW77" s="1"/>
      <c r="BX77" s="656"/>
      <c r="BZ77" s="657"/>
      <c r="CA77" s="1"/>
      <c r="CB77" s="1"/>
      <c r="CC77" s="1"/>
      <c r="CD77" s="1"/>
      <c r="CE77" s="1"/>
      <c r="CF77" s="1"/>
      <c r="CG77" s="1"/>
      <c r="CH77" s="1"/>
      <c r="CP77" s="305"/>
      <c r="CR77" s="116"/>
      <c r="CZ77" s="1"/>
      <c r="DA77" s="1"/>
      <c r="DB77" s="1"/>
      <c r="DC77" s="1"/>
      <c r="DD77" s="1"/>
      <c r="DE77" s="1"/>
      <c r="DF77" s="1"/>
      <c r="DG77" s="1"/>
      <c r="DH77" s="656"/>
      <c r="DJ77" s="116"/>
    </row>
    <row r="78" spans="2:114" ht="15.75" customHeight="1" x14ac:dyDescent="0.25">
      <c r="B78" s="116"/>
      <c r="I78" s="656"/>
      <c r="K78" s="116"/>
      <c r="M78" s="214" t="s">
        <v>1117</v>
      </c>
      <c r="N78" s="214">
        <v>2050</v>
      </c>
      <c r="O78" s="287">
        <v>5.7455960840757854</v>
      </c>
      <c r="X78" s="1"/>
      <c r="Y78" s="1"/>
      <c r="Z78" s="1"/>
      <c r="AA78" s="1"/>
      <c r="AB78" s="656"/>
      <c r="AC78" s="1"/>
      <c r="AD78" s="116"/>
      <c r="AL78" s="656"/>
      <c r="AM78" s="1"/>
      <c r="AN78" s="12" t="s">
        <v>21</v>
      </c>
      <c r="AO78" s="222">
        <f>+'Bases de Cálculo'!G7</f>
        <v>77.841777688967127</v>
      </c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43"/>
      <c r="BL78" s="116"/>
      <c r="BU78" s="1"/>
      <c r="BV78" s="1"/>
      <c r="BW78" s="1"/>
      <c r="BX78" s="656"/>
      <c r="BZ78" s="657"/>
      <c r="CA78" s="1"/>
      <c r="CB78" s="1"/>
      <c r="CC78" s="1"/>
      <c r="CD78" s="1"/>
      <c r="CE78" s="1"/>
      <c r="CF78" s="1"/>
      <c r="CG78" s="1"/>
      <c r="CH78" s="1"/>
      <c r="CP78" s="305"/>
      <c r="CR78" s="116"/>
      <c r="CZ78" s="1"/>
      <c r="DA78" s="1"/>
      <c r="DB78" s="1"/>
      <c r="DC78" s="1"/>
      <c r="DD78" s="1"/>
      <c r="DE78" s="1"/>
      <c r="DF78" s="1"/>
      <c r="DG78" s="1"/>
      <c r="DH78" s="656"/>
      <c r="DJ78" s="116"/>
    </row>
    <row r="79" spans="2:114" ht="15.75" customHeight="1" x14ac:dyDescent="0.25">
      <c r="B79" s="116"/>
      <c r="I79" s="656"/>
      <c r="K79" s="116"/>
      <c r="L79" s="214" t="str">
        <f>+PROCESS!N29</f>
        <v>PROF-CAM6</v>
      </c>
      <c r="M79" s="214" t="s">
        <v>1117</v>
      </c>
      <c r="N79" s="214">
        <v>2019</v>
      </c>
      <c r="O79" s="287">
        <f t="array" ref="O79:O92">+TRANSPOSE('5. Data'!AI104:AV104)</f>
        <v>29.863178560112861</v>
      </c>
      <c r="X79" s="1"/>
      <c r="Y79" s="1"/>
      <c r="Z79" s="1"/>
      <c r="AA79" s="1"/>
      <c r="AB79" s="656"/>
      <c r="AC79" s="1"/>
      <c r="AD79" s="116"/>
      <c r="AL79" s="656"/>
      <c r="AM79" s="1"/>
      <c r="AN79" s="12" t="s">
        <v>14</v>
      </c>
      <c r="AO79" s="222">
        <f>+'Bases de Cálculo'!G11</f>
        <v>75.166375708662926</v>
      </c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43"/>
      <c r="BL79" s="116"/>
      <c r="BU79" s="1"/>
      <c r="BV79" s="1"/>
      <c r="BW79" s="1"/>
      <c r="BX79" s="656"/>
      <c r="BZ79" s="657"/>
      <c r="CA79" s="1"/>
      <c r="CB79" s="1"/>
      <c r="CC79" s="1"/>
      <c r="CD79" s="1"/>
      <c r="CE79" s="1"/>
      <c r="CF79" s="1"/>
      <c r="CG79" s="1"/>
      <c r="CH79" s="1"/>
      <c r="CP79" s="305"/>
      <c r="CR79" s="116"/>
      <c r="CZ79" s="1"/>
      <c r="DA79" s="1"/>
      <c r="DB79" s="1"/>
      <c r="DC79" s="1"/>
      <c r="DD79" s="1"/>
      <c r="DE79" s="1"/>
      <c r="DF79" s="1"/>
      <c r="DG79" s="1"/>
      <c r="DH79" s="656"/>
      <c r="DJ79" s="116"/>
    </row>
    <row r="80" spans="2:114" ht="15.75" customHeight="1" x14ac:dyDescent="0.25">
      <c r="B80" s="116"/>
      <c r="I80" s="656"/>
      <c r="K80" s="116"/>
      <c r="M80" s="214" t="s">
        <v>1117</v>
      </c>
      <c r="N80" s="214">
        <v>2020</v>
      </c>
      <c r="O80" s="287">
        <v>27.835107673690871</v>
      </c>
      <c r="X80" s="1"/>
      <c r="Y80" s="1"/>
      <c r="Z80" s="1"/>
      <c r="AA80" s="1"/>
      <c r="AB80" s="656"/>
      <c r="AC80" s="1"/>
      <c r="AD80" s="116"/>
      <c r="AL80" s="656"/>
      <c r="AM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43"/>
      <c r="BL80" s="116"/>
      <c r="BU80" s="1"/>
      <c r="BV80" s="1"/>
      <c r="BW80" s="1"/>
      <c r="BX80" s="656"/>
      <c r="BZ80" s="657"/>
      <c r="CA80" s="1"/>
      <c r="CB80" s="1"/>
      <c r="CC80" s="1"/>
      <c r="CD80" s="1"/>
      <c r="CE80" s="1"/>
      <c r="CF80" s="1"/>
      <c r="CG80" s="1"/>
      <c r="CH80" s="1"/>
      <c r="CP80" s="305"/>
      <c r="CR80" s="116"/>
      <c r="CZ80" s="1"/>
      <c r="DA80" s="1"/>
      <c r="DB80" s="1"/>
      <c r="DC80" s="1"/>
      <c r="DD80" s="1"/>
      <c r="DE80" s="1"/>
      <c r="DF80" s="1"/>
      <c r="DG80" s="1"/>
      <c r="DH80" s="656"/>
      <c r="DJ80" s="116"/>
    </row>
    <row r="81" spans="2:114" ht="15.75" customHeight="1" x14ac:dyDescent="0.25">
      <c r="B81" s="116"/>
      <c r="I81" s="656"/>
      <c r="K81" s="116"/>
      <c r="M81" s="214" t="s">
        <v>1117</v>
      </c>
      <c r="N81" s="214">
        <v>2023</v>
      </c>
      <c r="O81" s="287">
        <v>23.993658119029163</v>
      </c>
      <c r="X81" s="1"/>
      <c r="Y81" s="1"/>
      <c r="Z81" s="1"/>
      <c r="AA81" s="1"/>
      <c r="AB81" s="656"/>
      <c r="AC81" s="1"/>
      <c r="AD81" s="116"/>
      <c r="AL81" s="656"/>
      <c r="AM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43"/>
      <c r="BL81" s="116"/>
      <c r="BU81" s="1"/>
      <c r="BV81" s="1"/>
      <c r="BW81" s="1"/>
      <c r="BX81" s="656"/>
      <c r="BZ81" s="657"/>
      <c r="CA81" s="1"/>
      <c r="CB81" s="1"/>
      <c r="CC81" s="1"/>
      <c r="CD81" s="1"/>
      <c r="CE81" s="1"/>
      <c r="CF81" s="1"/>
      <c r="CG81" s="1"/>
      <c r="CH81" s="1"/>
      <c r="CP81" s="305"/>
      <c r="CR81" s="116"/>
      <c r="CZ81" s="1"/>
      <c r="DA81" s="1"/>
      <c r="DB81" s="1"/>
      <c r="DC81" s="1"/>
      <c r="DD81" s="1"/>
      <c r="DE81" s="1"/>
      <c r="DF81" s="1"/>
      <c r="DG81" s="1"/>
      <c r="DH81" s="656"/>
      <c r="DJ81" s="116"/>
    </row>
    <row r="82" spans="2:114" ht="15.75" customHeight="1" x14ac:dyDescent="0.25">
      <c r="B82" s="116"/>
      <c r="I82" s="656"/>
      <c r="K82" s="116"/>
      <c r="M82" s="214" t="s">
        <v>1117</v>
      </c>
      <c r="N82" s="214">
        <v>2025</v>
      </c>
      <c r="O82" s="287">
        <v>20.274712206938659</v>
      </c>
      <c r="X82" s="1"/>
      <c r="Y82" s="1"/>
      <c r="Z82" s="1"/>
      <c r="AA82" s="1"/>
      <c r="AB82" s="656"/>
      <c r="AC82" s="1"/>
      <c r="AD82" s="116"/>
      <c r="AL82" s="656"/>
      <c r="AM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43"/>
      <c r="BL82" s="116"/>
      <c r="BU82" s="1"/>
      <c r="BV82" s="1"/>
      <c r="BW82" s="1"/>
      <c r="BX82" s="656"/>
      <c r="BZ82" s="657"/>
      <c r="CA82" s="1"/>
      <c r="CB82" s="1"/>
      <c r="CC82" s="1"/>
      <c r="CD82" s="1"/>
      <c r="CE82" s="1"/>
      <c r="CF82" s="1"/>
      <c r="CG82" s="1"/>
      <c r="CH82" s="1"/>
      <c r="CP82" s="305"/>
      <c r="CR82" s="116"/>
      <c r="CZ82" s="1"/>
      <c r="DA82" s="1"/>
      <c r="DB82" s="1"/>
      <c r="DC82" s="1"/>
      <c r="DD82" s="1"/>
      <c r="DE82" s="1"/>
      <c r="DF82" s="1"/>
      <c r="DG82" s="1"/>
      <c r="DH82" s="656"/>
      <c r="DJ82" s="116"/>
    </row>
    <row r="83" spans="2:114" ht="15.75" customHeight="1" x14ac:dyDescent="0.25">
      <c r="B83" s="116"/>
      <c r="I83" s="656"/>
      <c r="K83" s="116"/>
      <c r="M83" s="214" t="s">
        <v>1117</v>
      </c>
      <c r="N83" s="214">
        <v>2027</v>
      </c>
      <c r="O83" s="287">
        <v>17.1777557482433</v>
      </c>
      <c r="X83" s="1"/>
      <c r="Y83" s="1"/>
      <c r="Z83" s="1"/>
      <c r="AA83" s="1"/>
      <c r="AB83" s="656"/>
      <c r="AC83" s="1"/>
      <c r="AD83" s="116"/>
      <c r="AL83" s="656"/>
      <c r="AM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43"/>
      <c r="BL83" s="116"/>
      <c r="BU83" s="1"/>
      <c r="BV83" s="1"/>
      <c r="BW83" s="1"/>
      <c r="BX83" s="656"/>
      <c r="BZ83" s="657"/>
      <c r="CA83" s="1"/>
      <c r="CB83" s="1"/>
      <c r="CC83" s="1"/>
      <c r="CD83" s="1"/>
      <c r="CE83" s="1"/>
      <c r="CF83" s="1"/>
      <c r="CG83" s="1"/>
      <c r="CH83" s="1"/>
      <c r="CP83" s="305"/>
      <c r="CR83" s="116"/>
      <c r="CZ83" s="1"/>
      <c r="DA83" s="1"/>
      <c r="DB83" s="1"/>
      <c r="DC83" s="1"/>
      <c r="DD83" s="1"/>
      <c r="DE83" s="1"/>
      <c r="DF83" s="1"/>
      <c r="DG83" s="1"/>
      <c r="DH83" s="656"/>
      <c r="DJ83" s="116"/>
    </row>
    <row r="84" spans="2:114" ht="15.75" customHeight="1" x14ac:dyDescent="0.25">
      <c r="B84" s="116"/>
      <c r="I84" s="656"/>
      <c r="K84" s="116"/>
      <c r="M84" s="214" t="s">
        <v>1117</v>
      </c>
      <c r="N84" s="214">
        <v>2030</v>
      </c>
      <c r="O84" s="287">
        <v>12.747595139993381</v>
      </c>
      <c r="X84" s="1"/>
      <c r="Y84" s="1"/>
      <c r="Z84" s="1"/>
      <c r="AA84" s="1"/>
      <c r="AB84" s="656"/>
      <c r="AC84" s="1"/>
      <c r="AD84" s="116"/>
      <c r="AL84" s="656"/>
      <c r="AM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43"/>
      <c r="BL84" s="116"/>
      <c r="BU84" s="1"/>
      <c r="BV84" s="1"/>
      <c r="BW84" s="1"/>
      <c r="BX84" s="656"/>
      <c r="BZ84" s="657"/>
      <c r="CA84" s="1"/>
      <c r="CB84" s="1"/>
      <c r="CC84" s="1"/>
      <c r="CD84" s="1"/>
      <c r="CE84" s="1"/>
      <c r="CF84" s="1"/>
      <c r="CG84" s="1"/>
      <c r="CH84" s="1"/>
      <c r="CP84" s="305"/>
      <c r="CR84" s="116"/>
      <c r="CZ84" s="1"/>
      <c r="DA84" s="1"/>
      <c r="DB84" s="1"/>
      <c r="DC84" s="1"/>
      <c r="DD84" s="1"/>
      <c r="DE84" s="1"/>
      <c r="DF84" s="1"/>
      <c r="DG84" s="1"/>
      <c r="DH84" s="656"/>
      <c r="DJ84" s="116"/>
    </row>
    <row r="85" spans="2:114" ht="15.75" customHeight="1" x14ac:dyDescent="0.25">
      <c r="B85" s="116"/>
      <c r="I85" s="656"/>
      <c r="K85" s="116"/>
      <c r="M85" s="214" t="s">
        <v>1117</v>
      </c>
      <c r="N85" s="214">
        <v>2033</v>
      </c>
      <c r="O85" s="287">
        <v>10.454848192395344</v>
      </c>
      <c r="X85" s="1"/>
      <c r="Y85" s="1"/>
      <c r="Z85" s="1"/>
      <c r="AA85" s="1"/>
      <c r="AB85" s="656"/>
      <c r="AC85" s="1"/>
      <c r="AD85" s="116"/>
      <c r="AL85" s="656"/>
      <c r="AM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43"/>
      <c r="BL85" s="116"/>
      <c r="BU85" s="1"/>
      <c r="BV85" s="1"/>
      <c r="BW85" s="1"/>
      <c r="BX85" s="656"/>
      <c r="BZ85" s="657"/>
      <c r="CA85" s="1"/>
      <c r="CB85" s="1"/>
      <c r="CC85" s="1"/>
      <c r="CD85" s="1"/>
      <c r="CE85" s="1"/>
      <c r="CF85" s="1"/>
      <c r="CG85" s="1"/>
      <c r="CH85" s="1"/>
      <c r="CP85" s="305"/>
      <c r="CR85" s="116"/>
      <c r="CZ85" s="1"/>
      <c r="DA85" s="1"/>
      <c r="DB85" s="1"/>
      <c r="DC85" s="1"/>
      <c r="DD85" s="1"/>
      <c r="DE85" s="1"/>
      <c r="DF85" s="1"/>
      <c r="DG85" s="1"/>
      <c r="DH85" s="656"/>
      <c r="DJ85" s="116"/>
    </row>
    <row r="86" spans="2:114" ht="15.75" customHeight="1" x14ac:dyDescent="0.25">
      <c r="B86" s="116"/>
      <c r="I86" s="656"/>
      <c r="K86" s="116"/>
      <c r="M86" s="214" t="s">
        <v>1117</v>
      </c>
      <c r="N86" s="214">
        <v>2035</v>
      </c>
      <c r="O86" s="287">
        <v>8.9263502273299657</v>
      </c>
      <c r="X86" s="1"/>
      <c r="Y86" s="1"/>
      <c r="Z86" s="1"/>
      <c r="AA86" s="1"/>
      <c r="AB86" s="656"/>
      <c r="AC86" s="1"/>
      <c r="AD86" s="116"/>
      <c r="AL86" s="656"/>
      <c r="AM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43"/>
      <c r="BL86" s="116"/>
      <c r="BU86" s="1"/>
      <c r="BV86" s="1"/>
      <c r="BW86" s="1"/>
      <c r="BX86" s="656"/>
      <c r="BZ86" s="657"/>
      <c r="CA86" s="1"/>
      <c r="CB86" s="1"/>
      <c r="CC86" s="1"/>
      <c r="CD86" s="1"/>
      <c r="CE86" s="1"/>
      <c r="CF86" s="1"/>
      <c r="CG86" s="1"/>
      <c r="CH86" s="1"/>
      <c r="CP86" s="305"/>
      <c r="CR86" s="116"/>
      <c r="CZ86" s="1"/>
      <c r="DA86" s="1"/>
      <c r="DB86" s="1"/>
      <c r="DC86" s="1"/>
      <c r="DD86" s="1"/>
      <c r="DE86" s="1"/>
      <c r="DF86" s="1"/>
      <c r="DG86" s="1"/>
      <c r="DH86" s="656"/>
      <c r="DJ86" s="116"/>
    </row>
    <row r="87" spans="2:114" ht="15.75" customHeight="1" x14ac:dyDescent="0.25">
      <c r="B87" s="116"/>
      <c r="I87" s="656"/>
      <c r="K87" s="116"/>
      <c r="M87" s="214" t="s">
        <v>1117</v>
      </c>
      <c r="N87" s="214">
        <v>2037</v>
      </c>
      <c r="O87" s="287">
        <v>7.8276051073700268</v>
      </c>
      <c r="X87" s="1"/>
      <c r="Y87" s="1"/>
      <c r="Z87" s="1"/>
      <c r="AA87" s="1"/>
      <c r="AB87" s="656"/>
      <c r="AC87" s="1"/>
      <c r="AD87" s="116"/>
      <c r="AL87" s="656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43"/>
      <c r="BL87" s="116"/>
      <c r="BU87" s="1"/>
      <c r="BV87" s="1"/>
      <c r="BW87" s="1"/>
      <c r="BX87" s="656"/>
      <c r="BZ87" s="657"/>
      <c r="CA87" s="1"/>
      <c r="CB87" s="1"/>
      <c r="CC87" s="1"/>
      <c r="CD87" s="1"/>
      <c r="CE87" s="1"/>
      <c r="CF87" s="1"/>
      <c r="CG87" s="1"/>
      <c r="CH87" s="1"/>
      <c r="CP87" s="305"/>
      <c r="CR87" s="116"/>
      <c r="CZ87" s="1"/>
      <c r="DA87" s="1"/>
      <c r="DB87" s="1"/>
      <c r="DC87" s="1"/>
      <c r="DD87" s="1"/>
      <c r="DE87" s="1"/>
      <c r="DF87" s="1"/>
      <c r="DG87" s="1"/>
      <c r="DH87" s="656"/>
      <c r="DJ87" s="116"/>
    </row>
    <row r="88" spans="2:114" ht="15.75" customHeight="1" x14ac:dyDescent="0.25">
      <c r="B88" s="116"/>
      <c r="I88" s="656"/>
      <c r="K88" s="116"/>
      <c r="M88" s="214" t="s">
        <v>1117</v>
      </c>
      <c r="N88" s="214">
        <v>2040</v>
      </c>
      <c r="O88" s="287">
        <v>6.2430911328234622</v>
      </c>
      <c r="X88" s="1"/>
      <c r="Y88" s="1"/>
      <c r="Z88" s="1"/>
      <c r="AA88" s="1"/>
      <c r="AB88" s="656"/>
      <c r="AC88" s="1"/>
      <c r="AD88" s="116"/>
      <c r="AL88" s="656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43"/>
      <c r="BL88" s="116"/>
      <c r="BU88" s="1"/>
      <c r="BV88" s="1"/>
      <c r="BW88" s="1"/>
      <c r="BX88" s="656"/>
      <c r="BZ88" s="657"/>
      <c r="CA88" s="1"/>
      <c r="CB88" s="1"/>
      <c r="CC88" s="1"/>
      <c r="CD88" s="1"/>
      <c r="CE88" s="1"/>
      <c r="CF88" s="1"/>
      <c r="CG88" s="1"/>
      <c r="CH88" s="1"/>
      <c r="CP88" s="305"/>
      <c r="CR88" s="116"/>
      <c r="CZ88" s="1"/>
      <c r="DA88" s="1"/>
      <c r="DB88" s="1"/>
      <c r="DC88" s="1"/>
      <c r="DD88" s="1"/>
      <c r="DE88" s="1"/>
      <c r="DF88" s="1"/>
      <c r="DG88" s="1"/>
      <c r="DH88" s="656"/>
      <c r="DJ88" s="116"/>
    </row>
    <row r="89" spans="2:114" ht="15.75" customHeight="1" x14ac:dyDescent="0.25">
      <c r="B89" s="116"/>
      <c r="I89" s="656"/>
      <c r="K89" s="116"/>
      <c r="M89" s="214" t="s">
        <v>1117</v>
      </c>
      <c r="N89" s="214">
        <v>2043</v>
      </c>
      <c r="O89" s="287">
        <v>4.9217966700768256</v>
      </c>
      <c r="X89" s="1"/>
      <c r="Y89" s="1"/>
      <c r="Z89" s="1"/>
      <c r="AA89" s="1"/>
      <c r="AB89" s="656"/>
      <c r="AC89" s="1"/>
      <c r="AD89" s="116"/>
      <c r="AL89" s="656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43"/>
      <c r="BL89" s="116"/>
      <c r="BU89" s="1"/>
      <c r="BV89" s="1"/>
      <c r="BW89" s="1"/>
      <c r="BX89" s="656"/>
      <c r="BZ89" s="657"/>
      <c r="CA89" s="1"/>
      <c r="CB89" s="1"/>
      <c r="CC89" s="1"/>
      <c r="CD89" s="1"/>
      <c r="CE89" s="1"/>
      <c r="CF89" s="1"/>
      <c r="CG89" s="1"/>
      <c r="CH89" s="1"/>
      <c r="CP89" s="305"/>
      <c r="CR89" s="116"/>
      <c r="CZ89" s="1"/>
      <c r="DA89" s="1"/>
      <c r="DB89" s="1"/>
      <c r="DC89" s="1"/>
      <c r="DD89" s="1"/>
      <c r="DE89" s="1"/>
      <c r="DF89" s="1"/>
      <c r="DG89" s="1"/>
      <c r="DH89" s="656"/>
      <c r="DJ89" s="116"/>
    </row>
    <row r="90" spans="2:114" ht="15.75" customHeight="1" x14ac:dyDescent="0.25">
      <c r="B90" s="116"/>
      <c r="I90" s="656"/>
      <c r="K90" s="116"/>
      <c r="M90" s="214" t="s">
        <v>1117</v>
      </c>
      <c r="N90" s="214">
        <v>2045</v>
      </c>
      <c r="O90" s="287">
        <v>4.3266071106673554</v>
      </c>
      <c r="X90" s="1"/>
      <c r="Y90" s="1"/>
      <c r="Z90" s="1"/>
      <c r="AA90" s="1"/>
      <c r="AB90" s="656"/>
      <c r="AC90" s="1"/>
      <c r="AD90" s="116"/>
      <c r="AL90" s="656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43"/>
      <c r="BL90" s="116"/>
      <c r="BU90" s="1"/>
      <c r="BV90" s="1"/>
      <c r="BW90" s="1"/>
      <c r="BX90" s="656"/>
      <c r="BZ90" s="657"/>
      <c r="CA90" s="1"/>
      <c r="CB90" s="1"/>
      <c r="CC90" s="1"/>
      <c r="CD90" s="1"/>
      <c r="CE90" s="1"/>
      <c r="CF90" s="1"/>
      <c r="CG90" s="1"/>
      <c r="CH90" s="1"/>
      <c r="CP90" s="305"/>
      <c r="CR90" s="116"/>
      <c r="CZ90" s="1"/>
      <c r="DA90" s="1"/>
      <c r="DB90" s="1"/>
      <c r="DC90" s="1"/>
      <c r="DD90" s="1"/>
      <c r="DE90" s="1"/>
      <c r="DF90" s="1"/>
      <c r="DG90" s="1"/>
      <c r="DH90" s="656"/>
      <c r="DJ90" s="116"/>
    </row>
    <row r="91" spans="2:114" ht="15.75" customHeight="1" x14ac:dyDescent="0.25">
      <c r="B91" s="116"/>
      <c r="I91" s="656"/>
      <c r="K91" s="116"/>
      <c r="M91" s="214" t="s">
        <v>1117</v>
      </c>
      <c r="N91" s="214">
        <v>2047</v>
      </c>
      <c r="O91" s="287">
        <v>3.9981896052775259</v>
      </c>
      <c r="X91" s="1"/>
      <c r="Y91" s="1"/>
      <c r="Z91" s="1"/>
      <c r="AA91" s="1"/>
      <c r="AB91" s="656"/>
      <c r="AC91" s="1"/>
      <c r="AD91" s="116"/>
      <c r="AL91" s="656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43"/>
      <c r="BL91" s="116"/>
      <c r="BU91" s="1"/>
      <c r="BV91" s="1"/>
      <c r="BW91" s="1"/>
      <c r="BX91" s="656"/>
      <c r="BZ91" s="657"/>
      <c r="CA91" s="1"/>
      <c r="CB91" s="1"/>
      <c r="CC91" s="1"/>
      <c r="CD91" s="1"/>
      <c r="CE91" s="1"/>
      <c r="CF91" s="1"/>
      <c r="CG91" s="1"/>
      <c r="CH91" s="1"/>
      <c r="CP91" s="305"/>
      <c r="CR91" s="116"/>
      <c r="CZ91" s="1"/>
      <c r="DA91" s="1"/>
      <c r="DB91" s="1"/>
      <c r="DC91" s="1"/>
      <c r="DD91" s="1"/>
      <c r="DE91" s="1"/>
      <c r="DF91" s="1"/>
      <c r="DG91" s="1"/>
      <c r="DH91" s="656"/>
      <c r="DJ91" s="116"/>
    </row>
    <row r="92" spans="2:114" ht="15.75" customHeight="1" x14ac:dyDescent="0.25">
      <c r="B92" s="116"/>
      <c r="I92" s="656"/>
      <c r="K92" s="116"/>
      <c r="M92" s="214" t="s">
        <v>1117</v>
      </c>
      <c r="N92" s="214">
        <v>2050</v>
      </c>
      <c r="O92" s="287">
        <v>3.5055633471927838</v>
      </c>
      <c r="X92" s="1"/>
      <c r="Y92" s="1"/>
      <c r="Z92" s="1"/>
      <c r="AA92" s="1"/>
      <c r="AB92" s="656"/>
      <c r="AC92" s="1"/>
      <c r="AD92" s="116"/>
      <c r="AL92" s="656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43"/>
      <c r="BL92" s="116"/>
      <c r="BU92" s="1"/>
      <c r="BV92" s="1"/>
      <c r="BW92" s="1"/>
      <c r="BX92" s="656"/>
      <c r="BZ92" s="657"/>
      <c r="CA92" s="1"/>
      <c r="CB92" s="1"/>
      <c r="CC92" s="1"/>
      <c r="CD92" s="1"/>
      <c r="CE92" s="1"/>
      <c r="CF92" s="1"/>
      <c r="CG92" s="1"/>
      <c r="CH92" s="1"/>
      <c r="CP92" s="305"/>
      <c r="CR92" s="116"/>
      <c r="CZ92" s="1"/>
      <c r="DA92" s="1"/>
      <c r="DB92" s="1"/>
      <c r="DC92" s="1"/>
      <c r="DD92" s="1"/>
      <c r="DE92" s="1"/>
      <c r="DF92" s="1"/>
      <c r="DG92" s="1"/>
      <c r="DH92" s="656"/>
      <c r="DJ92" s="116"/>
    </row>
    <row r="93" spans="2:114" ht="15.75" customHeight="1" x14ac:dyDescent="0.25">
      <c r="B93" s="116"/>
      <c r="I93" s="656"/>
      <c r="K93" s="116"/>
      <c r="L93" s="214" t="str">
        <f>+PROCESS!N30</f>
        <v>PROF-CAM7</v>
      </c>
      <c r="M93" s="214" t="s">
        <v>1117</v>
      </c>
      <c r="N93" s="214">
        <v>2019</v>
      </c>
      <c r="O93" s="274">
        <f t="array" ref="O93:O106">+TRANSPOSE('5. Data'!AI105:AV105)</f>
        <v>13.805861909055636</v>
      </c>
      <c r="X93" s="1"/>
      <c r="Y93" s="1"/>
      <c r="Z93" s="1"/>
      <c r="AA93" s="1"/>
      <c r="AB93" s="656"/>
      <c r="AC93" s="1"/>
      <c r="AD93" s="116"/>
      <c r="AL93" s="656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43"/>
      <c r="BL93" s="116"/>
      <c r="BU93" s="1"/>
      <c r="BV93" s="1"/>
      <c r="BW93" s="1"/>
      <c r="BX93" s="656"/>
      <c r="BZ93" s="657"/>
      <c r="CA93" s="1"/>
      <c r="CB93" s="1"/>
      <c r="CC93" s="1"/>
      <c r="CD93" s="1"/>
      <c r="CE93" s="1"/>
      <c r="CF93" s="1"/>
      <c r="CG93" s="1"/>
      <c r="CH93" s="1"/>
      <c r="CP93" s="305"/>
      <c r="CR93" s="116"/>
      <c r="CZ93" s="1"/>
      <c r="DA93" s="1"/>
      <c r="DB93" s="1"/>
      <c r="DC93" s="1"/>
      <c r="DD93" s="1"/>
      <c r="DE93" s="1"/>
      <c r="DF93" s="1"/>
      <c r="DG93" s="1"/>
      <c r="DH93" s="656"/>
      <c r="DJ93" s="116"/>
    </row>
    <row r="94" spans="2:114" ht="15.75" customHeight="1" x14ac:dyDescent="0.25">
      <c r="B94" s="116"/>
      <c r="I94" s="656"/>
      <c r="K94" s="116"/>
      <c r="M94" s="214" t="s">
        <v>1117</v>
      </c>
      <c r="N94" s="214">
        <v>2020</v>
      </c>
      <c r="O94" s="274">
        <v>13.555017760421741</v>
      </c>
      <c r="X94" s="1"/>
      <c r="Y94" s="1"/>
      <c r="Z94" s="1"/>
      <c r="AA94" s="1"/>
      <c r="AB94" s="656"/>
      <c r="AC94" s="1"/>
      <c r="AD94" s="116"/>
      <c r="AL94" s="656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43"/>
      <c r="BL94" s="116"/>
      <c r="BU94" s="1"/>
      <c r="BV94" s="1"/>
      <c r="BW94" s="1"/>
      <c r="BX94" s="656"/>
      <c r="BZ94" s="657"/>
      <c r="CA94" s="1"/>
      <c r="CB94" s="1"/>
      <c r="CC94" s="1"/>
      <c r="CD94" s="1"/>
      <c r="CE94" s="1"/>
      <c r="CF94" s="1"/>
      <c r="CG94" s="1"/>
      <c r="CH94" s="1"/>
      <c r="CP94" s="305"/>
      <c r="CR94" s="116"/>
      <c r="CZ94" s="1"/>
      <c r="DA94" s="1"/>
      <c r="DB94" s="1"/>
      <c r="DC94" s="1"/>
      <c r="DD94" s="1"/>
      <c r="DE94" s="1"/>
      <c r="DF94" s="1"/>
      <c r="DG94" s="1"/>
      <c r="DH94" s="656"/>
      <c r="DJ94" s="116"/>
    </row>
    <row r="95" spans="2:114" ht="15.75" customHeight="1" x14ac:dyDescent="0.25">
      <c r="B95" s="116"/>
      <c r="I95" s="656"/>
      <c r="K95" s="116"/>
      <c r="M95" s="214" t="s">
        <v>1117</v>
      </c>
      <c r="N95" s="214">
        <v>2023</v>
      </c>
      <c r="O95" s="274">
        <v>13.580367821962039</v>
      </c>
      <c r="X95" s="1"/>
      <c r="Y95" s="1"/>
      <c r="Z95" s="1"/>
      <c r="AA95" s="1"/>
      <c r="AB95" s="656"/>
      <c r="AC95" s="1"/>
      <c r="AD95" s="116"/>
      <c r="AL95" s="656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43"/>
      <c r="BL95" s="116"/>
      <c r="BU95" s="1"/>
      <c r="BV95" s="1"/>
      <c r="BW95" s="1"/>
      <c r="BX95" s="656"/>
      <c r="BZ95" s="657"/>
      <c r="CA95" s="1"/>
      <c r="CB95" s="1"/>
      <c r="CC95" s="1"/>
      <c r="CD95" s="1"/>
      <c r="CE95" s="1"/>
      <c r="CF95" s="1"/>
      <c r="CG95" s="1"/>
      <c r="CH95" s="1"/>
      <c r="CP95" s="305"/>
      <c r="CR95" s="116"/>
      <c r="CZ95" s="1"/>
      <c r="DA95" s="1"/>
      <c r="DB95" s="1"/>
      <c r="DC95" s="1"/>
      <c r="DD95" s="1"/>
      <c r="DE95" s="1"/>
      <c r="DF95" s="1"/>
      <c r="DG95" s="1"/>
      <c r="DH95" s="656"/>
      <c r="DJ95" s="116"/>
    </row>
    <row r="96" spans="2:114" ht="15.75" customHeight="1" x14ac:dyDescent="0.25">
      <c r="B96" s="116"/>
      <c r="I96" s="656"/>
      <c r="K96" s="116"/>
      <c r="M96" s="214" t="s">
        <v>1117</v>
      </c>
      <c r="N96" s="214">
        <v>2025</v>
      </c>
      <c r="O96" s="274">
        <v>11.513307662146612</v>
      </c>
      <c r="X96" s="1"/>
      <c r="Y96" s="1"/>
      <c r="Z96" s="1"/>
      <c r="AA96" s="1"/>
      <c r="AB96" s="656"/>
      <c r="AC96" s="1"/>
      <c r="AD96" s="116"/>
      <c r="AL96" s="656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43"/>
      <c r="BL96" s="116"/>
      <c r="BU96" s="1"/>
      <c r="BV96" s="1"/>
      <c r="BW96" s="1"/>
      <c r="BX96" s="656"/>
      <c r="BZ96" s="657"/>
      <c r="CA96" s="1"/>
      <c r="CB96" s="1"/>
      <c r="CC96" s="1"/>
      <c r="CD96" s="1"/>
      <c r="CE96" s="1"/>
      <c r="CF96" s="1"/>
      <c r="CG96" s="1"/>
      <c r="CH96" s="1"/>
      <c r="CP96" s="305"/>
      <c r="CR96" s="116"/>
      <c r="CZ96" s="1"/>
      <c r="DA96" s="1"/>
      <c r="DB96" s="1"/>
      <c r="DC96" s="1"/>
      <c r="DD96" s="1"/>
      <c r="DE96" s="1"/>
      <c r="DF96" s="1"/>
      <c r="DG96" s="1"/>
      <c r="DH96" s="656"/>
      <c r="DJ96" s="116"/>
    </row>
    <row r="97" spans="2:114" ht="15.75" customHeight="1" x14ac:dyDescent="0.25">
      <c r="B97" s="116"/>
      <c r="I97" s="656"/>
      <c r="K97" s="116"/>
      <c r="M97" s="214" t="s">
        <v>1117</v>
      </c>
      <c r="N97" s="214">
        <v>2027</v>
      </c>
      <c r="O97" s="274">
        <v>9.8123614879947141</v>
      </c>
      <c r="X97" s="1"/>
      <c r="Y97" s="1"/>
      <c r="Z97" s="1"/>
      <c r="AA97" s="1"/>
      <c r="AB97" s="656"/>
      <c r="AC97" s="1"/>
      <c r="AD97" s="116"/>
      <c r="AL97" s="656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43"/>
      <c r="BL97" s="116"/>
      <c r="BU97" s="1"/>
      <c r="BV97" s="1"/>
      <c r="BW97" s="1"/>
      <c r="BX97" s="656"/>
      <c r="BZ97" s="657"/>
      <c r="CA97" s="1"/>
      <c r="CB97" s="1"/>
      <c r="CC97" s="1"/>
      <c r="CD97" s="1"/>
      <c r="CE97" s="1"/>
      <c r="CF97" s="1"/>
      <c r="CG97" s="1"/>
      <c r="CH97" s="1"/>
      <c r="CP97" s="305"/>
      <c r="CR97" s="116"/>
      <c r="CZ97" s="1"/>
      <c r="DA97" s="1"/>
      <c r="DB97" s="1"/>
      <c r="DC97" s="1"/>
      <c r="DD97" s="1"/>
      <c r="DE97" s="1"/>
      <c r="DF97" s="1"/>
      <c r="DG97" s="1"/>
      <c r="DH97" s="656"/>
      <c r="DJ97" s="116"/>
    </row>
    <row r="98" spans="2:114" ht="15.75" customHeight="1" x14ac:dyDescent="0.25">
      <c r="B98" s="116"/>
      <c r="I98" s="656"/>
      <c r="K98" s="116"/>
      <c r="M98" s="214" t="s">
        <v>1117</v>
      </c>
      <c r="N98" s="214">
        <v>2030</v>
      </c>
      <c r="O98" s="274">
        <v>7.6975094726589486</v>
      </c>
      <c r="X98" s="1"/>
      <c r="Y98" s="1"/>
      <c r="Z98" s="1"/>
      <c r="AA98" s="1"/>
      <c r="AB98" s="656"/>
      <c r="AC98" s="1"/>
      <c r="AD98" s="116"/>
      <c r="AL98" s="656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43"/>
      <c r="BL98" s="116"/>
      <c r="BU98" s="1"/>
      <c r="BV98" s="1"/>
      <c r="BW98" s="1"/>
      <c r="BX98" s="656"/>
      <c r="BZ98" s="657"/>
      <c r="CA98" s="1"/>
      <c r="CB98" s="1"/>
      <c r="CC98" s="1"/>
      <c r="CD98" s="1"/>
      <c r="CE98" s="1"/>
      <c r="CF98" s="1"/>
      <c r="CG98" s="1"/>
      <c r="CH98" s="1"/>
      <c r="CP98" s="305"/>
      <c r="CR98" s="116"/>
      <c r="CZ98" s="1"/>
      <c r="DA98" s="1"/>
      <c r="DB98" s="1"/>
      <c r="DC98" s="1"/>
      <c r="DD98" s="1"/>
      <c r="DE98" s="1"/>
      <c r="DF98" s="1"/>
      <c r="DG98" s="1"/>
      <c r="DH98" s="656"/>
      <c r="DJ98" s="116"/>
    </row>
    <row r="99" spans="2:114" ht="15.75" customHeight="1" x14ac:dyDescent="0.25">
      <c r="B99" s="116"/>
      <c r="I99" s="656"/>
      <c r="K99" s="116"/>
      <c r="M99" s="214" t="s">
        <v>1117</v>
      </c>
      <c r="N99" s="214">
        <v>2033</v>
      </c>
      <c r="O99" s="274">
        <v>6.213889795624481</v>
      </c>
      <c r="X99" s="1"/>
      <c r="Y99" s="1"/>
      <c r="Z99" s="1"/>
      <c r="AA99" s="1"/>
      <c r="AB99" s="656"/>
      <c r="AC99" s="1"/>
      <c r="AD99" s="116"/>
      <c r="AL99" s="656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43"/>
      <c r="BL99" s="116"/>
      <c r="BU99" s="1"/>
      <c r="BV99" s="1"/>
      <c r="BW99" s="1"/>
      <c r="BX99" s="656"/>
      <c r="BZ99" s="657"/>
      <c r="CA99" s="1"/>
      <c r="CB99" s="1"/>
      <c r="CC99" s="1"/>
      <c r="CD99" s="1"/>
      <c r="CE99" s="1"/>
      <c r="CF99" s="1"/>
      <c r="CG99" s="1"/>
      <c r="CH99" s="1"/>
      <c r="CP99" s="305"/>
      <c r="CR99" s="116"/>
      <c r="CZ99" s="1"/>
      <c r="DA99" s="1"/>
      <c r="DB99" s="1"/>
      <c r="DC99" s="1"/>
      <c r="DD99" s="1"/>
      <c r="DE99" s="1"/>
      <c r="DF99" s="1"/>
      <c r="DG99" s="1"/>
      <c r="DH99" s="656"/>
      <c r="DJ99" s="116"/>
    </row>
    <row r="100" spans="2:114" ht="15.75" customHeight="1" x14ac:dyDescent="0.25">
      <c r="B100" s="116"/>
      <c r="I100" s="656"/>
      <c r="K100" s="116"/>
      <c r="M100" s="214" t="s">
        <v>1117</v>
      </c>
      <c r="N100" s="214">
        <v>2035</v>
      </c>
      <c r="O100" s="274">
        <v>5.3187837596252985</v>
      </c>
      <c r="X100" s="1"/>
      <c r="Y100" s="1"/>
      <c r="Z100" s="1"/>
      <c r="AA100" s="1"/>
      <c r="AB100" s="656"/>
      <c r="AC100" s="1"/>
      <c r="AD100" s="116"/>
      <c r="AL100" s="656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43"/>
      <c r="BL100" s="116"/>
      <c r="BU100" s="1"/>
      <c r="BV100" s="1"/>
      <c r="BW100" s="1"/>
      <c r="BX100" s="656"/>
      <c r="BZ100" s="657"/>
      <c r="CA100" s="1"/>
      <c r="CB100" s="1"/>
      <c r="CC100" s="1"/>
      <c r="CD100" s="1"/>
      <c r="CE100" s="1"/>
      <c r="CF100" s="1"/>
      <c r="CG100" s="1"/>
      <c r="CH100" s="1"/>
      <c r="CP100" s="305"/>
      <c r="CR100" s="116"/>
      <c r="CZ100" s="1"/>
      <c r="DA100" s="1"/>
      <c r="DB100" s="1"/>
      <c r="DC100" s="1"/>
      <c r="DD100" s="1"/>
      <c r="DE100" s="1"/>
      <c r="DF100" s="1"/>
      <c r="DG100" s="1"/>
      <c r="DH100" s="656"/>
      <c r="DJ100" s="116"/>
    </row>
    <row r="101" spans="2:114" ht="15.75" customHeight="1" x14ac:dyDescent="0.25">
      <c r="B101" s="116"/>
      <c r="I101" s="656"/>
      <c r="K101" s="116"/>
      <c r="M101" s="214" t="s">
        <v>1117</v>
      </c>
      <c r="N101" s="214">
        <v>2037</v>
      </c>
      <c r="O101" s="274">
        <v>4.5635467610294596</v>
      </c>
      <c r="X101" s="1"/>
      <c r="Y101" s="1"/>
      <c r="Z101" s="1"/>
      <c r="AA101" s="1"/>
      <c r="AB101" s="656"/>
      <c r="AC101" s="1"/>
      <c r="AD101" s="116"/>
      <c r="AL101" s="656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43"/>
      <c r="BL101" s="116"/>
      <c r="BU101" s="1"/>
      <c r="BV101" s="1"/>
      <c r="BW101" s="1"/>
      <c r="BX101" s="656"/>
      <c r="BZ101" s="657"/>
      <c r="CA101" s="1"/>
      <c r="CB101" s="1"/>
      <c r="CC101" s="1"/>
      <c r="CD101" s="1"/>
      <c r="CE101" s="1"/>
      <c r="CF101" s="1"/>
      <c r="CG101" s="1"/>
      <c r="CH101" s="1"/>
      <c r="CP101" s="305"/>
      <c r="CR101" s="116"/>
      <c r="CZ101" s="1"/>
      <c r="DA101" s="1"/>
      <c r="DB101" s="1"/>
      <c r="DC101" s="1"/>
      <c r="DD101" s="1"/>
      <c r="DE101" s="1"/>
      <c r="DF101" s="1"/>
      <c r="DG101" s="1"/>
      <c r="DH101" s="656"/>
      <c r="DJ101" s="116"/>
    </row>
    <row r="102" spans="2:114" ht="15.75" customHeight="1" x14ac:dyDescent="0.25">
      <c r="B102" s="116"/>
      <c r="I102" s="656"/>
      <c r="K102" s="116"/>
      <c r="M102" s="214" t="s">
        <v>1117</v>
      </c>
      <c r="N102" s="214">
        <v>2040</v>
      </c>
      <c r="O102" s="274">
        <v>3.6682050453013875</v>
      </c>
      <c r="X102" s="1"/>
      <c r="Y102" s="1"/>
      <c r="Z102" s="1"/>
      <c r="AA102" s="1"/>
      <c r="AB102" s="656"/>
      <c r="AC102" s="1"/>
      <c r="AD102" s="116"/>
      <c r="AL102" s="656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43"/>
      <c r="BL102" s="116"/>
      <c r="BU102" s="1"/>
      <c r="BV102" s="1"/>
      <c r="BW102" s="1"/>
      <c r="BX102" s="656"/>
      <c r="BZ102" s="657"/>
      <c r="CA102" s="1"/>
      <c r="CB102" s="1"/>
      <c r="CC102" s="1"/>
      <c r="CD102" s="1"/>
      <c r="CE102" s="1"/>
      <c r="CF102" s="1"/>
      <c r="CG102" s="1"/>
      <c r="CH102" s="1"/>
      <c r="CP102" s="305"/>
      <c r="CR102" s="116"/>
      <c r="CZ102" s="1"/>
      <c r="DA102" s="1"/>
      <c r="DB102" s="1"/>
      <c r="DC102" s="1"/>
      <c r="DD102" s="1"/>
      <c r="DE102" s="1"/>
      <c r="DF102" s="1"/>
      <c r="DG102" s="1"/>
      <c r="DH102" s="656"/>
      <c r="DJ102" s="116"/>
    </row>
    <row r="103" spans="2:114" ht="15.75" customHeight="1" x14ac:dyDescent="0.25">
      <c r="B103" s="116"/>
      <c r="I103" s="656"/>
      <c r="K103" s="116"/>
      <c r="M103" s="214" t="s">
        <v>1117</v>
      </c>
      <c r="N103" s="214">
        <v>2043</v>
      </c>
      <c r="O103" s="274">
        <v>2.8293262902704885</v>
      </c>
      <c r="X103" s="1"/>
      <c r="Y103" s="1"/>
      <c r="Z103" s="1"/>
      <c r="AA103" s="1"/>
      <c r="AB103" s="656"/>
      <c r="AC103" s="1"/>
      <c r="AD103" s="116"/>
      <c r="AL103" s="656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43"/>
      <c r="BL103" s="116"/>
      <c r="BU103" s="1"/>
      <c r="BV103" s="1"/>
      <c r="BW103" s="1"/>
      <c r="BX103" s="656"/>
      <c r="BZ103" s="657"/>
      <c r="CA103" s="1"/>
      <c r="CB103" s="1"/>
      <c r="CC103" s="1"/>
      <c r="CD103" s="1"/>
      <c r="CE103" s="1"/>
      <c r="CF103" s="1"/>
      <c r="CG103" s="1"/>
      <c r="CH103" s="1"/>
      <c r="CP103" s="305"/>
      <c r="CR103" s="116"/>
      <c r="CZ103" s="1"/>
      <c r="DA103" s="1"/>
      <c r="DB103" s="1"/>
      <c r="DC103" s="1"/>
      <c r="DD103" s="1"/>
      <c r="DE103" s="1"/>
      <c r="DF103" s="1"/>
      <c r="DG103" s="1"/>
      <c r="DH103" s="656"/>
      <c r="DJ103" s="116"/>
    </row>
    <row r="104" spans="2:114" ht="15.75" customHeight="1" x14ac:dyDescent="0.25">
      <c r="B104" s="116"/>
      <c r="I104" s="656"/>
      <c r="K104" s="116"/>
      <c r="M104" s="214" t="s">
        <v>1117</v>
      </c>
      <c r="N104" s="214">
        <v>2045</v>
      </c>
      <c r="O104" s="274">
        <v>2.286975390331242</v>
      </c>
      <c r="X104" s="1"/>
      <c r="Y104" s="1"/>
      <c r="Z104" s="1"/>
      <c r="AA104" s="1"/>
      <c r="AB104" s="656"/>
      <c r="AC104" s="1"/>
      <c r="AD104" s="116"/>
      <c r="AL104" s="656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43"/>
      <c r="BL104" s="116"/>
      <c r="BU104" s="1"/>
      <c r="BV104" s="1"/>
      <c r="BW104" s="1"/>
      <c r="BX104" s="656"/>
      <c r="BZ104" s="657"/>
      <c r="CA104" s="1"/>
      <c r="CB104" s="1"/>
      <c r="CC104" s="1"/>
      <c r="CD104" s="1"/>
      <c r="CE104" s="1"/>
      <c r="CF104" s="1"/>
      <c r="CG104" s="1"/>
      <c r="CH104" s="1"/>
      <c r="CP104" s="305"/>
      <c r="CR104" s="116"/>
      <c r="CZ104" s="1"/>
      <c r="DA104" s="1"/>
      <c r="DB104" s="1"/>
      <c r="DC104" s="1"/>
      <c r="DD104" s="1"/>
      <c r="DE104" s="1"/>
      <c r="DF104" s="1"/>
      <c r="DG104" s="1"/>
      <c r="DH104" s="656"/>
      <c r="DJ104" s="116"/>
    </row>
    <row r="105" spans="2:114" ht="15.75" customHeight="1" x14ac:dyDescent="0.25">
      <c r="B105" s="116"/>
      <c r="I105" s="656"/>
      <c r="K105" s="116"/>
      <c r="M105" s="214" t="s">
        <v>1117</v>
      </c>
      <c r="N105" s="214">
        <v>2047</v>
      </c>
      <c r="O105" s="274">
        <v>1.7612347432495417</v>
      </c>
      <c r="X105" s="1"/>
      <c r="Y105" s="1"/>
      <c r="Z105" s="1"/>
      <c r="AA105" s="1"/>
      <c r="AB105" s="656"/>
      <c r="AC105" s="1"/>
      <c r="AD105" s="116"/>
      <c r="AL105" s="656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43"/>
      <c r="BL105" s="116"/>
      <c r="BU105" s="1"/>
      <c r="BV105" s="1"/>
      <c r="BW105" s="1"/>
      <c r="BX105" s="656"/>
      <c r="BZ105" s="657"/>
      <c r="CA105" s="1"/>
      <c r="CB105" s="1"/>
      <c r="CC105" s="1"/>
      <c r="CD105" s="1"/>
      <c r="CE105" s="1"/>
      <c r="CF105" s="1"/>
      <c r="CG105" s="1"/>
      <c r="CH105" s="1"/>
      <c r="CP105" s="305"/>
      <c r="CR105" s="116"/>
      <c r="CZ105" s="1"/>
      <c r="DA105" s="1"/>
      <c r="DB105" s="1"/>
      <c r="DC105" s="1"/>
      <c r="DD105" s="1"/>
      <c r="DE105" s="1"/>
      <c r="DF105" s="1"/>
      <c r="DG105" s="1"/>
      <c r="DH105" s="656"/>
      <c r="DJ105" s="116"/>
    </row>
    <row r="106" spans="2:114" ht="15.75" customHeight="1" x14ac:dyDescent="0.25">
      <c r="B106" s="116"/>
      <c r="I106" s="656"/>
      <c r="K106" s="116"/>
      <c r="M106" s="214" t="s">
        <v>1117</v>
      </c>
      <c r="N106" s="214">
        <v>2050</v>
      </c>
      <c r="O106" s="274">
        <v>0.97262377262695476</v>
      </c>
      <c r="X106" s="1"/>
      <c r="Y106" s="1"/>
      <c r="Z106" s="1"/>
      <c r="AA106" s="1"/>
      <c r="AB106" s="656"/>
      <c r="AC106" s="1"/>
      <c r="AD106" s="116"/>
      <c r="AL106" s="656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43"/>
      <c r="BL106" s="116"/>
      <c r="BU106" s="1"/>
      <c r="BV106" s="1"/>
      <c r="BW106" s="1"/>
      <c r="BX106" s="656"/>
      <c r="BZ106" s="657"/>
      <c r="CA106" s="1"/>
      <c r="CB106" s="1"/>
      <c r="CC106" s="1"/>
      <c r="CD106" s="1"/>
      <c r="CE106" s="1"/>
      <c r="CF106" s="1"/>
      <c r="CG106" s="1"/>
      <c r="CH106" s="1"/>
      <c r="CP106" s="305"/>
      <c r="CR106" s="116"/>
      <c r="CZ106" s="1"/>
      <c r="DA106" s="1"/>
      <c r="DB106" s="1"/>
      <c r="DC106" s="1"/>
      <c r="DD106" s="1"/>
      <c r="DE106" s="1"/>
      <c r="DF106" s="1"/>
      <c r="DG106" s="1"/>
      <c r="DH106" s="656"/>
      <c r="DJ106" s="116"/>
    </row>
    <row r="107" spans="2:114" ht="15.75" customHeight="1" x14ac:dyDescent="0.25">
      <c r="B107" s="116"/>
      <c r="I107" s="656"/>
      <c r="K107" s="116"/>
      <c r="X107" s="1"/>
      <c r="Y107" s="1"/>
      <c r="Z107" s="1"/>
      <c r="AA107" s="1"/>
      <c r="AB107" s="656"/>
      <c r="AC107" s="1"/>
      <c r="AD107" s="116"/>
      <c r="AL107" s="656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43"/>
      <c r="BL107" s="116"/>
      <c r="BU107" s="1"/>
      <c r="BV107" s="1"/>
      <c r="BW107" s="1"/>
      <c r="BX107" s="656"/>
      <c r="BZ107" s="657"/>
      <c r="CA107" s="1"/>
      <c r="CB107" s="1"/>
      <c r="CC107" s="1"/>
      <c r="CD107" s="1"/>
      <c r="CE107" s="1"/>
      <c r="CF107" s="1"/>
      <c r="CG107" s="1"/>
      <c r="CH107" s="1"/>
      <c r="CP107" s="305"/>
      <c r="CR107" s="116"/>
      <c r="CZ107" s="1"/>
      <c r="DA107" s="1"/>
      <c r="DB107" s="1"/>
      <c r="DC107" s="1"/>
      <c r="DD107" s="1"/>
      <c r="DE107" s="1"/>
      <c r="DF107" s="1"/>
      <c r="DG107" s="1"/>
      <c r="DH107" s="656"/>
      <c r="DJ107" s="116"/>
    </row>
    <row r="108" spans="2:114" ht="15.75" customHeight="1" x14ac:dyDescent="0.25">
      <c r="B108" s="116"/>
      <c r="I108" s="656"/>
      <c r="K108" s="116"/>
      <c r="X108" s="1"/>
      <c r="Y108" s="1"/>
      <c r="Z108" s="1"/>
      <c r="AA108" s="1"/>
      <c r="AB108" s="656"/>
      <c r="AC108" s="1"/>
      <c r="AD108" s="116"/>
      <c r="AL108" s="656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43"/>
      <c r="BL108" s="116"/>
      <c r="BU108" s="1"/>
      <c r="BV108" s="1"/>
      <c r="BW108" s="1"/>
      <c r="BX108" s="656"/>
      <c r="BZ108" s="657"/>
      <c r="CA108" s="1"/>
      <c r="CB108" s="1"/>
      <c r="CC108" s="1"/>
      <c r="CD108" s="1"/>
      <c r="CE108" s="1"/>
      <c r="CF108" s="1"/>
      <c r="CG108" s="1"/>
      <c r="CH108" s="1"/>
      <c r="CP108" s="305"/>
      <c r="CR108" s="116"/>
      <c r="CZ108" s="1"/>
      <c r="DA108" s="1"/>
      <c r="DB108" s="1"/>
      <c r="DC108" s="1"/>
      <c r="DD108" s="1"/>
      <c r="DE108" s="1"/>
      <c r="DF108" s="1"/>
      <c r="DG108" s="1"/>
      <c r="DH108" s="656"/>
      <c r="DJ108" s="116"/>
    </row>
    <row r="109" spans="2:114" ht="15.75" customHeight="1" x14ac:dyDescent="0.25">
      <c r="B109" s="116"/>
      <c r="I109" s="656"/>
      <c r="K109" s="116"/>
      <c r="X109" s="1"/>
      <c r="Y109" s="1"/>
      <c r="Z109" s="1"/>
      <c r="AA109" s="1"/>
      <c r="AB109" s="656"/>
      <c r="AC109" s="1"/>
      <c r="AD109" s="116"/>
      <c r="AL109" s="656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43"/>
      <c r="BL109" s="116"/>
      <c r="BU109" s="1"/>
      <c r="BV109" s="1"/>
      <c r="BW109" s="1"/>
      <c r="BX109" s="656"/>
      <c r="BZ109" s="657"/>
      <c r="CA109" s="1"/>
      <c r="CB109" s="1"/>
      <c r="CC109" s="1"/>
      <c r="CD109" s="1"/>
      <c r="CE109" s="1"/>
      <c r="CF109" s="1"/>
      <c r="CG109" s="1"/>
      <c r="CH109" s="1"/>
      <c r="CP109" s="305"/>
      <c r="CR109" s="116"/>
      <c r="CZ109" s="1"/>
      <c r="DA109" s="1"/>
      <c r="DB109" s="1"/>
      <c r="DC109" s="1"/>
      <c r="DD109" s="1"/>
      <c r="DE109" s="1"/>
      <c r="DF109" s="1"/>
      <c r="DG109" s="1"/>
      <c r="DH109" s="656"/>
      <c r="DJ109" s="116"/>
    </row>
    <row r="110" spans="2:114" ht="15.75" customHeight="1" x14ac:dyDescent="0.25">
      <c r="B110" s="116"/>
      <c r="I110" s="656"/>
      <c r="K110" s="116"/>
      <c r="X110" s="1"/>
      <c r="Y110" s="1"/>
      <c r="Z110" s="1"/>
      <c r="AA110" s="1"/>
      <c r="AB110" s="656"/>
      <c r="AC110" s="1"/>
      <c r="AD110" s="116"/>
      <c r="AL110" s="656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43"/>
      <c r="BL110" s="116"/>
      <c r="BU110" s="1"/>
      <c r="BV110" s="1"/>
      <c r="BW110" s="1"/>
      <c r="BX110" s="656"/>
      <c r="BZ110" s="657"/>
      <c r="CA110" s="1"/>
      <c r="CB110" s="1"/>
      <c r="CC110" s="1"/>
      <c r="CD110" s="1"/>
      <c r="CE110" s="1"/>
      <c r="CF110" s="1"/>
      <c r="CG110" s="1"/>
      <c r="CH110" s="1"/>
      <c r="CP110" s="305"/>
      <c r="CR110" s="116"/>
      <c r="CZ110" s="1"/>
      <c r="DA110" s="1"/>
      <c r="DB110" s="1"/>
      <c r="DC110" s="1"/>
      <c r="DD110" s="1"/>
      <c r="DE110" s="1"/>
      <c r="DF110" s="1"/>
      <c r="DG110" s="1"/>
      <c r="DH110" s="656"/>
      <c r="DJ110" s="116"/>
    </row>
    <row r="111" spans="2:114" ht="15.75" customHeight="1" x14ac:dyDescent="0.25">
      <c r="B111" s="116"/>
      <c r="I111" s="656"/>
      <c r="K111" s="116"/>
      <c r="X111" s="1"/>
      <c r="Y111" s="1"/>
      <c r="Z111" s="1"/>
      <c r="AA111" s="1"/>
      <c r="AB111" s="656"/>
      <c r="AC111" s="1"/>
      <c r="AD111" s="116"/>
      <c r="AL111" s="656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43"/>
      <c r="BL111" s="116"/>
      <c r="BU111" s="1"/>
      <c r="BV111" s="1"/>
      <c r="BW111" s="1"/>
      <c r="BX111" s="656"/>
      <c r="BZ111" s="657"/>
      <c r="CA111" s="1"/>
      <c r="CB111" s="1"/>
      <c r="CC111" s="1"/>
      <c r="CD111" s="1"/>
      <c r="CE111" s="1"/>
      <c r="CF111" s="1"/>
      <c r="CG111" s="1"/>
      <c r="CH111" s="1"/>
      <c r="CP111" s="305"/>
      <c r="CR111" s="116"/>
      <c r="CZ111" s="1"/>
      <c r="DA111" s="1"/>
      <c r="DB111" s="1"/>
      <c r="DC111" s="1"/>
      <c r="DD111" s="1"/>
      <c r="DE111" s="1"/>
      <c r="DF111" s="1"/>
      <c r="DG111" s="1"/>
      <c r="DH111" s="656"/>
      <c r="DJ111" s="116"/>
    </row>
    <row r="112" spans="2:114" ht="15.75" customHeight="1" x14ac:dyDescent="0.25">
      <c r="B112" s="116"/>
      <c r="I112" s="656"/>
      <c r="K112" s="116"/>
      <c r="X112" s="1"/>
      <c r="Y112" s="1"/>
      <c r="Z112" s="1"/>
      <c r="AA112" s="1"/>
      <c r="AB112" s="656"/>
      <c r="AC112" s="1"/>
      <c r="AD112" s="116"/>
      <c r="AL112" s="656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43"/>
      <c r="BL112" s="116"/>
      <c r="BU112" s="1"/>
      <c r="BV112" s="1"/>
      <c r="BW112" s="1"/>
      <c r="BX112" s="656"/>
      <c r="BZ112" s="657"/>
      <c r="CA112" s="1"/>
      <c r="CB112" s="1"/>
      <c r="CC112" s="1"/>
      <c r="CD112" s="1"/>
      <c r="CE112" s="1"/>
      <c r="CF112" s="1"/>
      <c r="CG112" s="1"/>
      <c r="CH112" s="1"/>
      <c r="CP112" s="305"/>
      <c r="CR112" s="116"/>
      <c r="CZ112" s="1"/>
      <c r="DA112" s="1"/>
      <c r="DB112" s="1"/>
      <c r="DC112" s="1"/>
      <c r="DD112" s="1"/>
      <c r="DE112" s="1"/>
      <c r="DF112" s="1"/>
      <c r="DG112" s="1"/>
      <c r="DH112" s="656"/>
      <c r="DJ112" s="116"/>
    </row>
    <row r="113" spans="2:114" ht="15.75" customHeight="1" x14ac:dyDescent="0.25">
      <c r="B113" s="116"/>
      <c r="I113" s="656"/>
      <c r="K113" s="116"/>
      <c r="X113" s="1"/>
      <c r="Y113" s="1"/>
      <c r="Z113" s="1"/>
      <c r="AA113" s="1"/>
      <c r="AB113" s="656"/>
      <c r="AC113" s="1"/>
      <c r="AD113" s="116"/>
      <c r="AL113" s="656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43"/>
      <c r="BL113" s="116"/>
      <c r="BU113" s="1"/>
      <c r="BV113" s="1"/>
      <c r="BW113" s="1"/>
      <c r="BX113" s="656"/>
      <c r="BZ113" s="657"/>
      <c r="CA113" s="1"/>
      <c r="CB113" s="1"/>
      <c r="CC113" s="1"/>
      <c r="CD113" s="1"/>
      <c r="CE113" s="1"/>
      <c r="CF113" s="1"/>
      <c r="CG113" s="1"/>
      <c r="CH113" s="1"/>
      <c r="CP113" s="305"/>
      <c r="CR113" s="116"/>
      <c r="CZ113" s="1"/>
      <c r="DA113" s="1"/>
      <c r="DB113" s="1"/>
      <c r="DC113" s="1"/>
      <c r="DD113" s="1"/>
      <c r="DE113" s="1"/>
      <c r="DF113" s="1"/>
      <c r="DG113" s="1"/>
      <c r="DH113" s="656"/>
      <c r="DJ113" s="116"/>
    </row>
    <row r="114" spans="2:114" ht="15.75" customHeight="1" x14ac:dyDescent="0.25">
      <c r="B114" s="116"/>
      <c r="I114" s="656"/>
      <c r="K114" s="116"/>
      <c r="X114" s="1"/>
      <c r="Y114" s="1"/>
      <c r="Z114" s="1"/>
      <c r="AA114" s="1"/>
      <c r="AB114" s="656"/>
      <c r="AC114" s="1"/>
      <c r="AD114" s="116"/>
      <c r="AL114" s="656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43"/>
      <c r="BL114" s="116"/>
      <c r="BU114" s="1"/>
      <c r="BV114" s="1"/>
      <c r="BW114" s="1"/>
      <c r="BX114" s="656"/>
      <c r="BZ114" s="657"/>
      <c r="CA114" s="1"/>
      <c r="CB114" s="1"/>
      <c r="CC114" s="1"/>
      <c r="CD114" s="1"/>
      <c r="CE114" s="1"/>
      <c r="CF114" s="1"/>
      <c r="CG114" s="1"/>
      <c r="CH114" s="1"/>
      <c r="CP114" s="305"/>
      <c r="CR114" s="116"/>
      <c r="CZ114" s="1"/>
      <c r="DA114" s="1"/>
      <c r="DB114" s="1"/>
      <c r="DC114" s="1"/>
      <c r="DD114" s="1"/>
      <c r="DE114" s="1"/>
      <c r="DF114" s="1"/>
      <c r="DG114" s="1"/>
      <c r="DH114" s="656"/>
      <c r="DJ114" s="116"/>
    </row>
    <row r="115" spans="2:114" ht="15.75" customHeight="1" x14ac:dyDescent="0.25">
      <c r="B115" s="116"/>
      <c r="I115" s="656"/>
      <c r="K115" s="116"/>
      <c r="X115" s="1"/>
      <c r="Y115" s="1"/>
      <c r="Z115" s="1"/>
      <c r="AA115" s="1"/>
      <c r="AB115" s="656"/>
      <c r="AC115" s="1"/>
      <c r="AD115" s="116"/>
      <c r="AL115" s="656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43"/>
      <c r="BL115" s="116"/>
      <c r="BU115" s="1"/>
      <c r="BV115" s="1"/>
      <c r="BW115" s="1"/>
      <c r="BX115" s="656"/>
      <c r="BZ115" s="657"/>
      <c r="CA115" s="1"/>
      <c r="CB115" s="1"/>
      <c r="CC115" s="1"/>
      <c r="CD115" s="1"/>
      <c r="CE115" s="1"/>
      <c r="CF115" s="1"/>
      <c r="CG115" s="1"/>
      <c r="CH115" s="1"/>
      <c r="CP115" s="305"/>
      <c r="CR115" s="116"/>
      <c r="CZ115" s="1"/>
      <c r="DA115" s="1"/>
      <c r="DB115" s="1"/>
      <c r="DC115" s="1"/>
      <c r="DD115" s="1"/>
      <c r="DE115" s="1"/>
      <c r="DF115" s="1"/>
      <c r="DG115" s="1"/>
      <c r="DH115" s="656"/>
      <c r="DJ115" s="116"/>
    </row>
    <row r="116" spans="2:114" ht="15.75" customHeight="1" x14ac:dyDescent="0.25">
      <c r="B116" s="116"/>
      <c r="I116" s="656"/>
      <c r="K116" s="116"/>
      <c r="X116" s="1"/>
      <c r="Y116" s="1"/>
      <c r="Z116" s="1"/>
      <c r="AA116" s="1"/>
      <c r="AB116" s="656"/>
      <c r="AC116" s="1"/>
      <c r="AD116" s="116"/>
      <c r="AL116" s="656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43"/>
      <c r="BL116" s="116"/>
      <c r="BU116" s="1"/>
      <c r="BV116" s="1"/>
      <c r="BW116" s="1"/>
      <c r="BX116" s="656"/>
      <c r="BZ116" s="657"/>
      <c r="CA116" s="1"/>
      <c r="CB116" s="1"/>
      <c r="CC116" s="1"/>
      <c r="CD116" s="1"/>
      <c r="CE116" s="1"/>
      <c r="CF116" s="1"/>
      <c r="CG116" s="1"/>
      <c r="CH116" s="1"/>
      <c r="CP116" s="305"/>
      <c r="CR116" s="116"/>
      <c r="CZ116" s="1"/>
      <c r="DA116" s="1"/>
      <c r="DB116" s="1"/>
      <c r="DC116" s="1"/>
      <c r="DD116" s="1"/>
      <c r="DE116" s="1"/>
      <c r="DF116" s="1"/>
      <c r="DG116" s="1"/>
      <c r="DH116" s="656"/>
      <c r="DJ116" s="116"/>
    </row>
    <row r="117" spans="2:114" ht="15.75" customHeight="1" x14ac:dyDescent="0.25">
      <c r="B117" s="116"/>
      <c r="I117" s="656"/>
      <c r="K117" s="116"/>
      <c r="X117" s="1"/>
      <c r="Y117" s="1"/>
      <c r="Z117" s="1"/>
      <c r="AA117" s="1"/>
      <c r="AB117" s="656"/>
      <c r="AC117" s="1"/>
      <c r="AD117" s="116"/>
      <c r="AL117" s="656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43"/>
      <c r="BL117" s="116"/>
      <c r="BU117" s="1"/>
      <c r="BV117" s="1"/>
      <c r="BW117" s="1"/>
      <c r="BX117" s="656"/>
      <c r="BZ117" s="657"/>
      <c r="CA117" s="1"/>
      <c r="CB117" s="1"/>
      <c r="CC117" s="1"/>
      <c r="CD117" s="1"/>
      <c r="CE117" s="1"/>
      <c r="CF117" s="1"/>
      <c r="CG117" s="1"/>
      <c r="CH117" s="1"/>
      <c r="CP117" s="305"/>
      <c r="CR117" s="116"/>
      <c r="CZ117" s="1"/>
      <c r="DA117" s="1"/>
      <c r="DB117" s="1"/>
      <c r="DC117" s="1"/>
      <c r="DD117" s="1"/>
      <c r="DE117" s="1"/>
      <c r="DF117" s="1"/>
      <c r="DG117" s="1"/>
      <c r="DH117" s="656"/>
      <c r="DJ117" s="116"/>
    </row>
    <row r="118" spans="2:114" ht="15.75" customHeight="1" x14ac:dyDescent="0.25">
      <c r="B118" s="116"/>
      <c r="I118" s="656"/>
      <c r="K118" s="116"/>
      <c r="X118" s="1"/>
      <c r="Y118" s="1"/>
      <c r="Z118" s="1"/>
      <c r="AA118" s="1"/>
      <c r="AB118" s="656"/>
      <c r="AC118" s="1"/>
      <c r="AD118" s="116"/>
      <c r="AL118" s="656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43"/>
      <c r="BL118" s="116"/>
      <c r="BU118" s="1"/>
      <c r="BV118" s="1"/>
      <c r="BW118" s="1"/>
      <c r="BX118" s="656"/>
      <c r="BZ118" s="657"/>
      <c r="CA118" s="1"/>
      <c r="CB118" s="1"/>
      <c r="CC118" s="1"/>
      <c r="CD118" s="1"/>
      <c r="CE118" s="1"/>
      <c r="CF118" s="1"/>
      <c r="CG118" s="1"/>
      <c r="CH118" s="1"/>
      <c r="CP118" s="305"/>
      <c r="CR118" s="116"/>
      <c r="CZ118" s="1"/>
      <c r="DA118" s="1"/>
      <c r="DB118" s="1"/>
      <c r="DC118" s="1"/>
      <c r="DD118" s="1"/>
      <c r="DE118" s="1"/>
      <c r="DF118" s="1"/>
      <c r="DG118" s="1"/>
      <c r="DH118" s="656"/>
      <c r="DJ118" s="116"/>
    </row>
    <row r="119" spans="2:114" ht="15.75" customHeight="1" x14ac:dyDescent="0.25">
      <c r="B119" s="116"/>
      <c r="I119" s="656"/>
      <c r="K119" s="116"/>
      <c r="X119" s="1"/>
      <c r="Y119" s="1"/>
      <c r="Z119" s="1"/>
      <c r="AA119" s="1"/>
      <c r="AB119" s="656"/>
      <c r="AC119" s="1"/>
      <c r="AD119" s="116"/>
      <c r="AL119" s="656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43"/>
      <c r="BL119" s="116"/>
      <c r="BU119" s="1"/>
      <c r="BV119" s="1"/>
      <c r="BW119" s="1"/>
      <c r="BX119" s="656"/>
      <c r="BZ119" s="657"/>
      <c r="CA119" s="1"/>
      <c r="CB119" s="1"/>
      <c r="CC119" s="1"/>
      <c r="CD119" s="1"/>
      <c r="CE119" s="1"/>
      <c r="CF119" s="1"/>
      <c r="CG119" s="1"/>
      <c r="CH119" s="1"/>
      <c r="CP119" s="305"/>
      <c r="CR119" s="116"/>
      <c r="CZ119" s="1"/>
      <c r="DA119" s="1"/>
      <c r="DB119" s="1"/>
      <c r="DC119" s="1"/>
      <c r="DD119" s="1"/>
      <c r="DE119" s="1"/>
      <c r="DF119" s="1"/>
      <c r="DG119" s="1"/>
      <c r="DH119" s="656"/>
      <c r="DJ119" s="116"/>
    </row>
    <row r="120" spans="2:114" ht="15.75" customHeight="1" x14ac:dyDescent="0.25">
      <c r="B120" s="116"/>
      <c r="I120" s="656"/>
      <c r="K120" s="116"/>
      <c r="X120" s="1"/>
      <c r="Y120" s="1"/>
      <c r="Z120" s="1"/>
      <c r="AA120" s="1"/>
      <c r="AB120" s="656"/>
      <c r="AC120" s="1"/>
      <c r="AD120" s="116"/>
      <c r="AL120" s="656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43"/>
      <c r="BL120" s="116"/>
      <c r="BU120" s="1"/>
      <c r="BV120" s="1"/>
      <c r="BW120" s="1"/>
      <c r="BX120" s="656"/>
      <c r="BZ120" s="657"/>
      <c r="CA120" s="1"/>
      <c r="CB120" s="1"/>
      <c r="CC120" s="1"/>
      <c r="CD120" s="1"/>
      <c r="CE120" s="1"/>
      <c r="CF120" s="1"/>
      <c r="CG120" s="1"/>
      <c r="CH120" s="1"/>
      <c r="CP120" s="305"/>
      <c r="CR120" s="116"/>
      <c r="CZ120" s="1"/>
      <c r="DA120" s="1"/>
      <c r="DB120" s="1"/>
      <c r="DC120" s="1"/>
      <c r="DD120" s="1"/>
      <c r="DE120" s="1"/>
      <c r="DF120" s="1"/>
      <c r="DG120" s="1"/>
      <c r="DH120" s="656"/>
      <c r="DJ120" s="116"/>
    </row>
    <row r="121" spans="2:114" ht="15.75" customHeight="1" x14ac:dyDescent="0.25">
      <c r="B121" s="116"/>
      <c r="I121" s="656"/>
      <c r="K121" s="116"/>
      <c r="X121" s="1"/>
      <c r="Y121" s="1"/>
      <c r="Z121" s="1"/>
      <c r="AA121" s="1"/>
      <c r="AB121" s="656"/>
      <c r="AC121" s="1"/>
      <c r="AD121" s="116"/>
      <c r="AL121" s="656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43"/>
      <c r="BL121" s="116"/>
      <c r="BU121" s="1"/>
      <c r="BV121" s="1"/>
      <c r="BW121" s="1"/>
      <c r="BX121" s="656"/>
      <c r="BZ121" s="657"/>
      <c r="CA121" s="1"/>
      <c r="CB121" s="1"/>
      <c r="CC121" s="1"/>
      <c r="CD121" s="1"/>
      <c r="CE121" s="1"/>
      <c r="CF121" s="1"/>
      <c r="CG121" s="1"/>
      <c r="CH121" s="1"/>
      <c r="CP121" s="305"/>
      <c r="CR121" s="116"/>
      <c r="CZ121" s="1"/>
      <c r="DA121" s="1"/>
      <c r="DB121" s="1"/>
      <c r="DC121" s="1"/>
      <c r="DD121" s="1"/>
      <c r="DE121" s="1"/>
      <c r="DF121" s="1"/>
      <c r="DG121" s="1"/>
      <c r="DH121" s="656"/>
      <c r="DJ121" s="116"/>
    </row>
    <row r="122" spans="2:114" ht="15.75" customHeight="1" x14ac:dyDescent="0.25">
      <c r="B122" s="116"/>
      <c r="I122" s="656"/>
      <c r="K122" s="116"/>
      <c r="X122" s="1"/>
      <c r="Y122" s="1"/>
      <c r="Z122" s="1"/>
      <c r="AA122" s="1"/>
      <c r="AB122" s="656"/>
      <c r="AC122" s="1"/>
      <c r="AD122" s="116"/>
      <c r="AL122" s="656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43"/>
      <c r="BL122" s="116"/>
      <c r="BU122" s="1"/>
      <c r="BV122" s="1"/>
      <c r="BW122" s="1"/>
      <c r="BX122" s="656"/>
      <c r="BZ122" s="657"/>
      <c r="CA122" s="1"/>
      <c r="CB122" s="1"/>
      <c r="CC122" s="1"/>
      <c r="CD122" s="1"/>
      <c r="CE122" s="1"/>
      <c r="CF122" s="1"/>
      <c r="CG122" s="1"/>
      <c r="CH122" s="1"/>
      <c r="CP122" s="305"/>
      <c r="CR122" s="116"/>
      <c r="CZ122" s="1"/>
      <c r="DA122" s="1"/>
      <c r="DB122" s="1"/>
      <c r="DC122" s="1"/>
      <c r="DD122" s="1"/>
      <c r="DE122" s="1"/>
      <c r="DF122" s="1"/>
      <c r="DG122" s="1"/>
      <c r="DH122" s="656"/>
      <c r="DJ122" s="116"/>
    </row>
    <row r="123" spans="2:114" ht="15.75" customHeight="1" x14ac:dyDescent="0.25">
      <c r="B123" s="116"/>
      <c r="I123" s="656"/>
      <c r="K123" s="116"/>
      <c r="X123" s="1"/>
      <c r="Y123" s="1"/>
      <c r="Z123" s="1"/>
      <c r="AA123" s="1"/>
      <c r="AB123" s="656"/>
      <c r="AC123" s="1"/>
      <c r="AD123" s="116"/>
      <c r="AL123" s="656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43"/>
      <c r="BL123" s="116"/>
      <c r="BU123" s="1"/>
      <c r="BV123" s="1"/>
      <c r="BW123" s="1"/>
      <c r="BX123" s="656"/>
      <c r="BZ123" s="657"/>
      <c r="CA123" s="1"/>
      <c r="CB123" s="1"/>
      <c r="CC123" s="1"/>
      <c r="CD123" s="1"/>
      <c r="CE123" s="1"/>
      <c r="CF123" s="1"/>
      <c r="CG123" s="1"/>
      <c r="CH123" s="1"/>
      <c r="CP123" s="305"/>
      <c r="CR123" s="116"/>
      <c r="CZ123" s="1"/>
      <c r="DA123" s="1"/>
      <c r="DB123" s="1"/>
      <c r="DC123" s="1"/>
      <c r="DD123" s="1"/>
      <c r="DE123" s="1"/>
      <c r="DF123" s="1"/>
      <c r="DG123" s="1"/>
      <c r="DH123" s="656"/>
      <c r="DJ123" s="116"/>
    </row>
    <row r="124" spans="2:114" ht="15.75" customHeight="1" x14ac:dyDescent="0.25">
      <c r="B124" s="116"/>
      <c r="I124" s="656"/>
      <c r="K124" s="116"/>
      <c r="X124" s="1"/>
      <c r="Y124" s="1"/>
      <c r="Z124" s="1"/>
      <c r="AA124" s="1"/>
      <c r="AB124" s="656"/>
      <c r="AC124" s="1"/>
      <c r="AD124" s="116"/>
      <c r="AL124" s="656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43"/>
      <c r="BL124" s="116"/>
      <c r="BU124" s="1"/>
      <c r="BV124" s="1"/>
      <c r="BW124" s="1"/>
      <c r="BX124" s="656"/>
      <c r="BZ124" s="657"/>
      <c r="CA124" s="1"/>
      <c r="CB124" s="1"/>
      <c r="CC124" s="1"/>
      <c r="CD124" s="1"/>
      <c r="CE124" s="1"/>
      <c r="CF124" s="1"/>
      <c r="CG124" s="1"/>
      <c r="CH124" s="1"/>
      <c r="CP124" s="305"/>
      <c r="CR124" s="116"/>
      <c r="CZ124" s="1"/>
      <c r="DA124" s="1"/>
      <c r="DB124" s="1"/>
      <c r="DC124" s="1"/>
      <c r="DD124" s="1"/>
      <c r="DE124" s="1"/>
      <c r="DF124" s="1"/>
      <c r="DG124" s="1"/>
      <c r="DH124" s="656"/>
      <c r="DJ124" s="116"/>
    </row>
    <row r="125" spans="2:114" ht="15.75" customHeight="1" x14ac:dyDescent="0.25">
      <c r="B125" s="116"/>
      <c r="I125" s="656"/>
      <c r="K125" s="116"/>
      <c r="X125" s="1"/>
      <c r="Y125" s="1"/>
      <c r="Z125" s="1"/>
      <c r="AA125" s="1"/>
      <c r="AB125" s="656"/>
      <c r="AC125" s="1"/>
      <c r="AD125" s="116"/>
      <c r="AL125" s="656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43"/>
      <c r="BL125" s="116"/>
      <c r="BU125" s="1"/>
      <c r="BV125" s="1"/>
      <c r="BW125" s="1"/>
      <c r="BX125" s="656"/>
      <c r="BZ125" s="657"/>
      <c r="CA125" s="1"/>
      <c r="CB125" s="1"/>
      <c r="CC125" s="1"/>
      <c r="CD125" s="1"/>
      <c r="CE125" s="1"/>
      <c r="CF125" s="1"/>
      <c r="CG125" s="1"/>
      <c r="CH125" s="1"/>
      <c r="CP125" s="305"/>
      <c r="CR125" s="116"/>
      <c r="CZ125" s="1"/>
      <c r="DA125" s="1"/>
      <c r="DB125" s="1"/>
      <c r="DC125" s="1"/>
      <c r="DD125" s="1"/>
      <c r="DE125" s="1"/>
      <c r="DF125" s="1"/>
      <c r="DG125" s="1"/>
      <c r="DH125" s="656"/>
      <c r="DJ125" s="116"/>
    </row>
    <row r="126" spans="2:114" ht="15.75" customHeight="1" x14ac:dyDescent="0.25">
      <c r="B126" s="116"/>
      <c r="I126" s="656"/>
      <c r="K126" s="116"/>
      <c r="X126" s="1"/>
      <c r="Y126" s="1"/>
      <c r="Z126" s="1"/>
      <c r="AA126" s="1"/>
      <c r="AB126" s="656"/>
      <c r="AC126" s="1"/>
      <c r="AD126" s="116"/>
      <c r="AL126" s="656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43"/>
      <c r="BL126" s="116"/>
      <c r="BU126" s="1"/>
      <c r="BV126" s="1"/>
      <c r="BW126" s="1"/>
      <c r="BX126" s="656"/>
      <c r="BZ126" s="657"/>
      <c r="CA126" s="1"/>
      <c r="CB126" s="1"/>
      <c r="CC126" s="1"/>
      <c r="CD126" s="1"/>
      <c r="CE126" s="1"/>
      <c r="CF126" s="1"/>
      <c r="CG126" s="1"/>
      <c r="CH126" s="1"/>
      <c r="CP126" s="305"/>
      <c r="CR126" s="116"/>
      <c r="CZ126" s="1"/>
      <c r="DA126" s="1"/>
      <c r="DB126" s="1"/>
      <c r="DC126" s="1"/>
      <c r="DD126" s="1"/>
      <c r="DE126" s="1"/>
      <c r="DF126" s="1"/>
      <c r="DG126" s="1"/>
      <c r="DH126" s="656"/>
      <c r="DJ126" s="116"/>
    </row>
    <row r="127" spans="2:114" ht="15.75" customHeight="1" x14ac:dyDescent="0.25">
      <c r="B127" s="116"/>
      <c r="I127" s="656"/>
      <c r="K127" s="116"/>
      <c r="X127" s="1"/>
      <c r="Y127" s="1"/>
      <c r="Z127" s="1"/>
      <c r="AA127" s="1"/>
      <c r="AB127" s="656"/>
      <c r="AC127" s="1"/>
      <c r="AD127" s="116"/>
      <c r="AL127" s="656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43"/>
      <c r="BL127" s="116"/>
      <c r="BU127" s="1"/>
      <c r="BV127" s="1"/>
      <c r="BW127" s="1"/>
      <c r="BX127" s="656"/>
      <c r="BZ127" s="657"/>
      <c r="CA127" s="1"/>
      <c r="CB127" s="1"/>
      <c r="CC127" s="1"/>
      <c r="CD127" s="1"/>
      <c r="CE127" s="1"/>
      <c r="CF127" s="1"/>
      <c r="CG127" s="1"/>
      <c r="CH127" s="1"/>
      <c r="CP127" s="305"/>
      <c r="CR127" s="116"/>
      <c r="CZ127" s="1"/>
      <c r="DA127" s="1"/>
      <c r="DB127" s="1"/>
      <c r="DC127" s="1"/>
      <c r="DD127" s="1"/>
      <c r="DE127" s="1"/>
      <c r="DF127" s="1"/>
      <c r="DG127" s="1"/>
      <c r="DH127" s="656"/>
      <c r="DJ127" s="116"/>
    </row>
    <row r="128" spans="2:114" ht="15.75" customHeight="1" x14ac:dyDescent="0.25">
      <c r="B128" s="116"/>
      <c r="I128" s="656"/>
      <c r="K128" s="116"/>
      <c r="X128" s="1"/>
      <c r="Y128" s="1"/>
      <c r="Z128" s="1"/>
      <c r="AA128" s="1"/>
      <c r="AB128" s="656"/>
      <c r="AC128" s="1"/>
      <c r="AD128" s="116"/>
      <c r="AL128" s="656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43"/>
      <c r="BL128" s="116"/>
      <c r="BU128" s="1"/>
      <c r="BV128" s="1"/>
      <c r="BW128" s="1"/>
      <c r="BX128" s="656"/>
      <c r="BZ128" s="657"/>
      <c r="CA128" s="1"/>
      <c r="CB128" s="1"/>
      <c r="CC128" s="1"/>
      <c r="CD128" s="1"/>
      <c r="CE128" s="1"/>
      <c r="CF128" s="1"/>
      <c r="CG128" s="1"/>
      <c r="CH128" s="1"/>
      <c r="CP128" s="305"/>
      <c r="CR128" s="116"/>
      <c r="CZ128" s="1"/>
      <c r="DA128" s="1"/>
      <c r="DB128" s="1"/>
      <c r="DC128" s="1"/>
      <c r="DD128" s="1"/>
      <c r="DE128" s="1"/>
      <c r="DF128" s="1"/>
      <c r="DG128" s="1"/>
      <c r="DH128" s="656"/>
      <c r="DJ128" s="116"/>
    </row>
    <row r="129" spans="2:114" ht="15.75" customHeight="1" x14ac:dyDescent="0.25">
      <c r="B129" s="116"/>
      <c r="I129" s="656"/>
      <c r="K129" s="116"/>
      <c r="X129" s="1"/>
      <c r="Y129" s="1"/>
      <c r="Z129" s="1"/>
      <c r="AA129" s="1"/>
      <c r="AB129" s="656"/>
      <c r="AC129" s="1"/>
      <c r="AD129" s="116"/>
      <c r="AL129" s="656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43"/>
      <c r="BL129" s="116"/>
      <c r="BU129" s="1"/>
      <c r="BV129" s="1"/>
      <c r="BW129" s="1"/>
      <c r="BX129" s="656"/>
      <c r="BZ129" s="657"/>
      <c r="CA129" s="1"/>
      <c r="CB129" s="1"/>
      <c r="CC129" s="1"/>
      <c r="CD129" s="1"/>
      <c r="CE129" s="1"/>
      <c r="CF129" s="1"/>
      <c r="CG129" s="1"/>
      <c r="CH129" s="1"/>
      <c r="CP129" s="305"/>
      <c r="CR129" s="116"/>
      <c r="CZ129" s="1"/>
      <c r="DA129" s="1"/>
      <c r="DB129" s="1"/>
      <c r="DC129" s="1"/>
      <c r="DD129" s="1"/>
      <c r="DE129" s="1"/>
      <c r="DF129" s="1"/>
      <c r="DG129" s="1"/>
      <c r="DH129" s="656"/>
      <c r="DJ129" s="116"/>
    </row>
    <row r="130" spans="2:114" ht="15.75" customHeight="1" x14ac:dyDescent="0.25">
      <c r="B130" s="116"/>
      <c r="I130" s="656"/>
      <c r="K130" s="116"/>
      <c r="N130" s="306"/>
      <c r="O130" s="306" t="s">
        <v>1576</v>
      </c>
      <c r="X130" s="1"/>
      <c r="Y130" s="1"/>
      <c r="Z130" s="1"/>
      <c r="AA130" s="1"/>
      <c r="AB130" s="656"/>
      <c r="AC130" s="1"/>
      <c r="AD130" s="116"/>
      <c r="AL130" s="656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43"/>
      <c r="BL130" s="116"/>
      <c r="BU130" s="1"/>
      <c r="BV130" s="1"/>
      <c r="BW130" s="1"/>
      <c r="BX130" s="656"/>
      <c r="BZ130" s="657"/>
      <c r="CA130" s="1"/>
      <c r="CB130" s="1"/>
      <c r="CC130" s="1"/>
      <c r="CD130" s="1"/>
      <c r="CE130" s="1"/>
      <c r="CF130" s="1"/>
      <c r="CG130" s="1"/>
      <c r="CH130" s="1"/>
      <c r="CP130" s="305"/>
      <c r="CR130" s="116"/>
      <c r="CZ130" s="1"/>
      <c r="DA130" s="1"/>
      <c r="DB130" s="1"/>
      <c r="DC130" s="1"/>
      <c r="DD130" s="1"/>
      <c r="DE130" s="1"/>
      <c r="DF130" s="1"/>
      <c r="DG130" s="1"/>
      <c r="DH130" s="656"/>
      <c r="DJ130" s="116"/>
    </row>
    <row r="131" spans="2:114" ht="15.75" customHeight="1" x14ac:dyDescent="0.25">
      <c r="B131" s="116"/>
      <c r="I131" s="656"/>
      <c r="K131" s="116"/>
      <c r="X131" s="1"/>
      <c r="Y131" s="1"/>
      <c r="Z131" s="1"/>
      <c r="AA131" s="1"/>
      <c r="AB131" s="656"/>
      <c r="AC131" s="1"/>
      <c r="AD131" s="116"/>
      <c r="AL131" s="656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43"/>
      <c r="BL131" s="116"/>
      <c r="BU131" s="1"/>
      <c r="BV131" s="1"/>
      <c r="BW131" s="1"/>
      <c r="BX131" s="656"/>
      <c r="BZ131" s="657"/>
      <c r="CA131" s="1"/>
      <c r="CB131" s="1"/>
      <c r="CC131" s="1"/>
      <c r="CD131" s="1"/>
      <c r="CE131" s="1"/>
      <c r="CF131" s="1"/>
      <c r="CG131" s="1"/>
      <c r="CH131" s="1"/>
      <c r="CP131" s="305"/>
      <c r="CR131" s="116"/>
      <c r="CZ131" s="1"/>
      <c r="DA131" s="1"/>
      <c r="DB131" s="1"/>
      <c r="DC131" s="1"/>
      <c r="DD131" s="1"/>
      <c r="DE131" s="1"/>
      <c r="DF131" s="1"/>
      <c r="DG131" s="1"/>
      <c r="DH131" s="656"/>
      <c r="DJ131" s="116"/>
    </row>
    <row r="132" spans="2:114" ht="15.75" customHeight="1" x14ac:dyDescent="0.25">
      <c r="B132" s="116"/>
      <c r="I132" s="656"/>
      <c r="K132" s="116"/>
      <c r="X132" s="1"/>
      <c r="Y132" s="1"/>
      <c r="Z132" s="1"/>
      <c r="AA132" s="1"/>
      <c r="AB132" s="656"/>
      <c r="AC132" s="1"/>
      <c r="AD132" s="116"/>
      <c r="AL132" s="656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43"/>
      <c r="BL132" s="116"/>
      <c r="BU132" s="1"/>
      <c r="BV132" s="1"/>
      <c r="BW132" s="1"/>
      <c r="BX132" s="656"/>
      <c r="BZ132" s="657"/>
      <c r="CA132" s="1"/>
      <c r="CB132" s="1"/>
      <c r="CC132" s="1"/>
      <c r="CD132" s="1"/>
      <c r="CE132" s="1"/>
      <c r="CF132" s="1"/>
      <c r="CG132" s="1"/>
      <c r="CH132" s="1"/>
      <c r="CP132" s="305"/>
      <c r="CR132" s="116"/>
      <c r="CZ132" s="1"/>
      <c r="DA132" s="1"/>
      <c r="DB132" s="1"/>
      <c r="DC132" s="1"/>
      <c r="DD132" s="1"/>
      <c r="DE132" s="1"/>
      <c r="DF132" s="1"/>
      <c r="DG132" s="1"/>
      <c r="DH132" s="656"/>
      <c r="DJ132" s="116"/>
    </row>
    <row r="133" spans="2:114" ht="15.75" customHeight="1" x14ac:dyDescent="0.25">
      <c r="B133" s="116"/>
      <c r="I133" s="656"/>
      <c r="K133" s="116"/>
      <c r="X133" s="1"/>
      <c r="Y133" s="1"/>
      <c r="Z133" s="1"/>
      <c r="AA133" s="1"/>
      <c r="AB133" s="656"/>
      <c r="AC133" s="1"/>
      <c r="AD133" s="116"/>
      <c r="AL133" s="656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43"/>
      <c r="BL133" s="116"/>
      <c r="BU133" s="1"/>
      <c r="BV133" s="1"/>
      <c r="BW133" s="1"/>
      <c r="BX133" s="656"/>
      <c r="BZ133" s="657"/>
      <c r="CA133" s="1"/>
      <c r="CB133" s="1"/>
      <c r="CC133" s="1"/>
      <c r="CD133" s="1"/>
      <c r="CE133" s="1"/>
      <c r="CF133" s="1"/>
      <c r="CG133" s="1"/>
      <c r="CH133" s="1"/>
      <c r="CP133" s="305"/>
      <c r="CR133" s="116"/>
      <c r="CZ133" s="1"/>
      <c r="DA133" s="1"/>
      <c r="DB133" s="1"/>
      <c r="DC133" s="1"/>
      <c r="DD133" s="1"/>
      <c r="DE133" s="1"/>
      <c r="DF133" s="1"/>
      <c r="DG133" s="1"/>
      <c r="DH133" s="656"/>
      <c r="DJ133" s="116"/>
    </row>
    <row r="134" spans="2:114" ht="15.75" customHeight="1" x14ac:dyDescent="0.25">
      <c r="B134" s="116"/>
      <c r="I134" s="656"/>
      <c r="K134" s="116"/>
      <c r="X134" s="1"/>
      <c r="Y134" s="1"/>
      <c r="Z134" s="1"/>
      <c r="AA134" s="1"/>
      <c r="AB134" s="656"/>
      <c r="AC134" s="1"/>
      <c r="AD134" s="116"/>
      <c r="AL134" s="656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43"/>
      <c r="BL134" s="116"/>
      <c r="BU134" s="1"/>
      <c r="BV134" s="1"/>
      <c r="BW134" s="1"/>
      <c r="BX134" s="656"/>
      <c r="BZ134" s="657"/>
      <c r="CA134" s="1"/>
      <c r="CB134" s="1"/>
      <c r="CC134" s="1"/>
      <c r="CD134" s="1"/>
      <c r="CE134" s="1"/>
      <c r="CF134" s="1"/>
      <c r="CG134" s="1"/>
      <c r="CH134" s="1"/>
      <c r="CP134" s="305"/>
      <c r="CR134" s="116"/>
      <c r="CZ134" s="1"/>
      <c r="DA134" s="1"/>
      <c r="DB134" s="1"/>
      <c r="DC134" s="1"/>
      <c r="DD134" s="1"/>
      <c r="DE134" s="1"/>
      <c r="DF134" s="1"/>
      <c r="DG134" s="1"/>
      <c r="DH134" s="656"/>
      <c r="DJ134" s="116"/>
    </row>
    <row r="135" spans="2:114" ht="15.75" customHeight="1" x14ac:dyDescent="0.25">
      <c r="B135" s="116"/>
      <c r="I135" s="656"/>
      <c r="K135" s="116"/>
      <c r="X135" s="1"/>
      <c r="Y135" s="1"/>
      <c r="Z135" s="1"/>
      <c r="AA135" s="1"/>
      <c r="AB135" s="656"/>
      <c r="AC135" s="1"/>
      <c r="AD135" s="116"/>
      <c r="AL135" s="656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43"/>
      <c r="BL135" s="116"/>
      <c r="BU135" s="1"/>
      <c r="BV135" s="1"/>
      <c r="BW135" s="1"/>
      <c r="BX135" s="656"/>
      <c r="BZ135" s="657"/>
      <c r="CA135" s="1"/>
      <c r="CB135" s="1"/>
      <c r="CC135" s="1"/>
      <c r="CD135" s="1"/>
      <c r="CE135" s="1"/>
      <c r="CF135" s="1"/>
      <c r="CG135" s="1"/>
      <c r="CH135" s="1"/>
      <c r="CP135" s="305"/>
      <c r="CR135" s="116"/>
      <c r="CZ135" s="1"/>
      <c r="DA135" s="1"/>
      <c r="DB135" s="1"/>
      <c r="DC135" s="1"/>
      <c r="DD135" s="1"/>
      <c r="DE135" s="1"/>
      <c r="DF135" s="1"/>
      <c r="DG135" s="1"/>
      <c r="DH135" s="656"/>
      <c r="DJ135" s="116"/>
    </row>
    <row r="136" spans="2:114" ht="15.75" customHeight="1" x14ac:dyDescent="0.25">
      <c r="B136" s="116"/>
      <c r="I136" s="656"/>
      <c r="K136" s="116"/>
      <c r="X136" s="1"/>
      <c r="Y136" s="1"/>
      <c r="Z136" s="1"/>
      <c r="AA136" s="1"/>
      <c r="AB136" s="656"/>
      <c r="AC136" s="1"/>
      <c r="AD136" s="116"/>
      <c r="AL136" s="656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43"/>
      <c r="BL136" s="116"/>
      <c r="BU136" s="1"/>
      <c r="BV136" s="1"/>
      <c r="BW136" s="1"/>
      <c r="BX136" s="656"/>
      <c r="BZ136" s="657"/>
      <c r="CA136" s="1"/>
      <c r="CB136" s="1"/>
      <c r="CC136" s="1"/>
      <c r="CD136" s="1"/>
      <c r="CE136" s="1"/>
      <c r="CF136" s="1"/>
      <c r="CG136" s="1"/>
      <c r="CH136" s="1"/>
      <c r="CP136" s="305"/>
      <c r="CR136" s="116"/>
      <c r="CZ136" s="1"/>
      <c r="DA136" s="1"/>
      <c r="DB136" s="1"/>
      <c r="DC136" s="1"/>
      <c r="DD136" s="1"/>
      <c r="DE136" s="1"/>
      <c r="DF136" s="1"/>
      <c r="DG136" s="1"/>
      <c r="DH136" s="656"/>
      <c r="DJ136" s="116"/>
    </row>
    <row r="137" spans="2:114" ht="15.75" customHeight="1" x14ac:dyDescent="0.25">
      <c r="B137" s="116"/>
      <c r="I137" s="656"/>
      <c r="K137" s="116"/>
      <c r="X137" s="1"/>
      <c r="Y137" s="1"/>
      <c r="Z137" s="1"/>
      <c r="AA137" s="1"/>
      <c r="AB137" s="656"/>
      <c r="AC137" s="1"/>
      <c r="AD137" s="116"/>
      <c r="AL137" s="656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43"/>
      <c r="BL137" s="116"/>
      <c r="BU137" s="1"/>
      <c r="BV137" s="1"/>
      <c r="BW137" s="1"/>
      <c r="BX137" s="656"/>
      <c r="BZ137" s="657"/>
      <c r="CA137" s="1"/>
      <c r="CB137" s="1"/>
      <c r="CC137" s="1"/>
      <c r="CD137" s="1"/>
      <c r="CE137" s="1"/>
      <c r="CF137" s="1"/>
      <c r="CG137" s="1"/>
      <c r="CH137" s="1"/>
      <c r="CP137" s="305"/>
      <c r="CR137" s="116"/>
      <c r="CZ137" s="1"/>
      <c r="DA137" s="1"/>
      <c r="DB137" s="1"/>
      <c r="DC137" s="1"/>
      <c r="DD137" s="1"/>
      <c r="DE137" s="1"/>
      <c r="DF137" s="1"/>
      <c r="DG137" s="1"/>
      <c r="DH137" s="656"/>
      <c r="DJ137" s="116"/>
    </row>
    <row r="138" spans="2:114" ht="15.75" customHeight="1" x14ac:dyDescent="0.25">
      <c r="B138" s="116"/>
      <c r="I138" s="656"/>
      <c r="K138" s="116"/>
      <c r="X138" s="1"/>
      <c r="Y138" s="1"/>
      <c r="Z138" s="1"/>
      <c r="AA138" s="1"/>
      <c r="AB138" s="656"/>
      <c r="AC138" s="1"/>
      <c r="AD138" s="116"/>
      <c r="AL138" s="656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43"/>
      <c r="BL138" s="116"/>
      <c r="BU138" s="1"/>
      <c r="BV138" s="1"/>
      <c r="BW138" s="1"/>
      <c r="BX138" s="656"/>
      <c r="BZ138" s="657"/>
      <c r="CA138" s="1"/>
      <c r="CB138" s="1"/>
      <c r="CC138" s="1"/>
      <c r="CD138" s="1"/>
      <c r="CE138" s="1"/>
      <c r="CF138" s="1"/>
      <c r="CG138" s="1"/>
      <c r="CH138" s="1"/>
      <c r="CP138" s="305"/>
      <c r="CR138" s="116"/>
      <c r="CZ138" s="1"/>
      <c r="DA138" s="1"/>
      <c r="DB138" s="1"/>
      <c r="DC138" s="1"/>
      <c r="DD138" s="1"/>
      <c r="DE138" s="1"/>
      <c r="DF138" s="1"/>
      <c r="DG138" s="1"/>
      <c r="DH138" s="656"/>
      <c r="DJ138" s="116"/>
    </row>
    <row r="139" spans="2:114" ht="15.75" customHeight="1" x14ac:dyDescent="0.25">
      <c r="B139" s="116"/>
      <c r="I139" s="656"/>
      <c r="K139" s="116"/>
      <c r="X139" s="1"/>
      <c r="Y139" s="1"/>
      <c r="Z139" s="1"/>
      <c r="AA139" s="1"/>
      <c r="AB139" s="656"/>
      <c r="AC139" s="1"/>
      <c r="AD139" s="116"/>
      <c r="AL139" s="656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43"/>
      <c r="BL139" s="116"/>
      <c r="BU139" s="1"/>
      <c r="BV139" s="1"/>
      <c r="BW139" s="1"/>
      <c r="BX139" s="656"/>
      <c r="BZ139" s="657"/>
      <c r="CA139" s="1"/>
      <c r="CB139" s="1"/>
      <c r="CC139" s="1"/>
      <c r="CD139" s="1"/>
      <c r="CE139" s="1"/>
      <c r="CF139" s="1"/>
      <c r="CG139" s="1"/>
      <c r="CH139" s="1"/>
      <c r="CP139" s="305"/>
      <c r="CR139" s="116"/>
      <c r="CZ139" s="1"/>
      <c r="DA139" s="1"/>
      <c r="DB139" s="1"/>
      <c r="DC139" s="1"/>
      <c r="DD139" s="1"/>
      <c r="DE139" s="1"/>
      <c r="DF139" s="1"/>
      <c r="DG139" s="1"/>
      <c r="DH139" s="656"/>
      <c r="DJ139" s="116"/>
    </row>
    <row r="140" spans="2:114" ht="15.75" customHeight="1" x14ac:dyDescent="0.25">
      <c r="B140" s="116"/>
      <c r="I140" s="656"/>
      <c r="K140" s="116"/>
      <c r="X140" s="1"/>
      <c r="Y140" s="1"/>
      <c r="Z140" s="1"/>
      <c r="AA140" s="1"/>
      <c r="AB140" s="656"/>
      <c r="AC140" s="1"/>
      <c r="AD140" s="116"/>
      <c r="AL140" s="656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43"/>
      <c r="BL140" s="116"/>
      <c r="BU140" s="1"/>
      <c r="BV140" s="1"/>
      <c r="BW140" s="1"/>
      <c r="BX140" s="656"/>
      <c r="BZ140" s="657"/>
      <c r="CA140" s="1"/>
      <c r="CB140" s="1"/>
      <c r="CC140" s="1"/>
      <c r="CD140" s="1"/>
      <c r="CE140" s="1"/>
      <c r="CF140" s="1"/>
      <c r="CG140" s="1"/>
      <c r="CH140" s="1"/>
      <c r="CP140" s="305"/>
      <c r="CR140" s="116"/>
      <c r="CZ140" s="1"/>
      <c r="DA140" s="1"/>
      <c r="DB140" s="1"/>
      <c r="DC140" s="1"/>
      <c r="DD140" s="1"/>
      <c r="DE140" s="1"/>
      <c r="DF140" s="1"/>
      <c r="DG140" s="1"/>
      <c r="DH140" s="656"/>
      <c r="DJ140" s="116"/>
    </row>
    <row r="141" spans="2:114" ht="15.75" customHeight="1" x14ac:dyDescent="0.25">
      <c r="B141" s="116"/>
      <c r="I141" s="656"/>
      <c r="K141" s="116"/>
      <c r="X141" s="1"/>
      <c r="Y141" s="1"/>
      <c r="Z141" s="1"/>
      <c r="AA141" s="1"/>
      <c r="AB141" s="656"/>
      <c r="AC141" s="1"/>
      <c r="AD141" s="116"/>
      <c r="AL141" s="656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43"/>
      <c r="BL141" s="116"/>
      <c r="BU141" s="1"/>
      <c r="BV141" s="1"/>
      <c r="BW141" s="1"/>
      <c r="BX141" s="656"/>
      <c r="BZ141" s="657"/>
      <c r="CA141" s="1"/>
      <c r="CB141" s="1"/>
      <c r="CC141" s="1"/>
      <c r="CD141" s="1"/>
      <c r="CE141" s="1"/>
      <c r="CF141" s="1"/>
      <c r="CG141" s="1"/>
      <c r="CH141" s="1"/>
      <c r="CP141" s="305"/>
      <c r="CR141" s="116"/>
      <c r="CZ141" s="1"/>
      <c r="DA141" s="1"/>
      <c r="DB141" s="1"/>
      <c r="DC141" s="1"/>
      <c r="DD141" s="1"/>
      <c r="DE141" s="1"/>
      <c r="DF141" s="1"/>
      <c r="DG141" s="1"/>
      <c r="DH141" s="656"/>
      <c r="DJ141" s="116"/>
    </row>
    <row r="142" spans="2:114" ht="15.75" customHeight="1" x14ac:dyDescent="0.25">
      <c r="B142" s="116"/>
      <c r="I142" s="656"/>
      <c r="K142" s="116"/>
      <c r="X142" s="1"/>
      <c r="Y142" s="1"/>
      <c r="Z142" s="1"/>
      <c r="AA142" s="1"/>
      <c r="AB142" s="656"/>
      <c r="AC142" s="1"/>
      <c r="AD142" s="116"/>
      <c r="AL142" s="656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43"/>
      <c r="BL142" s="116"/>
      <c r="BU142" s="1"/>
      <c r="BV142" s="1"/>
      <c r="BW142" s="1"/>
      <c r="BX142" s="656"/>
      <c r="BZ142" s="657"/>
      <c r="CA142" s="1"/>
      <c r="CB142" s="1"/>
      <c r="CC142" s="1"/>
      <c r="CD142" s="1"/>
      <c r="CE142" s="1"/>
      <c r="CF142" s="1"/>
      <c r="CG142" s="1"/>
      <c r="CH142" s="1"/>
      <c r="CP142" s="305"/>
      <c r="CR142" s="116"/>
      <c r="CZ142" s="1"/>
      <c r="DA142" s="1"/>
      <c r="DB142" s="1"/>
      <c r="DC142" s="1"/>
      <c r="DD142" s="1"/>
      <c r="DE142" s="1"/>
      <c r="DF142" s="1"/>
      <c r="DG142" s="1"/>
      <c r="DH142" s="656"/>
      <c r="DJ142" s="116"/>
    </row>
    <row r="143" spans="2:114" ht="15.75" customHeight="1" x14ac:dyDescent="0.25">
      <c r="B143" s="116"/>
      <c r="I143" s="656"/>
      <c r="K143" s="116"/>
      <c r="X143" s="1"/>
      <c r="Y143" s="1"/>
      <c r="Z143" s="1"/>
      <c r="AA143" s="1"/>
      <c r="AB143" s="656"/>
      <c r="AC143" s="1"/>
      <c r="AD143" s="116"/>
      <c r="AL143" s="656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43"/>
      <c r="BL143" s="116"/>
      <c r="BU143" s="1"/>
      <c r="BV143" s="1"/>
      <c r="BW143" s="1"/>
      <c r="BX143" s="656"/>
      <c r="BZ143" s="657"/>
      <c r="CA143" s="1"/>
      <c r="CB143" s="1"/>
      <c r="CC143" s="1"/>
      <c r="CD143" s="1"/>
      <c r="CE143" s="1"/>
      <c r="CF143" s="1"/>
      <c r="CG143" s="1"/>
      <c r="CH143" s="1"/>
      <c r="CP143" s="305"/>
      <c r="CR143" s="116"/>
      <c r="CZ143" s="1"/>
      <c r="DA143" s="1"/>
      <c r="DB143" s="1"/>
      <c r="DC143" s="1"/>
      <c r="DD143" s="1"/>
      <c r="DE143" s="1"/>
      <c r="DF143" s="1"/>
      <c r="DG143" s="1"/>
      <c r="DH143" s="656"/>
      <c r="DJ143" s="116"/>
    </row>
    <row r="144" spans="2:114" ht="15.75" customHeight="1" x14ac:dyDescent="0.25">
      <c r="B144" s="116"/>
      <c r="I144" s="656"/>
      <c r="K144" s="116"/>
      <c r="X144" s="1"/>
      <c r="Y144" s="1"/>
      <c r="Z144" s="1"/>
      <c r="AA144" s="1"/>
      <c r="AB144" s="656"/>
      <c r="AC144" s="1"/>
      <c r="AD144" s="116"/>
      <c r="AL144" s="656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43"/>
      <c r="BL144" s="116"/>
      <c r="BU144" s="1"/>
      <c r="BV144" s="1"/>
      <c r="BW144" s="1"/>
      <c r="BX144" s="656"/>
      <c r="BZ144" s="657"/>
      <c r="CA144" s="1"/>
      <c r="CB144" s="1"/>
      <c r="CC144" s="1"/>
      <c r="CD144" s="1"/>
      <c r="CE144" s="1"/>
      <c r="CF144" s="1"/>
      <c r="CG144" s="1"/>
      <c r="CH144" s="1"/>
      <c r="CP144" s="305"/>
      <c r="CR144" s="116"/>
      <c r="CZ144" s="1"/>
      <c r="DA144" s="1"/>
      <c r="DB144" s="1"/>
      <c r="DC144" s="1"/>
      <c r="DD144" s="1"/>
      <c r="DE144" s="1"/>
      <c r="DF144" s="1"/>
      <c r="DG144" s="1"/>
      <c r="DH144" s="656"/>
      <c r="DJ144" s="116"/>
    </row>
    <row r="145" spans="2:114" ht="15.75" customHeight="1" x14ac:dyDescent="0.25">
      <c r="B145" s="116"/>
      <c r="I145" s="656"/>
      <c r="K145" s="116"/>
      <c r="X145" s="1"/>
      <c r="Y145" s="1"/>
      <c r="Z145" s="1"/>
      <c r="AA145" s="1"/>
      <c r="AB145" s="656"/>
      <c r="AC145" s="1"/>
      <c r="AD145" s="116"/>
      <c r="AL145" s="656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43"/>
      <c r="BL145" s="116"/>
      <c r="BU145" s="1"/>
      <c r="BV145" s="1"/>
      <c r="BW145" s="1"/>
      <c r="BX145" s="656"/>
      <c r="BZ145" s="657"/>
      <c r="CA145" s="1"/>
      <c r="CB145" s="1"/>
      <c r="CC145" s="1"/>
      <c r="CD145" s="1"/>
      <c r="CE145" s="1"/>
      <c r="CF145" s="1"/>
      <c r="CG145" s="1"/>
      <c r="CH145" s="1"/>
      <c r="CP145" s="305"/>
      <c r="CR145" s="116"/>
      <c r="CZ145" s="1"/>
      <c r="DA145" s="1"/>
      <c r="DB145" s="1"/>
      <c r="DC145" s="1"/>
      <c r="DD145" s="1"/>
      <c r="DE145" s="1"/>
      <c r="DF145" s="1"/>
      <c r="DG145" s="1"/>
      <c r="DH145" s="656"/>
      <c r="DJ145" s="116"/>
    </row>
    <row r="146" spans="2:114" ht="15.75" customHeight="1" x14ac:dyDescent="0.25">
      <c r="B146" s="116"/>
      <c r="I146" s="656"/>
      <c r="K146" s="116"/>
      <c r="X146" s="1"/>
      <c r="Y146" s="1"/>
      <c r="Z146" s="1"/>
      <c r="AA146" s="1"/>
      <c r="AB146" s="656"/>
      <c r="AC146" s="1"/>
      <c r="AD146" s="116"/>
      <c r="AL146" s="656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43"/>
      <c r="BL146" s="116"/>
      <c r="BU146" s="1"/>
      <c r="BV146" s="1"/>
      <c r="BW146" s="1"/>
      <c r="BX146" s="656"/>
      <c r="BZ146" s="657"/>
      <c r="CA146" s="1"/>
      <c r="CB146" s="1"/>
      <c r="CC146" s="1"/>
      <c r="CD146" s="1"/>
      <c r="CE146" s="1"/>
      <c r="CF146" s="1"/>
      <c r="CG146" s="1"/>
      <c r="CH146" s="1"/>
      <c r="CP146" s="305"/>
      <c r="CR146" s="116"/>
      <c r="CZ146" s="1"/>
      <c r="DA146" s="1"/>
      <c r="DB146" s="1"/>
      <c r="DC146" s="1"/>
      <c r="DD146" s="1"/>
      <c r="DE146" s="1"/>
      <c r="DF146" s="1"/>
      <c r="DG146" s="1"/>
      <c r="DH146" s="656"/>
      <c r="DJ146" s="116"/>
    </row>
    <row r="147" spans="2:114" ht="15.75" customHeight="1" x14ac:dyDescent="0.25">
      <c r="B147" s="116"/>
      <c r="I147" s="656"/>
      <c r="K147" s="116"/>
      <c r="X147" s="1"/>
      <c r="Y147" s="1"/>
      <c r="Z147" s="1"/>
      <c r="AA147" s="1"/>
      <c r="AB147" s="656"/>
      <c r="AC147" s="1"/>
      <c r="AD147" s="116"/>
      <c r="AL147" s="656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43"/>
      <c r="BL147" s="116"/>
      <c r="BU147" s="1"/>
      <c r="BV147" s="1"/>
      <c r="BW147" s="1"/>
      <c r="BX147" s="656"/>
      <c r="BZ147" s="657"/>
      <c r="CA147" s="1"/>
      <c r="CB147" s="1"/>
      <c r="CC147" s="1"/>
      <c r="CD147" s="1"/>
      <c r="CE147" s="1"/>
      <c r="CF147" s="1"/>
      <c r="CG147" s="1"/>
      <c r="CH147" s="1"/>
      <c r="CP147" s="305"/>
      <c r="CR147" s="116"/>
      <c r="CZ147" s="1"/>
      <c r="DA147" s="1"/>
      <c r="DB147" s="1"/>
      <c r="DC147" s="1"/>
      <c r="DD147" s="1"/>
      <c r="DE147" s="1"/>
      <c r="DF147" s="1"/>
      <c r="DG147" s="1"/>
      <c r="DH147" s="656"/>
      <c r="DJ147" s="116"/>
    </row>
    <row r="148" spans="2:114" ht="15.75" customHeight="1" x14ac:dyDescent="0.25">
      <c r="B148" s="116"/>
      <c r="I148" s="656"/>
      <c r="K148" s="116"/>
      <c r="X148" s="1"/>
      <c r="Y148" s="1"/>
      <c r="Z148" s="1"/>
      <c r="AA148" s="1"/>
      <c r="AB148" s="656"/>
      <c r="AC148" s="1"/>
      <c r="AD148" s="116"/>
      <c r="AL148" s="656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43"/>
      <c r="BL148" s="116"/>
      <c r="BU148" s="1"/>
      <c r="BV148" s="1"/>
      <c r="BW148" s="1"/>
      <c r="BX148" s="656"/>
      <c r="BZ148" s="657"/>
      <c r="CA148" s="1"/>
      <c r="CB148" s="1"/>
      <c r="CC148" s="1"/>
      <c r="CD148" s="1"/>
      <c r="CE148" s="1"/>
      <c r="CF148" s="1"/>
      <c r="CG148" s="1"/>
      <c r="CH148" s="1"/>
      <c r="CP148" s="305"/>
      <c r="CR148" s="116"/>
      <c r="CZ148" s="1"/>
      <c r="DA148" s="1"/>
      <c r="DB148" s="1"/>
      <c r="DC148" s="1"/>
      <c r="DD148" s="1"/>
      <c r="DE148" s="1"/>
      <c r="DF148" s="1"/>
      <c r="DG148" s="1"/>
      <c r="DH148" s="656"/>
      <c r="DJ148" s="116"/>
    </row>
    <row r="149" spans="2:114" ht="15.75" customHeight="1" x14ac:dyDescent="0.25">
      <c r="B149" s="116"/>
      <c r="I149" s="656"/>
      <c r="K149" s="116"/>
      <c r="X149" s="1"/>
      <c r="Y149" s="1"/>
      <c r="Z149" s="1"/>
      <c r="AA149" s="1"/>
      <c r="AB149" s="656"/>
      <c r="AC149" s="1"/>
      <c r="AD149" s="116"/>
      <c r="AL149" s="656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43"/>
      <c r="BL149" s="116"/>
      <c r="BU149" s="1"/>
      <c r="BV149" s="1"/>
      <c r="BW149" s="1"/>
      <c r="BX149" s="656"/>
      <c r="BZ149" s="657"/>
      <c r="CA149" s="1"/>
      <c r="CB149" s="1"/>
      <c r="CC149" s="1"/>
      <c r="CD149" s="1"/>
      <c r="CE149" s="1"/>
      <c r="CF149" s="1"/>
      <c r="CG149" s="1"/>
      <c r="CH149" s="1"/>
      <c r="CP149" s="305"/>
      <c r="CR149" s="116"/>
      <c r="CZ149" s="1"/>
      <c r="DA149" s="1"/>
      <c r="DB149" s="1"/>
      <c r="DC149" s="1"/>
      <c r="DD149" s="1"/>
      <c r="DE149" s="1"/>
      <c r="DF149" s="1"/>
      <c r="DG149" s="1"/>
      <c r="DH149" s="656"/>
      <c r="DJ149" s="116"/>
    </row>
    <row r="150" spans="2:114" ht="15.75" customHeight="1" x14ac:dyDescent="0.25">
      <c r="B150" s="116"/>
      <c r="I150" s="656"/>
      <c r="K150" s="116"/>
      <c r="X150" s="1"/>
      <c r="Y150" s="1"/>
      <c r="Z150" s="1"/>
      <c r="AA150" s="1"/>
      <c r="AB150" s="656"/>
      <c r="AC150" s="1"/>
      <c r="AD150" s="116"/>
      <c r="AL150" s="656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43"/>
      <c r="BL150" s="116"/>
      <c r="BU150" s="1"/>
      <c r="BV150" s="1"/>
      <c r="BW150" s="1"/>
      <c r="BX150" s="656"/>
      <c r="BZ150" s="657"/>
      <c r="CA150" s="1"/>
      <c r="CB150" s="1"/>
      <c r="CC150" s="1"/>
      <c r="CD150" s="1"/>
      <c r="CE150" s="1"/>
      <c r="CF150" s="1"/>
      <c r="CG150" s="1"/>
      <c r="CH150" s="1"/>
      <c r="CP150" s="305"/>
      <c r="CR150" s="116"/>
      <c r="CZ150" s="1"/>
      <c r="DA150" s="1"/>
      <c r="DB150" s="1"/>
      <c r="DC150" s="1"/>
      <c r="DD150" s="1"/>
      <c r="DE150" s="1"/>
      <c r="DF150" s="1"/>
      <c r="DG150" s="1"/>
      <c r="DH150" s="656"/>
      <c r="DJ150" s="116"/>
    </row>
    <row r="151" spans="2:114" ht="15.75" customHeight="1" x14ac:dyDescent="0.25">
      <c r="B151" s="116"/>
      <c r="I151" s="656"/>
      <c r="K151" s="116"/>
      <c r="X151" s="1"/>
      <c r="Y151" s="1"/>
      <c r="Z151" s="1"/>
      <c r="AA151" s="1"/>
      <c r="AB151" s="656"/>
      <c r="AC151" s="1"/>
      <c r="AD151" s="116"/>
      <c r="AL151" s="656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43"/>
      <c r="BL151" s="116"/>
      <c r="BU151" s="1"/>
      <c r="BV151" s="1"/>
      <c r="BW151" s="1"/>
      <c r="BX151" s="656"/>
      <c r="BZ151" s="657"/>
      <c r="CA151" s="1"/>
      <c r="CB151" s="1"/>
      <c r="CC151" s="1"/>
      <c r="CD151" s="1"/>
      <c r="CE151" s="1"/>
      <c r="CF151" s="1"/>
      <c r="CG151" s="1"/>
      <c r="CH151" s="1"/>
      <c r="CP151" s="305"/>
      <c r="CR151" s="116"/>
      <c r="CZ151" s="1"/>
      <c r="DA151" s="1"/>
      <c r="DB151" s="1"/>
      <c r="DC151" s="1"/>
      <c r="DD151" s="1"/>
      <c r="DE151" s="1"/>
      <c r="DF151" s="1"/>
      <c r="DG151" s="1"/>
      <c r="DH151" s="656"/>
      <c r="DJ151" s="116"/>
    </row>
    <row r="152" spans="2:114" ht="15.75" customHeight="1" x14ac:dyDescent="0.25">
      <c r="B152" s="116"/>
      <c r="I152" s="656"/>
      <c r="K152" s="116"/>
      <c r="X152" s="1"/>
      <c r="Y152" s="1"/>
      <c r="Z152" s="1"/>
      <c r="AA152" s="1"/>
      <c r="AB152" s="656"/>
      <c r="AC152" s="1"/>
      <c r="AD152" s="116"/>
      <c r="AL152" s="656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43"/>
      <c r="BL152" s="116"/>
      <c r="BU152" s="1"/>
      <c r="BV152" s="1"/>
      <c r="BW152" s="1"/>
      <c r="BX152" s="656"/>
      <c r="BZ152" s="657"/>
      <c r="CA152" s="1"/>
      <c r="CB152" s="1"/>
      <c r="CC152" s="1"/>
      <c r="CD152" s="1"/>
      <c r="CE152" s="1"/>
      <c r="CF152" s="1"/>
      <c r="CG152" s="1"/>
      <c r="CH152" s="1"/>
      <c r="CP152" s="305"/>
      <c r="CR152" s="116"/>
      <c r="CZ152" s="1"/>
      <c r="DA152" s="1"/>
      <c r="DB152" s="1"/>
      <c r="DC152" s="1"/>
      <c r="DD152" s="1"/>
      <c r="DE152" s="1"/>
      <c r="DF152" s="1"/>
      <c r="DG152" s="1"/>
      <c r="DH152" s="656"/>
      <c r="DJ152" s="116"/>
    </row>
    <row r="153" spans="2:114" ht="15.75" customHeight="1" x14ac:dyDescent="0.25">
      <c r="B153" s="116"/>
      <c r="I153" s="656"/>
      <c r="K153" s="116"/>
      <c r="X153" s="1"/>
      <c r="Y153" s="1"/>
      <c r="Z153" s="1"/>
      <c r="AA153" s="1"/>
      <c r="AB153" s="656"/>
      <c r="AC153" s="1"/>
      <c r="AD153" s="116"/>
      <c r="AL153" s="656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43"/>
      <c r="BL153" s="116"/>
      <c r="BU153" s="1"/>
      <c r="BV153" s="1"/>
      <c r="BW153" s="1"/>
      <c r="BX153" s="656"/>
      <c r="BZ153" s="657"/>
      <c r="CA153" s="1"/>
      <c r="CB153" s="1"/>
      <c r="CC153" s="1"/>
      <c r="CD153" s="1"/>
      <c r="CE153" s="1"/>
      <c r="CF153" s="1"/>
      <c r="CG153" s="1"/>
      <c r="CH153" s="1"/>
      <c r="CP153" s="305"/>
      <c r="CR153" s="116"/>
      <c r="CZ153" s="1"/>
      <c r="DA153" s="1"/>
      <c r="DB153" s="1"/>
      <c r="DC153" s="1"/>
      <c r="DD153" s="1"/>
      <c r="DE153" s="1"/>
      <c r="DF153" s="1"/>
      <c r="DG153" s="1"/>
      <c r="DH153" s="656"/>
      <c r="DJ153" s="116"/>
    </row>
    <row r="154" spans="2:114" ht="15.75" customHeight="1" x14ac:dyDescent="0.25">
      <c r="B154" s="116"/>
      <c r="I154" s="656"/>
      <c r="K154" s="116"/>
      <c r="X154" s="1"/>
      <c r="Y154" s="1"/>
      <c r="Z154" s="1"/>
      <c r="AA154" s="1"/>
      <c r="AB154" s="656"/>
      <c r="AC154" s="1"/>
      <c r="AD154" s="116"/>
      <c r="AL154" s="656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43"/>
      <c r="BL154" s="116"/>
      <c r="BU154" s="1"/>
      <c r="BV154" s="1"/>
      <c r="BW154" s="1"/>
      <c r="BX154" s="656"/>
      <c r="BZ154" s="657"/>
      <c r="CA154" s="1"/>
      <c r="CB154" s="1"/>
      <c r="CC154" s="1"/>
      <c r="CD154" s="1"/>
      <c r="CE154" s="1"/>
      <c r="CF154" s="1"/>
      <c r="CG154" s="1"/>
      <c r="CH154" s="1"/>
      <c r="CP154" s="305"/>
      <c r="CR154" s="116"/>
      <c r="CZ154" s="1"/>
      <c r="DA154" s="1"/>
      <c r="DB154" s="1"/>
      <c r="DC154" s="1"/>
      <c r="DD154" s="1"/>
      <c r="DE154" s="1"/>
      <c r="DF154" s="1"/>
      <c r="DG154" s="1"/>
      <c r="DH154" s="656"/>
      <c r="DJ154" s="116"/>
    </row>
    <row r="155" spans="2:114" ht="15.75" customHeight="1" x14ac:dyDescent="0.25">
      <c r="B155" s="116"/>
      <c r="I155" s="656"/>
      <c r="K155" s="116"/>
      <c r="X155" s="1"/>
      <c r="Y155" s="1"/>
      <c r="Z155" s="1"/>
      <c r="AA155" s="1"/>
      <c r="AB155" s="656"/>
      <c r="AC155" s="1"/>
      <c r="AD155" s="116"/>
      <c r="AL155" s="656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43"/>
      <c r="BL155" s="116"/>
      <c r="BU155" s="1"/>
      <c r="BV155" s="1"/>
      <c r="BW155" s="1"/>
      <c r="BX155" s="656"/>
      <c r="BZ155" s="657"/>
      <c r="CA155" s="1"/>
      <c r="CB155" s="1"/>
      <c r="CC155" s="1"/>
      <c r="CD155" s="1"/>
      <c r="CE155" s="1"/>
      <c r="CF155" s="1"/>
      <c r="CG155" s="1"/>
      <c r="CH155" s="1"/>
      <c r="CP155" s="305"/>
      <c r="CR155" s="116"/>
      <c r="CZ155" s="1"/>
      <c r="DA155" s="1"/>
      <c r="DB155" s="1"/>
      <c r="DC155" s="1"/>
      <c r="DD155" s="1"/>
      <c r="DE155" s="1"/>
      <c r="DF155" s="1"/>
      <c r="DG155" s="1"/>
      <c r="DH155" s="656"/>
      <c r="DJ155" s="116"/>
    </row>
    <row r="156" spans="2:114" ht="15.75" customHeight="1" x14ac:dyDescent="0.25">
      <c r="B156" s="116"/>
      <c r="I156" s="656"/>
      <c r="K156" s="116"/>
      <c r="X156" s="1"/>
      <c r="Y156" s="1"/>
      <c r="Z156" s="1"/>
      <c r="AA156" s="1"/>
      <c r="AB156" s="656"/>
      <c r="AC156" s="1"/>
      <c r="AD156" s="116"/>
      <c r="AL156" s="656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43"/>
      <c r="BL156" s="116"/>
      <c r="BU156" s="1"/>
      <c r="BV156" s="1"/>
      <c r="BW156" s="1"/>
      <c r="BX156" s="656"/>
      <c r="BZ156" s="657"/>
      <c r="CA156" s="1"/>
      <c r="CB156" s="1"/>
      <c r="CC156" s="1"/>
      <c r="CD156" s="1"/>
      <c r="CE156" s="1"/>
      <c r="CF156" s="1"/>
      <c r="CG156" s="1"/>
      <c r="CH156" s="1"/>
      <c r="CP156" s="305"/>
      <c r="CR156" s="116"/>
      <c r="CZ156" s="1"/>
      <c r="DA156" s="1"/>
      <c r="DB156" s="1"/>
      <c r="DC156" s="1"/>
      <c r="DD156" s="1"/>
      <c r="DE156" s="1"/>
      <c r="DF156" s="1"/>
      <c r="DG156" s="1"/>
      <c r="DH156" s="656"/>
      <c r="DJ156" s="116"/>
    </row>
    <row r="157" spans="2:114" ht="15.75" customHeight="1" x14ac:dyDescent="0.25">
      <c r="B157" s="116"/>
      <c r="I157" s="656"/>
      <c r="K157" s="116"/>
      <c r="X157" s="1"/>
      <c r="Y157" s="1"/>
      <c r="Z157" s="1"/>
      <c r="AA157" s="1"/>
      <c r="AB157" s="656"/>
      <c r="AC157" s="1"/>
      <c r="AD157" s="116"/>
      <c r="AL157" s="656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43"/>
      <c r="BL157" s="116"/>
      <c r="BU157" s="1"/>
      <c r="BV157" s="1"/>
      <c r="BW157" s="1"/>
      <c r="BX157" s="656"/>
      <c r="BZ157" s="657"/>
      <c r="CA157" s="1"/>
      <c r="CB157" s="1"/>
      <c r="CC157" s="1"/>
      <c r="CD157" s="1"/>
      <c r="CE157" s="1"/>
      <c r="CF157" s="1"/>
      <c r="CG157" s="1"/>
      <c r="CH157" s="1"/>
      <c r="CP157" s="305"/>
      <c r="CR157" s="116"/>
      <c r="CZ157" s="1"/>
      <c r="DA157" s="1"/>
      <c r="DB157" s="1"/>
      <c r="DC157" s="1"/>
      <c r="DD157" s="1"/>
      <c r="DE157" s="1"/>
      <c r="DF157" s="1"/>
      <c r="DG157" s="1"/>
      <c r="DH157" s="656"/>
      <c r="DJ157" s="116"/>
    </row>
    <row r="158" spans="2:114" ht="15.75" customHeight="1" x14ac:dyDescent="0.25">
      <c r="B158" s="116"/>
      <c r="I158" s="656"/>
      <c r="K158" s="116"/>
      <c r="X158" s="1"/>
      <c r="Y158" s="1"/>
      <c r="Z158" s="1"/>
      <c r="AA158" s="1"/>
      <c r="AB158" s="656"/>
      <c r="AC158" s="1"/>
      <c r="AD158" s="116"/>
      <c r="AL158" s="656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43"/>
      <c r="BL158" s="116"/>
      <c r="BU158" s="1"/>
      <c r="BV158" s="1"/>
      <c r="BW158" s="1"/>
      <c r="BX158" s="656"/>
      <c r="BZ158" s="657"/>
      <c r="CA158" s="1"/>
      <c r="CB158" s="1"/>
      <c r="CC158" s="1"/>
      <c r="CD158" s="1"/>
      <c r="CE158" s="1"/>
      <c r="CF158" s="1"/>
      <c r="CG158" s="1"/>
      <c r="CH158" s="1"/>
      <c r="CP158" s="305"/>
      <c r="CR158" s="116"/>
      <c r="CZ158" s="1"/>
      <c r="DA158" s="1"/>
      <c r="DB158" s="1"/>
      <c r="DC158" s="1"/>
      <c r="DD158" s="1"/>
      <c r="DE158" s="1"/>
      <c r="DF158" s="1"/>
      <c r="DG158" s="1"/>
      <c r="DH158" s="656"/>
      <c r="DJ158" s="116"/>
    </row>
    <row r="159" spans="2:114" ht="15.75" customHeight="1" x14ac:dyDescent="0.25">
      <c r="B159" s="116"/>
      <c r="I159" s="656"/>
      <c r="K159" s="116"/>
      <c r="X159" s="1"/>
      <c r="Y159" s="1"/>
      <c r="Z159" s="1"/>
      <c r="AA159" s="1"/>
      <c r="AB159" s="656"/>
      <c r="AC159" s="1"/>
      <c r="AD159" s="116"/>
      <c r="AL159" s="656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43"/>
      <c r="BL159" s="116"/>
      <c r="BU159" s="1"/>
      <c r="BV159" s="1"/>
      <c r="BW159" s="1"/>
      <c r="BX159" s="656"/>
      <c r="BZ159" s="657"/>
      <c r="CA159" s="1"/>
      <c r="CB159" s="1"/>
      <c r="CC159" s="1"/>
      <c r="CD159" s="1"/>
      <c r="CE159" s="1"/>
      <c r="CF159" s="1"/>
      <c r="CG159" s="1"/>
      <c r="CH159" s="1"/>
      <c r="CP159" s="305"/>
      <c r="CR159" s="116"/>
      <c r="CZ159" s="1"/>
      <c r="DA159" s="1"/>
      <c r="DB159" s="1"/>
      <c r="DC159" s="1"/>
      <c r="DD159" s="1"/>
      <c r="DE159" s="1"/>
      <c r="DF159" s="1"/>
      <c r="DG159" s="1"/>
      <c r="DH159" s="656"/>
      <c r="DJ159" s="116"/>
    </row>
    <row r="160" spans="2:114" ht="15.75" customHeight="1" x14ac:dyDescent="0.25">
      <c r="B160" s="116"/>
      <c r="I160" s="656"/>
      <c r="K160" s="116"/>
      <c r="X160" s="1"/>
      <c r="Y160" s="1"/>
      <c r="Z160" s="1"/>
      <c r="AA160" s="1"/>
      <c r="AB160" s="656"/>
      <c r="AC160" s="1"/>
      <c r="AD160" s="116"/>
      <c r="AL160" s="656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43"/>
      <c r="BL160" s="116"/>
      <c r="BU160" s="1"/>
      <c r="BV160" s="1"/>
      <c r="BW160" s="1"/>
      <c r="BX160" s="656"/>
      <c r="BZ160" s="657"/>
      <c r="CA160" s="1"/>
      <c r="CB160" s="1"/>
      <c r="CC160" s="1"/>
      <c r="CD160" s="1"/>
      <c r="CE160" s="1"/>
      <c r="CF160" s="1"/>
      <c r="CG160" s="1"/>
      <c r="CH160" s="1"/>
      <c r="CP160" s="305"/>
      <c r="CR160" s="116"/>
      <c r="CZ160" s="1"/>
      <c r="DA160" s="1"/>
      <c r="DB160" s="1"/>
      <c r="DC160" s="1"/>
      <c r="DD160" s="1"/>
      <c r="DE160" s="1"/>
      <c r="DF160" s="1"/>
      <c r="DG160" s="1"/>
      <c r="DH160" s="656"/>
      <c r="DJ160" s="116"/>
    </row>
    <row r="161" spans="2:114" ht="15.75" customHeight="1" x14ac:dyDescent="0.25">
      <c r="B161" s="116"/>
      <c r="I161" s="656"/>
      <c r="K161" s="116"/>
      <c r="X161" s="1"/>
      <c r="Y161" s="1"/>
      <c r="Z161" s="1"/>
      <c r="AA161" s="1"/>
      <c r="AB161" s="656"/>
      <c r="AC161" s="1"/>
      <c r="AD161" s="116"/>
      <c r="AL161" s="656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43"/>
      <c r="BL161" s="116"/>
      <c r="BU161" s="1"/>
      <c r="BV161" s="1"/>
      <c r="BW161" s="1"/>
      <c r="BX161" s="656"/>
      <c r="BZ161" s="657"/>
      <c r="CA161" s="1"/>
      <c r="CB161" s="1"/>
      <c r="CC161" s="1"/>
      <c r="CD161" s="1"/>
      <c r="CE161" s="1"/>
      <c r="CF161" s="1"/>
      <c r="CG161" s="1"/>
      <c r="CH161" s="1"/>
      <c r="CP161" s="305"/>
      <c r="CR161" s="116"/>
      <c r="CZ161" s="1"/>
      <c r="DA161" s="1"/>
      <c r="DB161" s="1"/>
      <c r="DC161" s="1"/>
      <c r="DD161" s="1"/>
      <c r="DE161" s="1"/>
      <c r="DF161" s="1"/>
      <c r="DG161" s="1"/>
      <c r="DH161" s="656"/>
      <c r="DJ161" s="116"/>
    </row>
    <row r="162" spans="2:114" ht="15.75" customHeight="1" x14ac:dyDescent="0.25">
      <c r="B162" s="116"/>
      <c r="I162" s="656"/>
      <c r="K162" s="116"/>
      <c r="X162" s="1"/>
      <c r="Y162" s="1"/>
      <c r="Z162" s="1"/>
      <c r="AA162" s="1"/>
      <c r="AB162" s="656"/>
      <c r="AC162" s="1"/>
      <c r="AD162" s="116"/>
      <c r="AL162" s="656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43"/>
      <c r="BL162" s="116"/>
      <c r="BU162" s="1"/>
      <c r="BV162" s="1"/>
      <c r="BW162" s="1"/>
      <c r="BX162" s="656"/>
      <c r="BZ162" s="657"/>
      <c r="CA162" s="1"/>
      <c r="CB162" s="1"/>
      <c r="CC162" s="1"/>
      <c r="CD162" s="1"/>
      <c r="CE162" s="1"/>
      <c r="CF162" s="1"/>
      <c r="CG162" s="1"/>
      <c r="CH162" s="1"/>
      <c r="CP162" s="305"/>
      <c r="CR162" s="116"/>
      <c r="CZ162" s="1"/>
      <c r="DA162" s="1"/>
      <c r="DB162" s="1"/>
      <c r="DC162" s="1"/>
      <c r="DD162" s="1"/>
      <c r="DE162" s="1"/>
      <c r="DF162" s="1"/>
      <c r="DG162" s="1"/>
      <c r="DH162" s="656"/>
      <c r="DJ162" s="116"/>
    </row>
    <row r="163" spans="2:114" ht="15.75" customHeight="1" x14ac:dyDescent="0.25">
      <c r="B163" s="116"/>
      <c r="I163" s="656"/>
      <c r="K163" s="116"/>
      <c r="X163" s="1"/>
      <c r="Y163" s="1"/>
      <c r="Z163" s="1"/>
      <c r="AA163" s="1"/>
      <c r="AB163" s="656"/>
      <c r="AC163" s="1"/>
      <c r="AD163" s="116"/>
      <c r="AL163" s="656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43"/>
      <c r="BL163" s="116"/>
      <c r="BU163" s="1"/>
      <c r="BV163" s="1"/>
      <c r="BW163" s="1"/>
      <c r="BX163" s="656"/>
      <c r="BZ163" s="657"/>
      <c r="CA163" s="1"/>
      <c r="CB163" s="1"/>
      <c r="CC163" s="1"/>
      <c r="CD163" s="1"/>
      <c r="CE163" s="1"/>
      <c r="CF163" s="1"/>
      <c r="CG163" s="1"/>
      <c r="CH163" s="1"/>
      <c r="CP163" s="305"/>
      <c r="CR163" s="116"/>
      <c r="CZ163" s="1"/>
      <c r="DA163" s="1"/>
      <c r="DB163" s="1"/>
      <c r="DC163" s="1"/>
      <c r="DD163" s="1"/>
      <c r="DE163" s="1"/>
      <c r="DF163" s="1"/>
      <c r="DG163" s="1"/>
      <c r="DH163" s="656"/>
      <c r="DJ163" s="116"/>
    </row>
    <row r="164" spans="2:114" ht="15.75" customHeight="1" x14ac:dyDescent="0.25">
      <c r="B164" s="116"/>
      <c r="I164" s="656"/>
      <c r="K164" s="116"/>
      <c r="X164" s="1"/>
      <c r="Y164" s="1"/>
      <c r="Z164" s="1"/>
      <c r="AA164" s="1"/>
      <c r="AB164" s="656"/>
      <c r="AC164" s="1"/>
      <c r="AD164" s="116"/>
      <c r="AL164" s="656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43"/>
      <c r="BL164" s="116"/>
      <c r="BU164" s="1"/>
      <c r="BV164" s="1"/>
      <c r="BW164" s="1"/>
      <c r="BX164" s="656"/>
      <c r="BZ164" s="657"/>
      <c r="CA164" s="1"/>
      <c r="CB164" s="1"/>
      <c r="CC164" s="1"/>
      <c r="CD164" s="1"/>
      <c r="CE164" s="1"/>
      <c r="CF164" s="1"/>
      <c r="CG164" s="1"/>
      <c r="CH164" s="1"/>
      <c r="CP164" s="305"/>
      <c r="CR164" s="116"/>
      <c r="CZ164" s="1"/>
      <c r="DA164" s="1"/>
      <c r="DB164" s="1"/>
      <c r="DC164" s="1"/>
      <c r="DD164" s="1"/>
      <c r="DE164" s="1"/>
      <c r="DF164" s="1"/>
      <c r="DG164" s="1"/>
      <c r="DH164" s="656"/>
      <c r="DJ164" s="116"/>
    </row>
    <row r="165" spans="2:114" ht="15.75" customHeight="1" x14ac:dyDescent="0.25">
      <c r="B165" s="116"/>
      <c r="I165" s="656"/>
      <c r="K165" s="116"/>
      <c r="X165" s="1"/>
      <c r="Y165" s="1"/>
      <c r="Z165" s="1"/>
      <c r="AA165" s="1"/>
      <c r="AB165" s="656"/>
      <c r="AC165" s="1"/>
      <c r="AD165" s="116"/>
      <c r="AL165" s="656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43"/>
      <c r="BL165" s="116"/>
      <c r="BU165" s="1"/>
      <c r="BV165" s="1"/>
      <c r="BW165" s="1"/>
      <c r="BX165" s="656"/>
      <c r="BZ165" s="657"/>
      <c r="CA165" s="1"/>
      <c r="CB165" s="1"/>
      <c r="CC165" s="1"/>
      <c r="CD165" s="1"/>
      <c r="CE165" s="1"/>
      <c r="CF165" s="1"/>
      <c r="CG165" s="1"/>
      <c r="CH165" s="1"/>
      <c r="CP165" s="305"/>
      <c r="CR165" s="116"/>
      <c r="CZ165" s="1"/>
      <c r="DA165" s="1"/>
      <c r="DB165" s="1"/>
      <c r="DC165" s="1"/>
      <c r="DD165" s="1"/>
      <c r="DE165" s="1"/>
      <c r="DF165" s="1"/>
      <c r="DG165" s="1"/>
      <c r="DH165" s="656"/>
      <c r="DJ165" s="116"/>
    </row>
    <row r="166" spans="2:114" ht="15.75" customHeight="1" x14ac:dyDescent="0.25">
      <c r="B166" s="116"/>
      <c r="I166" s="656"/>
      <c r="K166" s="116"/>
      <c r="X166" s="1"/>
      <c r="Y166" s="1"/>
      <c r="Z166" s="1"/>
      <c r="AA166" s="1"/>
      <c r="AB166" s="656"/>
      <c r="AC166" s="1"/>
      <c r="AD166" s="116"/>
      <c r="AL166" s="656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43"/>
      <c r="BL166" s="116"/>
      <c r="BU166" s="1"/>
      <c r="BV166" s="1"/>
      <c r="BW166" s="1"/>
      <c r="BX166" s="656"/>
      <c r="BZ166" s="657"/>
      <c r="CA166" s="1"/>
      <c r="CB166" s="1"/>
      <c r="CC166" s="1"/>
      <c r="CD166" s="1"/>
      <c r="CE166" s="1"/>
      <c r="CF166" s="1"/>
      <c r="CG166" s="1"/>
      <c r="CH166" s="1"/>
      <c r="CP166" s="305"/>
      <c r="CR166" s="116"/>
      <c r="CZ166" s="1"/>
      <c r="DA166" s="1"/>
      <c r="DB166" s="1"/>
      <c r="DC166" s="1"/>
      <c r="DD166" s="1"/>
      <c r="DE166" s="1"/>
      <c r="DF166" s="1"/>
      <c r="DG166" s="1"/>
      <c r="DH166" s="656"/>
      <c r="DJ166" s="116"/>
    </row>
    <row r="167" spans="2:114" ht="15.75" customHeight="1" x14ac:dyDescent="0.25">
      <c r="B167" s="116"/>
      <c r="I167" s="656"/>
      <c r="K167" s="116"/>
      <c r="X167" s="1"/>
      <c r="Y167" s="1"/>
      <c r="Z167" s="1"/>
      <c r="AA167" s="1"/>
      <c r="AB167" s="656"/>
      <c r="AC167" s="1"/>
      <c r="AD167" s="116"/>
      <c r="AL167" s="656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43"/>
      <c r="BL167" s="116"/>
      <c r="BU167" s="1"/>
      <c r="BV167" s="1"/>
      <c r="BW167" s="1"/>
      <c r="BX167" s="656"/>
      <c r="BZ167" s="657"/>
      <c r="CA167" s="1"/>
      <c r="CB167" s="1"/>
      <c r="CC167" s="1"/>
      <c r="CD167" s="1"/>
      <c r="CE167" s="1"/>
      <c r="CF167" s="1"/>
      <c r="CG167" s="1"/>
      <c r="CH167" s="1"/>
      <c r="CP167" s="305"/>
      <c r="CR167" s="116"/>
      <c r="CZ167" s="1"/>
      <c r="DA167" s="1"/>
      <c r="DB167" s="1"/>
      <c r="DC167" s="1"/>
      <c r="DD167" s="1"/>
      <c r="DE167" s="1"/>
      <c r="DF167" s="1"/>
      <c r="DG167" s="1"/>
      <c r="DH167" s="656"/>
      <c r="DJ167" s="116"/>
    </row>
    <row r="168" spans="2:114" ht="15.75" customHeight="1" x14ac:dyDescent="0.25">
      <c r="B168" s="116"/>
      <c r="I168" s="656"/>
      <c r="K168" s="116"/>
      <c r="X168" s="1"/>
      <c r="Y168" s="1"/>
      <c r="Z168" s="1"/>
      <c r="AA168" s="1"/>
      <c r="AB168" s="656"/>
      <c r="AC168" s="1"/>
      <c r="AD168" s="116"/>
      <c r="AL168" s="656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43"/>
      <c r="BL168" s="116"/>
      <c r="BU168" s="1"/>
      <c r="BV168" s="1"/>
      <c r="BW168" s="1"/>
      <c r="BX168" s="656"/>
      <c r="BZ168" s="657"/>
      <c r="CA168" s="1"/>
      <c r="CB168" s="1"/>
      <c r="CC168" s="1"/>
      <c r="CD168" s="1"/>
      <c r="CE168" s="1"/>
      <c r="CF168" s="1"/>
      <c r="CG168" s="1"/>
      <c r="CH168" s="1"/>
      <c r="CP168" s="305"/>
      <c r="CR168" s="116"/>
      <c r="CZ168" s="1"/>
      <c r="DA168" s="1"/>
      <c r="DB168" s="1"/>
      <c r="DC168" s="1"/>
      <c r="DD168" s="1"/>
      <c r="DE168" s="1"/>
      <c r="DF168" s="1"/>
      <c r="DG168" s="1"/>
      <c r="DH168" s="656"/>
      <c r="DJ168" s="116"/>
    </row>
    <row r="169" spans="2:114" ht="15.75" customHeight="1" x14ac:dyDescent="0.25">
      <c r="B169" s="116"/>
      <c r="I169" s="656"/>
      <c r="K169" s="116"/>
      <c r="X169" s="1"/>
      <c r="Y169" s="1"/>
      <c r="Z169" s="1"/>
      <c r="AA169" s="1"/>
      <c r="AB169" s="656"/>
      <c r="AC169" s="1"/>
      <c r="AD169" s="116"/>
      <c r="AL169" s="656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43"/>
      <c r="BL169" s="116"/>
      <c r="BU169" s="1"/>
      <c r="BV169" s="1"/>
      <c r="BW169" s="1"/>
      <c r="BX169" s="656"/>
      <c r="BZ169" s="657"/>
      <c r="CA169" s="1"/>
      <c r="CB169" s="1"/>
      <c r="CC169" s="1"/>
      <c r="CD169" s="1"/>
      <c r="CE169" s="1"/>
      <c r="CF169" s="1"/>
      <c r="CG169" s="1"/>
      <c r="CH169" s="1"/>
      <c r="CP169" s="305"/>
      <c r="CR169" s="116"/>
      <c r="CZ169" s="1"/>
      <c r="DA169" s="1"/>
      <c r="DB169" s="1"/>
      <c r="DC169" s="1"/>
      <c r="DD169" s="1"/>
      <c r="DE169" s="1"/>
      <c r="DF169" s="1"/>
      <c r="DG169" s="1"/>
      <c r="DH169" s="656"/>
      <c r="DJ169" s="116"/>
    </row>
    <row r="170" spans="2:114" ht="15.75" customHeight="1" x14ac:dyDescent="0.25">
      <c r="B170" s="116"/>
      <c r="I170" s="656"/>
      <c r="K170" s="116"/>
      <c r="X170" s="1"/>
      <c r="Y170" s="1"/>
      <c r="Z170" s="1"/>
      <c r="AA170" s="1"/>
      <c r="AB170" s="656"/>
      <c r="AC170" s="1"/>
      <c r="AD170" s="116"/>
      <c r="AL170" s="656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43"/>
      <c r="BL170" s="116"/>
      <c r="BU170" s="1"/>
      <c r="BV170" s="1"/>
      <c r="BW170" s="1"/>
      <c r="BX170" s="656"/>
      <c r="BZ170" s="657"/>
      <c r="CA170" s="1"/>
      <c r="CB170" s="1"/>
      <c r="CC170" s="1"/>
      <c r="CD170" s="1"/>
      <c r="CE170" s="1"/>
      <c r="CF170" s="1"/>
      <c r="CG170" s="1"/>
      <c r="CH170" s="1"/>
      <c r="CP170" s="305"/>
      <c r="CR170" s="116"/>
      <c r="CZ170" s="1"/>
      <c r="DA170" s="1"/>
      <c r="DB170" s="1"/>
      <c r="DC170" s="1"/>
      <c r="DD170" s="1"/>
      <c r="DE170" s="1"/>
      <c r="DF170" s="1"/>
      <c r="DG170" s="1"/>
      <c r="DH170" s="656"/>
      <c r="DJ170" s="116"/>
    </row>
    <row r="171" spans="2:114" ht="15.75" customHeight="1" x14ac:dyDescent="0.25">
      <c r="B171" s="116"/>
      <c r="I171" s="656"/>
      <c r="K171" s="116"/>
      <c r="X171" s="1"/>
      <c r="Y171" s="1"/>
      <c r="Z171" s="1"/>
      <c r="AA171" s="1"/>
      <c r="AB171" s="656"/>
      <c r="AC171" s="1"/>
      <c r="AD171" s="116"/>
      <c r="AL171" s="656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43"/>
      <c r="BL171" s="116"/>
      <c r="BU171" s="1"/>
      <c r="BV171" s="1"/>
      <c r="BW171" s="1"/>
      <c r="BX171" s="656"/>
      <c r="BZ171" s="657"/>
      <c r="CA171" s="1"/>
      <c r="CB171" s="1"/>
      <c r="CC171" s="1"/>
      <c r="CD171" s="1"/>
      <c r="CE171" s="1"/>
      <c r="CF171" s="1"/>
      <c r="CG171" s="1"/>
      <c r="CH171" s="1"/>
      <c r="CP171" s="305"/>
      <c r="CR171" s="116"/>
      <c r="CZ171" s="1"/>
      <c r="DA171" s="1"/>
      <c r="DB171" s="1"/>
      <c r="DC171" s="1"/>
      <c r="DD171" s="1"/>
      <c r="DE171" s="1"/>
      <c r="DF171" s="1"/>
      <c r="DG171" s="1"/>
      <c r="DH171" s="656"/>
      <c r="DJ171" s="116"/>
    </row>
    <row r="172" spans="2:114" ht="15.75" customHeight="1" x14ac:dyDescent="0.25">
      <c r="B172" s="116"/>
      <c r="I172" s="656"/>
      <c r="K172" s="116"/>
      <c r="X172" s="1"/>
      <c r="Y172" s="1"/>
      <c r="Z172" s="1"/>
      <c r="AA172" s="1"/>
      <c r="AB172" s="656"/>
      <c r="AC172" s="1"/>
      <c r="AD172" s="116"/>
      <c r="AL172" s="656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43"/>
      <c r="BL172" s="116"/>
      <c r="BU172" s="1"/>
      <c r="BV172" s="1"/>
      <c r="BW172" s="1"/>
      <c r="BX172" s="656"/>
      <c r="BZ172" s="657"/>
      <c r="CA172" s="1"/>
      <c r="CB172" s="1"/>
      <c r="CC172" s="1"/>
      <c r="CD172" s="1"/>
      <c r="CE172" s="1"/>
      <c r="CF172" s="1"/>
      <c r="CG172" s="1"/>
      <c r="CH172" s="1"/>
      <c r="CP172" s="305"/>
      <c r="CR172" s="116"/>
      <c r="CZ172" s="1"/>
      <c r="DA172" s="1"/>
      <c r="DB172" s="1"/>
      <c r="DC172" s="1"/>
      <c r="DD172" s="1"/>
      <c r="DE172" s="1"/>
      <c r="DF172" s="1"/>
      <c r="DG172" s="1"/>
      <c r="DH172" s="656"/>
      <c r="DJ172" s="116"/>
    </row>
    <row r="173" spans="2:114" ht="15.75" customHeight="1" x14ac:dyDescent="0.25">
      <c r="B173" s="116"/>
      <c r="I173" s="656"/>
      <c r="K173" s="116"/>
      <c r="X173" s="1"/>
      <c r="Y173" s="1"/>
      <c r="Z173" s="1"/>
      <c r="AA173" s="1"/>
      <c r="AB173" s="656"/>
      <c r="AC173" s="1"/>
      <c r="AD173" s="116"/>
      <c r="AL173" s="656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43"/>
      <c r="BL173" s="116"/>
      <c r="BU173" s="1"/>
      <c r="BV173" s="1"/>
      <c r="BW173" s="1"/>
      <c r="BX173" s="656"/>
      <c r="BZ173" s="657"/>
      <c r="CA173" s="1"/>
      <c r="CB173" s="1"/>
      <c r="CC173" s="1"/>
      <c r="CD173" s="1"/>
      <c r="CE173" s="1"/>
      <c r="CF173" s="1"/>
      <c r="CG173" s="1"/>
      <c r="CH173" s="1"/>
      <c r="CP173" s="305"/>
      <c r="CR173" s="116"/>
      <c r="CZ173" s="1"/>
      <c r="DA173" s="1"/>
      <c r="DB173" s="1"/>
      <c r="DC173" s="1"/>
      <c r="DD173" s="1"/>
      <c r="DE173" s="1"/>
      <c r="DF173" s="1"/>
      <c r="DG173" s="1"/>
      <c r="DH173" s="656"/>
      <c r="DJ173" s="116"/>
    </row>
    <row r="174" spans="2:114" ht="15.75" customHeight="1" x14ac:dyDescent="0.25">
      <c r="B174" s="116"/>
      <c r="I174" s="656"/>
      <c r="K174" s="116"/>
      <c r="X174" s="1"/>
      <c r="Y174" s="1"/>
      <c r="Z174" s="1"/>
      <c r="AA174" s="1"/>
      <c r="AB174" s="656"/>
      <c r="AC174" s="1"/>
      <c r="AD174" s="116"/>
      <c r="AL174" s="656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43"/>
      <c r="BL174" s="116"/>
      <c r="BU174" s="1"/>
      <c r="BV174" s="1"/>
      <c r="BW174" s="1"/>
      <c r="BX174" s="656"/>
      <c r="BZ174" s="657"/>
      <c r="CA174" s="1"/>
      <c r="CB174" s="1"/>
      <c r="CC174" s="1"/>
      <c r="CD174" s="1"/>
      <c r="CE174" s="1"/>
      <c r="CF174" s="1"/>
      <c r="CG174" s="1"/>
      <c r="CH174" s="1"/>
      <c r="CP174" s="305"/>
      <c r="CR174" s="116"/>
      <c r="CZ174" s="1"/>
      <c r="DA174" s="1"/>
      <c r="DB174" s="1"/>
      <c r="DC174" s="1"/>
      <c r="DD174" s="1"/>
      <c r="DE174" s="1"/>
      <c r="DF174" s="1"/>
      <c r="DG174" s="1"/>
      <c r="DH174" s="656"/>
      <c r="DJ174" s="116"/>
    </row>
    <row r="175" spans="2:114" ht="15.75" customHeight="1" x14ac:dyDescent="0.25">
      <c r="B175" s="116"/>
      <c r="I175" s="656"/>
      <c r="K175" s="116"/>
      <c r="X175" s="1"/>
      <c r="Y175" s="1"/>
      <c r="Z175" s="1"/>
      <c r="AA175" s="1"/>
      <c r="AB175" s="656"/>
      <c r="AC175" s="1"/>
      <c r="AD175" s="116"/>
      <c r="AL175" s="656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43"/>
      <c r="BL175" s="116"/>
      <c r="BU175" s="1"/>
      <c r="BV175" s="1"/>
      <c r="BW175" s="1"/>
      <c r="BX175" s="656"/>
      <c r="BZ175" s="657"/>
      <c r="CA175" s="1"/>
      <c r="CB175" s="1"/>
      <c r="CC175" s="1"/>
      <c r="CD175" s="1"/>
      <c r="CE175" s="1"/>
      <c r="CF175" s="1"/>
      <c r="CG175" s="1"/>
      <c r="CH175" s="1"/>
      <c r="CP175" s="305"/>
      <c r="CR175" s="116"/>
      <c r="CZ175" s="1"/>
      <c r="DA175" s="1"/>
      <c r="DB175" s="1"/>
      <c r="DC175" s="1"/>
      <c r="DD175" s="1"/>
      <c r="DE175" s="1"/>
      <c r="DF175" s="1"/>
      <c r="DG175" s="1"/>
      <c r="DH175" s="656"/>
      <c r="DJ175" s="116"/>
    </row>
    <row r="176" spans="2:114" ht="15.75" customHeight="1" x14ac:dyDescent="0.25">
      <c r="B176" s="116"/>
      <c r="I176" s="656"/>
      <c r="K176" s="116"/>
      <c r="X176" s="1"/>
      <c r="Y176" s="1"/>
      <c r="Z176" s="1"/>
      <c r="AA176" s="1"/>
      <c r="AB176" s="656"/>
      <c r="AC176" s="1"/>
      <c r="AD176" s="116"/>
      <c r="AL176" s="656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43"/>
      <c r="BL176" s="116"/>
      <c r="BU176" s="1"/>
      <c r="BV176" s="1"/>
      <c r="BW176" s="1"/>
      <c r="BX176" s="656"/>
      <c r="BZ176" s="657"/>
      <c r="CA176" s="1"/>
      <c r="CB176" s="1"/>
      <c r="CC176" s="1"/>
      <c r="CD176" s="1"/>
      <c r="CE176" s="1"/>
      <c r="CF176" s="1"/>
      <c r="CG176" s="1"/>
      <c r="CH176" s="1"/>
      <c r="CP176" s="305"/>
      <c r="CR176" s="116"/>
      <c r="CZ176" s="1"/>
      <c r="DA176" s="1"/>
      <c r="DB176" s="1"/>
      <c r="DC176" s="1"/>
      <c r="DD176" s="1"/>
      <c r="DE176" s="1"/>
      <c r="DF176" s="1"/>
      <c r="DG176" s="1"/>
      <c r="DH176" s="656"/>
      <c r="DJ176" s="116"/>
    </row>
    <row r="177" spans="2:114" ht="15.75" customHeight="1" x14ac:dyDescent="0.25">
      <c r="B177" s="116"/>
      <c r="I177" s="656"/>
      <c r="K177" s="116"/>
      <c r="X177" s="1"/>
      <c r="Y177" s="1"/>
      <c r="Z177" s="1"/>
      <c r="AA177" s="1"/>
      <c r="AB177" s="656"/>
      <c r="AC177" s="1"/>
      <c r="AD177" s="116"/>
      <c r="AL177" s="656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43"/>
      <c r="BL177" s="116"/>
      <c r="BU177" s="1"/>
      <c r="BV177" s="1"/>
      <c r="BW177" s="1"/>
      <c r="BX177" s="656"/>
      <c r="BZ177" s="657"/>
      <c r="CA177" s="1"/>
      <c r="CB177" s="1"/>
      <c r="CC177" s="1"/>
      <c r="CD177" s="1"/>
      <c r="CE177" s="1"/>
      <c r="CF177" s="1"/>
      <c r="CG177" s="1"/>
      <c r="CH177" s="1"/>
      <c r="CP177" s="305"/>
      <c r="CR177" s="116"/>
      <c r="CZ177" s="1"/>
      <c r="DA177" s="1"/>
      <c r="DB177" s="1"/>
      <c r="DC177" s="1"/>
      <c r="DD177" s="1"/>
      <c r="DE177" s="1"/>
      <c r="DF177" s="1"/>
      <c r="DG177" s="1"/>
      <c r="DH177" s="656"/>
      <c r="DJ177" s="116"/>
    </row>
    <row r="178" spans="2:114" ht="15.75" customHeight="1" x14ac:dyDescent="0.25">
      <c r="B178" s="116"/>
      <c r="I178" s="656"/>
      <c r="K178" s="116"/>
      <c r="X178" s="1"/>
      <c r="Y178" s="1"/>
      <c r="Z178" s="1"/>
      <c r="AA178" s="1"/>
      <c r="AB178" s="656"/>
      <c r="AC178" s="1"/>
      <c r="AD178" s="116"/>
      <c r="AL178" s="656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43"/>
      <c r="BL178" s="116"/>
      <c r="BU178" s="1"/>
      <c r="BV178" s="1"/>
      <c r="BW178" s="1"/>
      <c r="BX178" s="656"/>
      <c r="BZ178" s="657"/>
      <c r="CA178" s="1"/>
      <c r="CB178" s="1"/>
      <c r="CC178" s="1"/>
      <c r="CD178" s="1"/>
      <c r="CE178" s="1"/>
      <c r="CF178" s="1"/>
      <c r="CG178" s="1"/>
      <c r="CH178" s="1"/>
      <c r="CP178" s="305"/>
      <c r="CR178" s="116"/>
      <c r="CZ178" s="1"/>
      <c r="DA178" s="1"/>
      <c r="DB178" s="1"/>
      <c r="DC178" s="1"/>
      <c r="DD178" s="1"/>
      <c r="DE178" s="1"/>
      <c r="DF178" s="1"/>
      <c r="DG178" s="1"/>
      <c r="DH178" s="656"/>
      <c r="DJ178" s="116"/>
    </row>
    <row r="179" spans="2:114" ht="15.75" customHeight="1" x14ac:dyDescent="0.25">
      <c r="B179" s="116"/>
      <c r="I179" s="656"/>
      <c r="K179" s="116"/>
      <c r="X179" s="1"/>
      <c r="Y179" s="1"/>
      <c r="Z179" s="1"/>
      <c r="AA179" s="1"/>
      <c r="AB179" s="656"/>
      <c r="AC179" s="1"/>
      <c r="AD179" s="116"/>
      <c r="AL179" s="656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43"/>
      <c r="BL179" s="116"/>
      <c r="BU179" s="1"/>
      <c r="BV179" s="1"/>
      <c r="BW179" s="1"/>
      <c r="BX179" s="656"/>
      <c r="BZ179" s="657"/>
      <c r="CA179" s="1"/>
      <c r="CB179" s="1"/>
      <c r="CC179" s="1"/>
      <c r="CD179" s="1"/>
      <c r="CE179" s="1"/>
      <c r="CF179" s="1"/>
      <c r="CG179" s="1"/>
      <c r="CH179" s="1"/>
      <c r="CP179" s="305"/>
      <c r="CR179" s="116"/>
      <c r="CZ179" s="1"/>
      <c r="DA179" s="1"/>
      <c r="DB179" s="1"/>
      <c r="DC179" s="1"/>
      <c r="DD179" s="1"/>
      <c r="DE179" s="1"/>
      <c r="DF179" s="1"/>
      <c r="DG179" s="1"/>
      <c r="DH179" s="656"/>
      <c r="DJ179" s="116"/>
    </row>
    <row r="180" spans="2:114" ht="15.75" customHeight="1" x14ac:dyDescent="0.25">
      <c r="B180" s="116"/>
      <c r="I180" s="656"/>
      <c r="K180" s="116"/>
      <c r="X180" s="1"/>
      <c r="Y180" s="1"/>
      <c r="Z180" s="1"/>
      <c r="AA180" s="1"/>
      <c r="AB180" s="656"/>
      <c r="AC180" s="1"/>
      <c r="AD180" s="116"/>
      <c r="AL180" s="656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43"/>
      <c r="BL180" s="116"/>
      <c r="BU180" s="1"/>
      <c r="BV180" s="1"/>
      <c r="BW180" s="1"/>
      <c r="BX180" s="656"/>
      <c r="BZ180" s="657"/>
      <c r="CA180" s="1"/>
      <c r="CB180" s="1"/>
      <c r="CC180" s="1"/>
      <c r="CD180" s="1"/>
      <c r="CE180" s="1"/>
      <c r="CF180" s="1"/>
      <c r="CG180" s="1"/>
      <c r="CH180" s="1"/>
      <c r="CP180" s="305"/>
      <c r="CR180" s="116"/>
      <c r="CZ180" s="1"/>
      <c r="DA180" s="1"/>
      <c r="DB180" s="1"/>
      <c r="DC180" s="1"/>
      <c r="DD180" s="1"/>
      <c r="DE180" s="1"/>
      <c r="DF180" s="1"/>
      <c r="DG180" s="1"/>
      <c r="DH180" s="656"/>
      <c r="DJ180" s="116"/>
    </row>
    <row r="181" spans="2:114" ht="15.75" customHeight="1" x14ac:dyDescent="0.25">
      <c r="B181" s="116"/>
      <c r="I181" s="656"/>
      <c r="K181" s="116"/>
      <c r="X181" s="1"/>
      <c r="Y181" s="1"/>
      <c r="Z181" s="1"/>
      <c r="AA181" s="1"/>
      <c r="AB181" s="656"/>
      <c r="AC181" s="1"/>
      <c r="AD181" s="116"/>
      <c r="AL181" s="656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43"/>
      <c r="BL181" s="116"/>
      <c r="BU181" s="1"/>
      <c r="BV181" s="1"/>
      <c r="BW181" s="1"/>
      <c r="BX181" s="656"/>
      <c r="BZ181" s="657"/>
      <c r="CA181" s="1"/>
      <c r="CB181" s="1"/>
      <c r="CC181" s="1"/>
      <c r="CD181" s="1"/>
      <c r="CE181" s="1"/>
      <c r="CF181" s="1"/>
      <c r="CG181" s="1"/>
      <c r="CH181" s="1"/>
      <c r="CP181" s="305"/>
      <c r="CR181" s="116"/>
      <c r="CZ181" s="1"/>
      <c r="DA181" s="1"/>
      <c r="DB181" s="1"/>
      <c r="DC181" s="1"/>
      <c r="DD181" s="1"/>
      <c r="DE181" s="1"/>
      <c r="DF181" s="1"/>
      <c r="DG181" s="1"/>
      <c r="DH181" s="656"/>
      <c r="DJ181" s="116"/>
    </row>
    <row r="182" spans="2:114" ht="15.75" customHeight="1" x14ac:dyDescent="0.25">
      <c r="B182" s="116"/>
      <c r="I182" s="656"/>
      <c r="K182" s="116"/>
      <c r="X182" s="1"/>
      <c r="Y182" s="1"/>
      <c r="Z182" s="1"/>
      <c r="AA182" s="1"/>
      <c r="AB182" s="656"/>
      <c r="AC182" s="1"/>
      <c r="AD182" s="116"/>
      <c r="AL182" s="656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43"/>
      <c r="BL182" s="116"/>
      <c r="BU182" s="1"/>
      <c r="BV182" s="1"/>
      <c r="BW182" s="1"/>
      <c r="BX182" s="656"/>
      <c r="BZ182" s="657"/>
      <c r="CA182" s="1"/>
      <c r="CB182" s="1"/>
      <c r="CC182" s="1"/>
      <c r="CD182" s="1"/>
      <c r="CE182" s="1"/>
      <c r="CF182" s="1"/>
      <c r="CG182" s="1"/>
      <c r="CH182" s="1"/>
      <c r="CP182" s="305"/>
      <c r="CR182" s="116"/>
      <c r="CZ182" s="1"/>
      <c r="DA182" s="1"/>
      <c r="DB182" s="1"/>
      <c r="DC182" s="1"/>
      <c r="DD182" s="1"/>
      <c r="DE182" s="1"/>
      <c r="DF182" s="1"/>
      <c r="DG182" s="1"/>
      <c r="DH182" s="656"/>
      <c r="DJ182" s="116"/>
    </row>
    <row r="183" spans="2:114" ht="15.75" customHeight="1" x14ac:dyDescent="0.25">
      <c r="B183" s="116"/>
      <c r="I183" s="656"/>
      <c r="K183" s="116"/>
      <c r="X183" s="1"/>
      <c r="Y183" s="1"/>
      <c r="Z183" s="1"/>
      <c r="AA183" s="1"/>
      <c r="AB183" s="656"/>
      <c r="AC183" s="1"/>
      <c r="AD183" s="116"/>
      <c r="AL183" s="656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43"/>
      <c r="BL183" s="116"/>
      <c r="BU183" s="1"/>
      <c r="BV183" s="1"/>
      <c r="BW183" s="1"/>
      <c r="BX183" s="656"/>
      <c r="BZ183" s="657"/>
      <c r="CA183" s="1"/>
      <c r="CB183" s="1"/>
      <c r="CC183" s="1"/>
      <c r="CD183" s="1"/>
      <c r="CE183" s="1"/>
      <c r="CF183" s="1"/>
      <c r="CG183" s="1"/>
      <c r="CH183" s="1"/>
      <c r="CP183" s="305"/>
      <c r="CR183" s="116"/>
      <c r="CZ183" s="1"/>
      <c r="DA183" s="1"/>
      <c r="DB183" s="1"/>
      <c r="DC183" s="1"/>
      <c r="DD183" s="1"/>
      <c r="DE183" s="1"/>
      <c r="DF183" s="1"/>
      <c r="DG183" s="1"/>
      <c r="DH183" s="656"/>
      <c r="DJ183" s="116"/>
    </row>
    <row r="184" spans="2:114" ht="15.75" customHeight="1" x14ac:dyDescent="0.25">
      <c r="B184" s="116"/>
      <c r="I184" s="656"/>
      <c r="K184" s="116"/>
      <c r="X184" s="1"/>
      <c r="Y184" s="1"/>
      <c r="Z184" s="1"/>
      <c r="AA184" s="1"/>
      <c r="AB184" s="656"/>
      <c r="AC184" s="1"/>
      <c r="AD184" s="116"/>
      <c r="AL184" s="656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43"/>
      <c r="BL184" s="116"/>
      <c r="BU184" s="1"/>
      <c r="BV184" s="1"/>
      <c r="BW184" s="1"/>
      <c r="BX184" s="656"/>
      <c r="BZ184" s="657"/>
      <c r="CA184" s="1"/>
      <c r="CB184" s="1"/>
      <c r="CC184" s="1"/>
      <c r="CD184" s="1"/>
      <c r="CE184" s="1"/>
      <c r="CF184" s="1"/>
      <c r="CG184" s="1"/>
      <c r="CH184" s="1"/>
      <c r="CP184" s="305"/>
      <c r="CR184" s="116"/>
      <c r="CZ184" s="1"/>
      <c r="DA184" s="1"/>
      <c r="DB184" s="1"/>
      <c r="DC184" s="1"/>
      <c r="DD184" s="1"/>
      <c r="DE184" s="1"/>
      <c r="DF184" s="1"/>
      <c r="DG184" s="1"/>
      <c r="DH184" s="656"/>
      <c r="DJ184" s="116"/>
    </row>
    <row r="185" spans="2:114" ht="15.75" customHeight="1" x14ac:dyDescent="0.25">
      <c r="B185" s="116"/>
      <c r="I185" s="656"/>
      <c r="K185" s="116"/>
      <c r="X185" s="1"/>
      <c r="Y185" s="1"/>
      <c r="Z185" s="1"/>
      <c r="AA185" s="1"/>
      <c r="AB185" s="656"/>
      <c r="AC185" s="1"/>
      <c r="AD185" s="116"/>
      <c r="AL185" s="656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43"/>
      <c r="BL185" s="116"/>
      <c r="BU185" s="1"/>
      <c r="BV185" s="1"/>
      <c r="BW185" s="1"/>
      <c r="BX185" s="656"/>
      <c r="BZ185" s="657"/>
      <c r="CA185" s="1"/>
      <c r="CB185" s="1"/>
      <c r="CC185" s="1"/>
      <c r="CD185" s="1"/>
      <c r="CE185" s="1"/>
      <c r="CF185" s="1"/>
      <c r="CG185" s="1"/>
      <c r="CH185" s="1"/>
      <c r="CP185" s="305"/>
      <c r="CR185" s="116"/>
      <c r="CZ185" s="1"/>
      <c r="DA185" s="1"/>
      <c r="DB185" s="1"/>
      <c r="DC185" s="1"/>
      <c r="DD185" s="1"/>
      <c r="DE185" s="1"/>
      <c r="DF185" s="1"/>
      <c r="DG185" s="1"/>
      <c r="DH185" s="656"/>
      <c r="DJ185" s="116"/>
    </row>
    <row r="186" spans="2:114" ht="15.75" customHeight="1" x14ac:dyDescent="0.25">
      <c r="B186" s="116"/>
      <c r="I186" s="656"/>
      <c r="K186" s="116"/>
      <c r="X186" s="1"/>
      <c r="Y186" s="1"/>
      <c r="Z186" s="1"/>
      <c r="AA186" s="1"/>
      <c r="AB186" s="656"/>
      <c r="AC186" s="1"/>
      <c r="AD186" s="116"/>
      <c r="AL186" s="656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43"/>
      <c r="BL186" s="116"/>
      <c r="BU186" s="1"/>
      <c r="BV186" s="1"/>
      <c r="BW186" s="1"/>
      <c r="BX186" s="656"/>
      <c r="BZ186" s="657"/>
      <c r="CA186" s="1"/>
      <c r="CB186" s="1"/>
      <c r="CC186" s="1"/>
      <c r="CD186" s="1"/>
      <c r="CE186" s="1"/>
      <c r="CF186" s="1"/>
      <c r="CG186" s="1"/>
      <c r="CH186" s="1"/>
      <c r="CP186" s="305"/>
      <c r="CR186" s="116"/>
      <c r="CZ186" s="1"/>
      <c r="DA186" s="1"/>
      <c r="DB186" s="1"/>
      <c r="DC186" s="1"/>
      <c r="DD186" s="1"/>
      <c r="DE186" s="1"/>
      <c r="DF186" s="1"/>
      <c r="DG186" s="1"/>
      <c r="DH186" s="656"/>
      <c r="DJ186" s="116"/>
    </row>
    <row r="187" spans="2:114" ht="15.75" customHeight="1" x14ac:dyDescent="0.25">
      <c r="B187" s="116"/>
      <c r="I187" s="656"/>
      <c r="K187" s="116"/>
      <c r="X187" s="1"/>
      <c r="Y187" s="1"/>
      <c r="Z187" s="1"/>
      <c r="AA187" s="1"/>
      <c r="AB187" s="656"/>
      <c r="AC187" s="1"/>
      <c r="AD187" s="116"/>
      <c r="AL187" s="656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43"/>
      <c r="BL187" s="116"/>
      <c r="BU187" s="1"/>
      <c r="BV187" s="1"/>
      <c r="BW187" s="1"/>
      <c r="BX187" s="656"/>
      <c r="BZ187" s="657"/>
      <c r="CA187" s="1"/>
      <c r="CB187" s="1"/>
      <c r="CC187" s="1"/>
      <c r="CD187" s="1"/>
      <c r="CE187" s="1"/>
      <c r="CF187" s="1"/>
      <c r="CG187" s="1"/>
      <c r="CH187" s="1"/>
      <c r="CP187" s="305"/>
      <c r="CR187" s="116"/>
      <c r="CZ187" s="1"/>
      <c r="DA187" s="1"/>
      <c r="DB187" s="1"/>
      <c r="DC187" s="1"/>
      <c r="DD187" s="1"/>
      <c r="DE187" s="1"/>
      <c r="DF187" s="1"/>
      <c r="DG187" s="1"/>
      <c r="DH187" s="656"/>
      <c r="DJ187" s="116"/>
    </row>
    <row r="188" spans="2:114" ht="15.75" customHeight="1" x14ac:dyDescent="0.25">
      <c r="B188" s="116"/>
      <c r="I188" s="656"/>
      <c r="K188" s="116"/>
      <c r="X188" s="1"/>
      <c r="Y188" s="1"/>
      <c r="Z188" s="1"/>
      <c r="AA188" s="1"/>
      <c r="AB188" s="656"/>
      <c r="AC188" s="1"/>
      <c r="AD188" s="116"/>
      <c r="AL188" s="656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43"/>
      <c r="BL188" s="116"/>
      <c r="BU188" s="1"/>
      <c r="BV188" s="1"/>
      <c r="BW188" s="1"/>
      <c r="BX188" s="656"/>
      <c r="BZ188" s="657"/>
      <c r="CA188" s="1"/>
      <c r="CB188" s="1"/>
      <c r="CC188" s="1"/>
      <c r="CD188" s="1"/>
      <c r="CE188" s="1"/>
      <c r="CF188" s="1"/>
      <c r="CG188" s="1"/>
      <c r="CH188" s="1"/>
      <c r="CP188" s="305"/>
      <c r="CR188" s="116"/>
      <c r="CZ188" s="1"/>
      <c r="DA188" s="1"/>
      <c r="DB188" s="1"/>
      <c r="DC188" s="1"/>
      <c r="DD188" s="1"/>
      <c r="DE188" s="1"/>
      <c r="DF188" s="1"/>
      <c r="DG188" s="1"/>
      <c r="DH188" s="656"/>
      <c r="DJ188" s="116"/>
    </row>
    <row r="189" spans="2:114" ht="15.75" customHeight="1" x14ac:dyDescent="0.25">
      <c r="B189" s="116"/>
      <c r="I189" s="656"/>
      <c r="K189" s="116"/>
      <c r="X189" s="1"/>
      <c r="Y189" s="1"/>
      <c r="Z189" s="1"/>
      <c r="AA189" s="1"/>
      <c r="AB189" s="656"/>
      <c r="AC189" s="1"/>
      <c r="AD189" s="116"/>
      <c r="AL189" s="656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43"/>
      <c r="BL189" s="116"/>
      <c r="BU189" s="1"/>
      <c r="BV189" s="1"/>
      <c r="BW189" s="1"/>
      <c r="BX189" s="656"/>
      <c r="BZ189" s="657"/>
      <c r="CA189" s="1"/>
      <c r="CB189" s="1"/>
      <c r="CC189" s="1"/>
      <c r="CD189" s="1"/>
      <c r="CE189" s="1"/>
      <c r="CF189" s="1"/>
      <c r="CG189" s="1"/>
      <c r="CH189" s="1"/>
      <c r="CP189" s="305"/>
      <c r="CR189" s="116"/>
      <c r="CZ189" s="1"/>
      <c r="DA189" s="1"/>
      <c r="DB189" s="1"/>
      <c r="DC189" s="1"/>
      <c r="DD189" s="1"/>
      <c r="DE189" s="1"/>
      <c r="DF189" s="1"/>
      <c r="DG189" s="1"/>
      <c r="DH189" s="656"/>
      <c r="DJ189" s="116"/>
    </row>
    <row r="190" spans="2:114" ht="15.75" customHeight="1" x14ac:dyDescent="0.25">
      <c r="B190" s="116"/>
      <c r="I190" s="656"/>
      <c r="K190" s="116"/>
      <c r="X190" s="1"/>
      <c r="Y190" s="1"/>
      <c r="Z190" s="1"/>
      <c r="AA190" s="1"/>
      <c r="AB190" s="656"/>
      <c r="AC190" s="1"/>
      <c r="AD190" s="116"/>
      <c r="AL190" s="656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43"/>
      <c r="BL190" s="116"/>
      <c r="BU190" s="1"/>
      <c r="BV190" s="1"/>
      <c r="BW190" s="1"/>
      <c r="BX190" s="656"/>
      <c r="BZ190" s="657"/>
      <c r="CA190" s="1"/>
      <c r="CB190" s="1"/>
      <c r="CC190" s="1"/>
      <c r="CD190" s="1"/>
      <c r="CE190" s="1"/>
      <c r="CF190" s="1"/>
      <c r="CG190" s="1"/>
      <c r="CH190" s="1"/>
      <c r="CP190" s="305"/>
      <c r="CR190" s="116"/>
      <c r="CZ190" s="1"/>
      <c r="DA190" s="1"/>
      <c r="DB190" s="1"/>
      <c r="DC190" s="1"/>
      <c r="DD190" s="1"/>
      <c r="DE190" s="1"/>
      <c r="DF190" s="1"/>
      <c r="DG190" s="1"/>
      <c r="DH190" s="656"/>
      <c r="DJ190" s="116"/>
    </row>
    <row r="191" spans="2:114" ht="15.75" customHeight="1" x14ac:dyDescent="0.25">
      <c r="B191" s="116"/>
      <c r="I191" s="656"/>
      <c r="K191" s="116"/>
      <c r="X191" s="1"/>
      <c r="Y191" s="1"/>
      <c r="Z191" s="1"/>
      <c r="AA191" s="1"/>
      <c r="AB191" s="656"/>
      <c r="AC191" s="1"/>
      <c r="AD191" s="116"/>
      <c r="AL191" s="656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43"/>
      <c r="BL191" s="116"/>
      <c r="BU191" s="1"/>
      <c r="BV191" s="1"/>
      <c r="BW191" s="1"/>
      <c r="BX191" s="656"/>
      <c r="BZ191" s="657"/>
      <c r="CA191" s="1"/>
      <c r="CB191" s="1"/>
      <c r="CC191" s="1"/>
      <c r="CD191" s="1"/>
      <c r="CE191" s="1"/>
      <c r="CF191" s="1"/>
      <c r="CG191" s="1"/>
      <c r="CH191" s="1"/>
      <c r="CP191" s="305"/>
      <c r="CR191" s="116"/>
      <c r="CZ191" s="1"/>
      <c r="DA191" s="1"/>
      <c r="DB191" s="1"/>
      <c r="DC191" s="1"/>
      <c r="DD191" s="1"/>
      <c r="DE191" s="1"/>
      <c r="DF191" s="1"/>
      <c r="DG191" s="1"/>
      <c r="DH191" s="656"/>
      <c r="DJ191" s="116"/>
    </row>
    <row r="192" spans="2:114" ht="15.75" customHeight="1" x14ac:dyDescent="0.25">
      <c r="B192" s="116"/>
      <c r="I192" s="656"/>
      <c r="K192" s="116"/>
      <c r="X192" s="1"/>
      <c r="Y192" s="1"/>
      <c r="Z192" s="1"/>
      <c r="AA192" s="1"/>
      <c r="AB192" s="656"/>
      <c r="AC192" s="1"/>
      <c r="AD192" s="116"/>
      <c r="AL192" s="656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43"/>
      <c r="BL192" s="116"/>
      <c r="BU192" s="1"/>
      <c r="BV192" s="1"/>
      <c r="BW192" s="1"/>
      <c r="BX192" s="656"/>
      <c r="BZ192" s="657"/>
      <c r="CA192" s="1"/>
      <c r="CB192" s="1"/>
      <c r="CC192" s="1"/>
      <c r="CD192" s="1"/>
      <c r="CE192" s="1"/>
      <c r="CF192" s="1"/>
      <c r="CG192" s="1"/>
      <c r="CH192" s="1"/>
      <c r="CP192" s="305"/>
      <c r="CR192" s="116"/>
      <c r="CZ192" s="1"/>
      <c r="DA192" s="1"/>
      <c r="DB192" s="1"/>
      <c r="DC192" s="1"/>
      <c r="DD192" s="1"/>
      <c r="DE192" s="1"/>
      <c r="DF192" s="1"/>
      <c r="DG192" s="1"/>
      <c r="DH192" s="656"/>
      <c r="DJ192" s="116"/>
    </row>
    <row r="193" spans="2:114" ht="15.75" customHeight="1" x14ac:dyDescent="0.25">
      <c r="B193" s="116"/>
      <c r="I193" s="656"/>
      <c r="K193" s="116"/>
      <c r="X193" s="1"/>
      <c r="Y193" s="1"/>
      <c r="Z193" s="1"/>
      <c r="AA193" s="1"/>
      <c r="AB193" s="656"/>
      <c r="AC193" s="1"/>
      <c r="AD193" s="116"/>
      <c r="AL193" s="656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43"/>
      <c r="BL193" s="116"/>
      <c r="BU193" s="1"/>
      <c r="BV193" s="1"/>
      <c r="BW193" s="1"/>
      <c r="BX193" s="656"/>
      <c r="BZ193" s="657"/>
      <c r="CA193" s="1"/>
      <c r="CB193" s="1"/>
      <c r="CC193" s="1"/>
      <c r="CD193" s="1"/>
      <c r="CE193" s="1"/>
      <c r="CF193" s="1"/>
      <c r="CG193" s="1"/>
      <c r="CH193" s="1"/>
      <c r="CP193" s="305"/>
      <c r="CR193" s="116"/>
      <c r="CZ193" s="1"/>
      <c r="DA193" s="1"/>
      <c r="DB193" s="1"/>
      <c r="DC193" s="1"/>
      <c r="DD193" s="1"/>
      <c r="DE193" s="1"/>
      <c r="DF193" s="1"/>
      <c r="DG193" s="1"/>
      <c r="DH193" s="656"/>
      <c r="DJ193" s="116"/>
    </row>
    <row r="194" spans="2:114" ht="15.75" customHeight="1" x14ac:dyDescent="0.25">
      <c r="B194" s="116"/>
      <c r="I194" s="656"/>
      <c r="K194" s="116"/>
      <c r="X194" s="1"/>
      <c r="Y194" s="1"/>
      <c r="Z194" s="1"/>
      <c r="AA194" s="1"/>
      <c r="AB194" s="656"/>
      <c r="AC194" s="1"/>
      <c r="AD194" s="116"/>
      <c r="AL194" s="656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43"/>
      <c r="BL194" s="116"/>
      <c r="BU194" s="1"/>
      <c r="BV194" s="1"/>
      <c r="BW194" s="1"/>
      <c r="BX194" s="656"/>
      <c r="BZ194" s="657"/>
      <c r="CA194" s="1"/>
      <c r="CB194" s="1"/>
      <c r="CC194" s="1"/>
      <c r="CD194" s="1"/>
      <c r="CE194" s="1"/>
      <c r="CF194" s="1"/>
      <c r="CG194" s="1"/>
      <c r="CH194" s="1"/>
      <c r="CP194" s="305"/>
      <c r="CR194" s="116"/>
      <c r="CZ194" s="1"/>
      <c r="DA194" s="1"/>
      <c r="DB194" s="1"/>
      <c r="DC194" s="1"/>
      <c r="DD194" s="1"/>
      <c r="DE194" s="1"/>
      <c r="DF194" s="1"/>
      <c r="DG194" s="1"/>
      <c r="DH194" s="656"/>
      <c r="DJ194" s="116"/>
    </row>
    <row r="195" spans="2:114" ht="15.75" customHeight="1" x14ac:dyDescent="0.25">
      <c r="B195" s="116"/>
      <c r="I195" s="656"/>
      <c r="K195" s="116"/>
      <c r="X195" s="1"/>
      <c r="Y195" s="1"/>
      <c r="Z195" s="1"/>
      <c r="AA195" s="1"/>
      <c r="AB195" s="656"/>
      <c r="AC195" s="1"/>
      <c r="AD195" s="116"/>
      <c r="AL195" s="656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43"/>
      <c r="BL195" s="116"/>
      <c r="BU195" s="1"/>
      <c r="BV195" s="1"/>
      <c r="BW195" s="1"/>
      <c r="BX195" s="656"/>
      <c r="BZ195" s="657"/>
      <c r="CA195" s="1"/>
      <c r="CB195" s="1"/>
      <c r="CC195" s="1"/>
      <c r="CD195" s="1"/>
      <c r="CE195" s="1"/>
      <c r="CF195" s="1"/>
      <c r="CG195" s="1"/>
      <c r="CH195" s="1"/>
      <c r="CP195" s="305"/>
      <c r="CR195" s="116"/>
      <c r="CZ195" s="1"/>
      <c r="DA195" s="1"/>
      <c r="DB195" s="1"/>
      <c r="DC195" s="1"/>
      <c r="DD195" s="1"/>
      <c r="DE195" s="1"/>
      <c r="DF195" s="1"/>
      <c r="DG195" s="1"/>
      <c r="DH195" s="656"/>
      <c r="DJ195" s="116"/>
    </row>
    <row r="196" spans="2:114" ht="15.75" customHeight="1" x14ac:dyDescent="0.25">
      <c r="B196" s="116"/>
      <c r="I196" s="656"/>
      <c r="K196" s="116"/>
      <c r="X196" s="1"/>
      <c r="Y196" s="1"/>
      <c r="Z196" s="1"/>
      <c r="AA196" s="1"/>
      <c r="AB196" s="656"/>
      <c r="AC196" s="1"/>
      <c r="AD196" s="116"/>
      <c r="AL196" s="656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43"/>
      <c r="BL196" s="116"/>
      <c r="BU196" s="1"/>
      <c r="BV196" s="1"/>
      <c r="BW196" s="1"/>
      <c r="BX196" s="656"/>
      <c r="BZ196" s="657"/>
      <c r="CA196" s="1"/>
      <c r="CB196" s="1"/>
      <c r="CC196" s="1"/>
      <c r="CD196" s="1"/>
      <c r="CE196" s="1"/>
      <c r="CF196" s="1"/>
      <c r="CG196" s="1"/>
      <c r="CH196" s="1"/>
      <c r="CP196" s="305"/>
      <c r="CR196" s="116"/>
      <c r="CZ196" s="1"/>
      <c r="DA196" s="1"/>
      <c r="DB196" s="1"/>
      <c r="DC196" s="1"/>
      <c r="DD196" s="1"/>
      <c r="DE196" s="1"/>
      <c r="DF196" s="1"/>
      <c r="DG196" s="1"/>
      <c r="DH196" s="656"/>
      <c r="DJ196" s="116"/>
    </row>
    <row r="197" spans="2:114" ht="15.75" customHeight="1" x14ac:dyDescent="0.25">
      <c r="B197" s="116"/>
      <c r="I197" s="656"/>
      <c r="K197" s="116"/>
      <c r="X197" s="1"/>
      <c r="Y197" s="1"/>
      <c r="Z197" s="1"/>
      <c r="AA197" s="1"/>
      <c r="AB197" s="656"/>
      <c r="AC197" s="1"/>
      <c r="AD197" s="116"/>
      <c r="AL197" s="656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43"/>
      <c r="BL197" s="116"/>
      <c r="BU197" s="1"/>
      <c r="BV197" s="1"/>
      <c r="BW197" s="1"/>
      <c r="BX197" s="656"/>
      <c r="BZ197" s="657"/>
      <c r="CA197" s="1"/>
      <c r="CB197" s="1"/>
      <c r="CC197" s="1"/>
      <c r="CD197" s="1"/>
      <c r="CE197" s="1"/>
      <c r="CF197" s="1"/>
      <c r="CG197" s="1"/>
      <c r="CH197" s="1"/>
      <c r="CP197" s="305"/>
      <c r="CR197" s="116"/>
      <c r="CZ197" s="1"/>
      <c r="DA197" s="1"/>
      <c r="DB197" s="1"/>
      <c r="DC197" s="1"/>
      <c r="DD197" s="1"/>
      <c r="DE197" s="1"/>
      <c r="DF197" s="1"/>
      <c r="DG197" s="1"/>
      <c r="DH197" s="656"/>
      <c r="DJ197" s="116"/>
    </row>
    <row r="198" spans="2:114" ht="15.75" customHeight="1" x14ac:dyDescent="0.25">
      <c r="B198" s="116"/>
      <c r="I198" s="656"/>
      <c r="K198" s="116"/>
      <c r="X198" s="1"/>
      <c r="Y198" s="1"/>
      <c r="Z198" s="1"/>
      <c r="AA198" s="1"/>
      <c r="AB198" s="656"/>
      <c r="AC198" s="1"/>
      <c r="AD198" s="116"/>
      <c r="AL198" s="656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43"/>
      <c r="BL198" s="116"/>
      <c r="BU198" s="1"/>
      <c r="BV198" s="1"/>
      <c r="BW198" s="1"/>
      <c r="BX198" s="656"/>
      <c r="BZ198" s="657"/>
      <c r="CA198" s="1"/>
      <c r="CB198" s="1"/>
      <c r="CC198" s="1"/>
      <c r="CD198" s="1"/>
      <c r="CE198" s="1"/>
      <c r="CF198" s="1"/>
      <c r="CG198" s="1"/>
      <c r="CH198" s="1"/>
      <c r="CP198" s="305"/>
      <c r="CR198" s="116"/>
      <c r="CZ198" s="1"/>
      <c r="DA198" s="1"/>
      <c r="DB198" s="1"/>
      <c r="DC198" s="1"/>
      <c r="DD198" s="1"/>
      <c r="DE198" s="1"/>
      <c r="DF198" s="1"/>
      <c r="DG198" s="1"/>
      <c r="DH198" s="656"/>
      <c r="DJ198" s="116"/>
    </row>
    <row r="199" spans="2:114" ht="15.75" customHeight="1" x14ac:dyDescent="0.25">
      <c r="B199" s="116"/>
      <c r="I199" s="656"/>
      <c r="K199" s="116"/>
      <c r="X199" s="1"/>
      <c r="Y199" s="1"/>
      <c r="Z199" s="1"/>
      <c r="AA199" s="1"/>
      <c r="AB199" s="656"/>
      <c r="AC199" s="1"/>
      <c r="AD199" s="116"/>
      <c r="AL199" s="656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43"/>
      <c r="BL199" s="116"/>
      <c r="BU199" s="1"/>
      <c r="BV199" s="1"/>
      <c r="BW199" s="1"/>
      <c r="BX199" s="656"/>
      <c r="BZ199" s="657"/>
      <c r="CA199" s="1"/>
      <c r="CB199" s="1"/>
      <c r="CC199" s="1"/>
      <c r="CD199" s="1"/>
      <c r="CE199" s="1"/>
      <c r="CF199" s="1"/>
      <c r="CG199" s="1"/>
      <c r="CH199" s="1"/>
      <c r="CP199" s="305"/>
      <c r="CR199" s="116"/>
      <c r="CZ199" s="1"/>
      <c r="DA199" s="1"/>
      <c r="DB199" s="1"/>
      <c r="DC199" s="1"/>
      <c r="DD199" s="1"/>
      <c r="DE199" s="1"/>
      <c r="DF199" s="1"/>
      <c r="DG199" s="1"/>
      <c r="DH199" s="656"/>
      <c r="DJ199" s="116"/>
    </row>
    <row r="200" spans="2:114" ht="15.75" customHeight="1" x14ac:dyDescent="0.25">
      <c r="B200" s="116"/>
      <c r="I200" s="656"/>
      <c r="K200" s="116"/>
      <c r="X200" s="1"/>
      <c r="Y200" s="1"/>
      <c r="Z200" s="1"/>
      <c r="AA200" s="1"/>
      <c r="AB200" s="656"/>
      <c r="AC200" s="1"/>
      <c r="AD200" s="116"/>
      <c r="AL200" s="656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43"/>
      <c r="BL200" s="116"/>
      <c r="BU200" s="1"/>
      <c r="BV200" s="1"/>
      <c r="BW200" s="1"/>
      <c r="BX200" s="656"/>
      <c r="BZ200" s="657"/>
      <c r="CA200" s="1"/>
      <c r="CB200" s="1"/>
      <c r="CC200" s="1"/>
      <c r="CD200" s="1"/>
      <c r="CE200" s="1"/>
      <c r="CF200" s="1"/>
      <c r="CG200" s="1"/>
      <c r="CH200" s="1"/>
      <c r="CP200" s="305"/>
      <c r="CR200" s="116"/>
      <c r="CZ200" s="1"/>
      <c r="DA200" s="1"/>
      <c r="DB200" s="1"/>
      <c r="DC200" s="1"/>
      <c r="DD200" s="1"/>
      <c r="DE200" s="1"/>
      <c r="DF200" s="1"/>
      <c r="DG200" s="1"/>
      <c r="DH200" s="656"/>
      <c r="DJ200" s="116"/>
    </row>
    <row r="201" spans="2:114" ht="15.75" customHeight="1" x14ac:dyDescent="0.25">
      <c r="B201" s="116"/>
      <c r="I201" s="656"/>
      <c r="K201" s="116"/>
      <c r="X201" s="1"/>
      <c r="Y201" s="1"/>
      <c r="Z201" s="1"/>
      <c r="AA201" s="1"/>
      <c r="AB201" s="656"/>
      <c r="AC201" s="1"/>
      <c r="AD201" s="116"/>
      <c r="AL201" s="656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43"/>
      <c r="BL201" s="116"/>
      <c r="BU201" s="1"/>
      <c r="BV201" s="1"/>
      <c r="BW201" s="1"/>
      <c r="BX201" s="656"/>
      <c r="BZ201" s="657"/>
      <c r="CA201" s="1"/>
      <c r="CB201" s="1"/>
      <c r="CC201" s="1"/>
      <c r="CD201" s="1"/>
      <c r="CE201" s="1"/>
      <c r="CF201" s="1"/>
      <c r="CG201" s="1"/>
      <c r="CH201" s="1"/>
      <c r="CP201" s="305"/>
      <c r="CR201" s="116"/>
      <c r="CZ201" s="1"/>
      <c r="DA201" s="1"/>
      <c r="DB201" s="1"/>
      <c r="DC201" s="1"/>
      <c r="DD201" s="1"/>
      <c r="DE201" s="1"/>
      <c r="DF201" s="1"/>
      <c r="DG201" s="1"/>
      <c r="DH201" s="656"/>
      <c r="DJ201" s="116"/>
    </row>
    <row r="202" spans="2:114" ht="15.75" customHeight="1" x14ac:dyDescent="0.25">
      <c r="B202" s="116"/>
      <c r="I202" s="656"/>
      <c r="K202" s="116"/>
      <c r="X202" s="1"/>
      <c r="Y202" s="1"/>
      <c r="Z202" s="1"/>
      <c r="AA202" s="1"/>
      <c r="AB202" s="656"/>
      <c r="AC202" s="1"/>
      <c r="AD202" s="116"/>
      <c r="AL202" s="656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43"/>
      <c r="BL202" s="116"/>
      <c r="BU202" s="1"/>
      <c r="BV202" s="1"/>
      <c r="BW202" s="1"/>
      <c r="BX202" s="656"/>
      <c r="BZ202" s="657"/>
      <c r="CA202" s="1"/>
      <c r="CB202" s="1"/>
      <c r="CC202" s="1"/>
      <c r="CD202" s="1"/>
      <c r="CE202" s="1"/>
      <c r="CF202" s="1"/>
      <c r="CG202" s="1"/>
      <c r="CH202" s="1"/>
      <c r="CP202" s="305"/>
      <c r="CR202" s="116"/>
      <c r="CZ202" s="1"/>
      <c r="DA202" s="1"/>
      <c r="DB202" s="1"/>
      <c r="DC202" s="1"/>
      <c r="DD202" s="1"/>
      <c r="DE202" s="1"/>
      <c r="DF202" s="1"/>
      <c r="DG202" s="1"/>
      <c r="DH202" s="656"/>
      <c r="DJ202" s="116"/>
    </row>
    <row r="203" spans="2:114" ht="15.75" customHeight="1" x14ac:dyDescent="0.25">
      <c r="B203" s="116"/>
      <c r="I203" s="656"/>
      <c r="K203" s="116"/>
      <c r="X203" s="1"/>
      <c r="Y203" s="1"/>
      <c r="Z203" s="1"/>
      <c r="AA203" s="1"/>
      <c r="AB203" s="656"/>
      <c r="AC203" s="1"/>
      <c r="AD203" s="116"/>
      <c r="AL203" s="656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43"/>
      <c r="BL203" s="116"/>
      <c r="BU203" s="1"/>
      <c r="BV203" s="1"/>
      <c r="BW203" s="1"/>
      <c r="BX203" s="656"/>
      <c r="BZ203" s="657"/>
      <c r="CA203" s="1"/>
      <c r="CB203" s="1"/>
      <c r="CC203" s="1"/>
      <c r="CD203" s="1"/>
      <c r="CE203" s="1"/>
      <c r="CF203" s="1"/>
      <c r="CG203" s="1"/>
      <c r="CH203" s="1"/>
      <c r="CP203" s="305"/>
      <c r="CR203" s="116"/>
      <c r="CZ203" s="1"/>
      <c r="DA203" s="1"/>
      <c r="DB203" s="1"/>
      <c r="DC203" s="1"/>
      <c r="DD203" s="1"/>
      <c r="DE203" s="1"/>
      <c r="DF203" s="1"/>
      <c r="DG203" s="1"/>
      <c r="DH203" s="656"/>
      <c r="DJ203" s="116"/>
    </row>
    <row r="204" spans="2:114" ht="15.75" customHeight="1" x14ac:dyDescent="0.25">
      <c r="B204" s="116"/>
      <c r="I204" s="656"/>
      <c r="K204" s="116"/>
      <c r="X204" s="1"/>
      <c r="Y204" s="1"/>
      <c r="Z204" s="1"/>
      <c r="AA204" s="1"/>
      <c r="AB204" s="656"/>
      <c r="AC204" s="1"/>
      <c r="AD204" s="116"/>
      <c r="AL204" s="656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43"/>
      <c r="BL204" s="116"/>
      <c r="BU204" s="1"/>
      <c r="BV204" s="1"/>
      <c r="BW204" s="1"/>
      <c r="BX204" s="656"/>
      <c r="BZ204" s="657"/>
      <c r="CA204" s="1"/>
      <c r="CB204" s="1"/>
      <c r="CC204" s="1"/>
      <c r="CD204" s="1"/>
      <c r="CE204" s="1"/>
      <c r="CF204" s="1"/>
      <c r="CG204" s="1"/>
      <c r="CH204" s="1"/>
      <c r="CP204" s="305"/>
      <c r="CR204" s="116"/>
      <c r="CZ204" s="1"/>
      <c r="DA204" s="1"/>
      <c r="DB204" s="1"/>
      <c r="DC204" s="1"/>
      <c r="DD204" s="1"/>
      <c r="DE204" s="1"/>
      <c r="DF204" s="1"/>
      <c r="DG204" s="1"/>
      <c r="DH204" s="656"/>
      <c r="DJ204" s="116"/>
    </row>
    <row r="205" spans="2:114" ht="15.75" customHeight="1" x14ac:dyDescent="0.25">
      <c r="B205" s="116"/>
      <c r="I205" s="656"/>
      <c r="K205" s="116"/>
      <c r="X205" s="1"/>
      <c r="Y205" s="1"/>
      <c r="Z205" s="1"/>
      <c r="AA205" s="1"/>
      <c r="AB205" s="656"/>
      <c r="AC205" s="1"/>
      <c r="AD205" s="116"/>
      <c r="AL205" s="656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43"/>
      <c r="BL205" s="116"/>
      <c r="BU205" s="1"/>
      <c r="BV205" s="1"/>
      <c r="BW205" s="1"/>
      <c r="BX205" s="656"/>
      <c r="BZ205" s="657"/>
      <c r="CA205" s="1"/>
      <c r="CB205" s="1"/>
      <c r="CC205" s="1"/>
      <c r="CD205" s="1"/>
      <c r="CE205" s="1"/>
      <c r="CF205" s="1"/>
      <c r="CG205" s="1"/>
      <c r="CH205" s="1"/>
      <c r="CP205" s="305"/>
      <c r="CR205" s="116"/>
      <c r="CZ205" s="1"/>
      <c r="DA205" s="1"/>
      <c r="DB205" s="1"/>
      <c r="DC205" s="1"/>
      <c r="DD205" s="1"/>
      <c r="DE205" s="1"/>
      <c r="DF205" s="1"/>
      <c r="DG205" s="1"/>
      <c r="DH205" s="656"/>
      <c r="DJ205" s="116"/>
    </row>
    <row r="206" spans="2:114" ht="15.75" customHeight="1" x14ac:dyDescent="0.25">
      <c r="B206" s="116"/>
      <c r="I206" s="656"/>
      <c r="K206" s="116"/>
      <c r="X206" s="1"/>
      <c r="Y206" s="1"/>
      <c r="Z206" s="1"/>
      <c r="AA206" s="1"/>
      <c r="AB206" s="656"/>
      <c r="AC206" s="1"/>
      <c r="AD206" s="116"/>
      <c r="AL206" s="656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43"/>
      <c r="BL206" s="116"/>
      <c r="BU206" s="1"/>
      <c r="BV206" s="1"/>
      <c r="BW206" s="1"/>
      <c r="BX206" s="656"/>
      <c r="BZ206" s="657"/>
      <c r="CA206" s="1"/>
      <c r="CB206" s="1"/>
      <c r="CC206" s="1"/>
      <c r="CD206" s="1"/>
      <c r="CE206" s="1"/>
      <c r="CF206" s="1"/>
      <c r="CG206" s="1"/>
      <c r="CH206" s="1"/>
      <c r="CP206" s="305"/>
      <c r="CR206" s="116"/>
      <c r="CZ206" s="1"/>
      <c r="DA206" s="1"/>
      <c r="DB206" s="1"/>
      <c r="DC206" s="1"/>
      <c r="DD206" s="1"/>
      <c r="DE206" s="1"/>
      <c r="DF206" s="1"/>
      <c r="DG206" s="1"/>
      <c r="DH206" s="656"/>
      <c r="DJ206" s="116"/>
    </row>
    <row r="207" spans="2:114" ht="15.75" customHeight="1" x14ac:dyDescent="0.25">
      <c r="B207" s="116"/>
      <c r="I207" s="656"/>
      <c r="K207" s="116"/>
      <c r="X207" s="1"/>
      <c r="Y207" s="1"/>
      <c r="Z207" s="1"/>
      <c r="AA207" s="1"/>
      <c r="AB207" s="656"/>
      <c r="AC207" s="1"/>
      <c r="AD207" s="116"/>
      <c r="AL207" s="656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43"/>
      <c r="BL207" s="116"/>
      <c r="BU207" s="1"/>
      <c r="BV207" s="1"/>
      <c r="BW207" s="1"/>
      <c r="BX207" s="656"/>
      <c r="BZ207" s="657"/>
      <c r="CA207" s="1"/>
      <c r="CB207" s="1"/>
      <c r="CC207" s="1"/>
      <c r="CD207" s="1"/>
      <c r="CE207" s="1"/>
      <c r="CF207" s="1"/>
      <c r="CG207" s="1"/>
      <c r="CH207" s="1"/>
      <c r="CP207" s="305"/>
      <c r="CR207" s="116"/>
      <c r="CZ207" s="1"/>
      <c r="DA207" s="1"/>
      <c r="DB207" s="1"/>
      <c r="DC207" s="1"/>
      <c r="DD207" s="1"/>
      <c r="DE207" s="1"/>
      <c r="DF207" s="1"/>
      <c r="DG207" s="1"/>
      <c r="DH207" s="656"/>
      <c r="DJ207" s="116"/>
    </row>
    <row r="208" spans="2:114" ht="15.75" customHeight="1" x14ac:dyDescent="0.25">
      <c r="B208" s="116"/>
      <c r="I208" s="656"/>
      <c r="K208" s="116"/>
      <c r="X208" s="1"/>
      <c r="Y208" s="1"/>
      <c r="Z208" s="1"/>
      <c r="AA208" s="1"/>
      <c r="AB208" s="656"/>
      <c r="AC208" s="1"/>
      <c r="AD208" s="116"/>
      <c r="AL208" s="656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43"/>
      <c r="BL208" s="116"/>
      <c r="BU208" s="1"/>
      <c r="BV208" s="1"/>
      <c r="BW208" s="1"/>
      <c r="BX208" s="656"/>
      <c r="BZ208" s="657"/>
      <c r="CA208" s="1"/>
      <c r="CB208" s="1"/>
      <c r="CC208" s="1"/>
      <c r="CD208" s="1"/>
      <c r="CE208" s="1"/>
      <c r="CF208" s="1"/>
      <c r="CG208" s="1"/>
      <c r="CH208" s="1"/>
      <c r="CP208" s="305"/>
      <c r="CR208" s="116"/>
      <c r="CZ208" s="1"/>
      <c r="DA208" s="1"/>
      <c r="DB208" s="1"/>
      <c r="DC208" s="1"/>
      <c r="DD208" s="1"/>
      <c r="DE208" s="1"/>
      <c r="DF208" s="1"/>
      <c r="DG208" s="1"/>
      <c r="DH208" s="656"/>
      <c r="DJ208" s="116"/>
    </row>
    <row r="209" spans="2:114" ht="15.75" customHeight="1" x14ac:dyDescent="0.25">
      <c r="B209" s="116"/>
      <c r="I209" s="656"/>
      <c r="K209" s="116"/>
      <c r="X209" s="1"/>
      <c r="Y209" s="1"/>
      <c r="Z209" s="1"/>
      <c r="AA209" s="1"/>
      <c r="AB209" s="656"/>
      <c r="AC209" s="1"/>
      <c r="AD209" s="116"/>
      <c r="AL209" s="656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43"/>
      <c r="BL209" s="116"/>
      <c r="BU209" s="1"/>
      <c r="BV209" s="1"/>
      <c r="BW209" s="1"/>
      <c r="BX209" s="656"/>
      <c r="BZ209" s="657"/>
      <c r="CA209" s="1"/>
      <c r="CB209" s="1"/>
      <c r="CC209" s="1"/>
      <c r="CD209" s="1"/>
      <c r="CE209" s="1"/>
      <c r="CF209" s="1"/>
      <c r="CG209" s="1"/>
      <c r="CH209" s="1"/>
      <c r="CP209" s="305"/>
      <c r="CR209" s="116"/>
      <c r="CZ209" s="1"/>
      <c r="DA209" s="1"/>
      <c r="DB209" s="1"/>
      <c r="DC209" s="1"/>
      <c r="DD209" s="1"/>
      <c r="DE209" s="1"/>
      <c r="DF209" s="1"/>
      <c r="DG209" s="1"/>
      <c r="DH209" s="656"/>
      <c r="DJ209" s="116"/>
    </row>
    <row r="210" spans="2:114" ht="15.75" customHeight="1" x14ac:dyDescent="0.25">
      <c r="B210" s="116"/>
      <c r="I210" s="656"/>
      <c r="K210" s="116"/>
      <c r="X210" s="1"/>
      <c r="Y210" s="1"/>
      <c r="Z210" s="1"/>
      <c r="AA210" s="1"/>
      <c r="AB210" s="656"/>
      <c r="AC210" s="1"/>
      <c r="AD210" s="116"/>
      <c r="AL210" s="656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43"/>
      <c r="BL210" s="116"/>
      <c r="BU210" s="1"/>
      <c r="BV210" s="1"/>
      <c r="BW210" s="1"/>
      <c r="BX210" s="656"/>
      <c r="BZ210" s="657"/>
      <c r="CA210" s="1"/>
      <c r="CB210" s="1"/>
      <c r="CC210" s="1"/>
      <c r="CD210" s="1"/>
      <c r="CE210" s="1"/>
      <c r="CF210" s="1"/>
      <c r="CG210" s="1"/>
      <c r="CH210" s="1"/>
      <c r="CP210" s="305"/>
      <c r="CR210" s="116"/>
      <c r="CZ210" s="1"/>
      <c r="DA210" s="1"/>
      <c r="DB210" s="1"/>
      <c r="DC210" s="1"/>
      <c r="DD210" s="1"/>
      <c r="DE210" s="1"/>
      <c r="DF210" s="1"/>
      <c r="DG210" s="1"/>
      <c r="DH210" s="656"/>
      <c r="DJ210" s="116"/>
    </row>
    <row r="211" spans="2:114" ht="15.75" customHeight="1" x14ac:dyDescent="0.25">
      <c r="B211" s="116"/>
      <c r="I211" s="656"/>
      <c r="K211" s="116"/>
      <c r="X211" s="1"/>
      <c r="Y211" s="1"/>
      <c r="Z211" s="1"/>
      <c r="AA211" s="1"/>
      <c r="AB211" s="656"/>
      <c r="AC211" s="1"/>
      <c r="AD211" s="116"/>
      <c r="AL211" s="656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43"/>
      <c r="BL211" s="116"/>
      <c r="BU211" s="1"/>
      <c r="BV211" s="1"/>
      <c r="BW211" s="1"/>
      <c r="BX211" s="656"/>
      <c r="BZ211" s="657"/>
      <c r="CA211" s="1"/>
      <c r="CB211" s="1"/>
      <c r="CC211" s="1"/>
      <c r="CD211" s="1"/>
      <c r="CE211" s="1"/>
      <c r="CF211" s="1"/>
      <c r="CG211" s="1"/>
      <c r="CH211" s="1"/>
      <c r="CP211" s="305"/>
      <c r="CR211" s="116"/>
      <c r="CZ211" s="1"/>
      <c r="DA211" s="1"/>
      <c r="DB211" s="1"/>
      <c r="DC211" s="1"/>
      <c r="DD211" s="1"/>
      <c r="DE211" s="1"/>
      <c r="DF211" s="1"/>
      <c r="DG211" s="1"/>
      <c r="DH211" s="656"/>
      <c r="DJ211" s="116"/>
    </row>
    <row r="212" spans="2:114" ht="15.75" customHeight="1" x14ac:dyDescent="0.25">
      <c r="B212" s="116"/>
      <c r="I212" s="656"/>
      <c r="K212" s="116"/>
      <c r="X212" s="1"/>
      <c r="Y212" s="1"/>
      <c r="Z212" s="1"/>
      <c r="AA212" s="1"/>
      <c r="AB212" s="656"/>
      <c r="AC212" s="1"/>
      <c r="AD212" s="116"/>
      <c r="AL212" s="656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43"/>
      <c r="BL212" s="116"/>
      <c r="BU212" s="1"/>
      <c r="BV212" s="1"/>
      <c r="BW212" s="1"/>
      <c r="BX212" s="656"/>
      <c r="BZ212" s="657"/>
      <c r="CA212" s="1"/>
      <c r="CB212" s="1"/>
      <c r="CC212" s="1"/>
      <c r="CD212" s="1"/>
      <c r="CE212" s="1"/>
      <c r="CF212" s="1"/>
      <c r="CG212" s="1"/>
      <c r="CH212" s="1"/>
      <c r="CP212" s="305"/>
      <c r="CR212" s="116"/>
      <c r="CZ212" s="1"/>
      <c r="DA212" s="1"/>
      <c r="DB212" s="1"/>
      <c r="DC212" s="1"/>
      <c r="DD212" s="1"/>
      <c r="DE212" s="1"/>
      <c r="DF212" s="1"/>
      <c r="DG212" s="1"/>
      <c r="DH212" s="656"/>
      <c r="DJ212" s="116"/>
    </row>
    <row r="213" spans="2:114" ht="15.75" customHeight="1" x14ac:dyDescent="0.25">
      <c r="B213" s="116"/>
      <c r="I213" s="656"/>
      <c r="K213" s="116"/>
      <c r="X213" s="1"/>
      <c r="Y213" s="1"/>
      <c r="Z213" s="1"/>
      <c r="AA213" s="1"/>
      <c r="AB213" s="656"/>
      <c r="AC213" s="1"/>
      <c r="AD213" s="116"/>
      <c r="AL213" s="656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43"/>
      <c r="BL213" s="116"/>
      <c r="BU213" s="1"/>
      <c r="BV213" s="1"/>
      <c r="BW213" s="1"/>
      <c r="BX213" s="656"/>
      <c r="BZ213" s="657"/>
      <c r="CA213" s="1"/>
      <c r="CB213" s="1"/>
      <c r="CC213" s="1"/>
      <c r="CD213" s="1"/>
      <c r="CE213" s="1"/>
      <c r="CF213" s="1"/>
      <c r="CG213" s="1"/>
      <c r="CH213" s="1"/>
      <c r="CP213" s="305"/>
      <c r="CR213" s="116"/>
      <c r="CZ213" s="1"/>
      <c r="DA213" s="1"/>
      <c r="DB213" s="1"/>
      <c r="DC213" s="1"/>
      <c r="DD213" s="1"/>
      <c r="DE213" s="1"/>
      <c r="DF213" s="1"/>
      <c r="DG213" s="1"/>
      <c r="DH213" s="656"/>
      <c r="DJ213" s="116"/>
    </row>
    <row r="214" spans="2:114" ht="15.75" customHeight="1" x14ac:dyDescent="0.25">
      <c r="B214" s="116"/>
      <c r="I214" s="656"/>
      <c r="K214" s="116"/>
      <c r="X214" s="1"/>
      <c r="Y214" s="1"/>
      <c r="Z214" s="1"/>
      <c r="AA214" s="1"/>
      <c r="AB214" s="656"/>
      <c r="AC214" s="1"/>
      <c r="AD214" s="116"/>
      <c r="AL214" s="656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43"/>
      <c r="BL214" s="116"/>
      <c r="BU214" s="1"/>
      <c r="BV214" s="1"/>
      <c r="BW214" s="1"/>
      <c r="BX214" s="656"/>
      <c r="BZ214" s="657"/>
      <c r="CA214" s="1"/>
      <c r="CB214" s="1"/>
      <c r="CC214" s="1"/>
      <c r="CD214" s="1"/>
      <c r="CE214" s="1"/>
      <c r="CF214" s="1"/>
      <c r="CG214" s="1"/>
      <c r="CH214" s="1"/>
      <c r="CP214" s="305"/>
      <c r="CR214" s="116"/>
      <c r="CZ214" s="1"/>
      <c r="DA214" s="1"/>
      <c r="DB214" s="1"/>
      <c r="DC214" s="1"/>
      <c r="DD214" s="1"/>
      <c r="DE214" s="1"/>
      <c r="DF214" s="1"/>
      <c r="DG214" s="1"/>
      <c r="DH214" s="656"/>
      <c r="DJ214" s="116"/>
    </row>
    <row r="215" spans="2:114" ht="15.75" customHeight="1" x14ac:dyDescent="0.25">
      <c r="B215" s="116"/>
      <c r="I215" s="656"/>
      <c r="K215" s="116"/>
      <c r="X215" s="1"/>
      <c r="Y215" s="1"/>
      <c r="Z215" s="1"/>
      <c r="AA215" s="1"/>
      <c r="AB215" s="656"/>
      <c r="AC215" s="1"/>
      <c r="AD215" s="116"/>
      <c r="AL215" s="656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43"/>
      <c r="BL215" s="116"/>
      <c r="BU215" s="1"/>
      <c r="BV215" s="1"/>
      <c r="BW215" s="1"/>
      <c r="BX215" s="656"/>
      <c r="BZ215" s="657"/>
      <c r="CA215" s="1"/>
      <c r="CB215" s="1"/>
      <c r="CC215" s="1"/>
      <c r="CD215" s="1"/>
      <c r="CE215" s="1"/>
      <c r="CF215" s="1"/>
      <c r="CG215" s="1"/>
      <c r="CH215" s="1"/>
      <c r="CP215" s="305"/>
      <c r="CR215" s="116"/>
      <c r="CZ215" s="1"/>
      <c r="DA215" s="1"/>
      <c r="DB215" s="1"/>
      <c r="DC215" s="1"/>
      <c r="DD215" s="1"/>
      <c r="DE215" s="1"/>
      <c r="DF215" s="1"/>
      <c r="DG215" s="1"/>
      <c r="DH215" s="656"/>
      <c r="DJ215" s="116"/>
    </row>
    <row r="216" spans="2:114" ht="15.75" customHeight="1" x14ac:dyDescent="0.25">
      <c r="B216" s="116"/>
      <c r="I216" s="656"/>
      <c r="K216" s="116"/>
      <c r="X216" s="1"/>
      <c r="Y216" s="1"/>
      <c r="Z216" s="1"/>
      <c r="AA216" s="1"/>
      <c r="AB216" s="656"/>
      <c r="AC216" s="1"/>
      <c r="AD216" s="116"/>
      <c r="AL216" s="656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43"/>
      <c r="BL216" s="116"/>
      <c r="BU216" s="1"/>
      <c r="BV216" s="1"/>
      <c r="BW216" s="1"/>
      <c r="BX216" s="656"/>
      <c r="BZ216" s="657"/>
      <c r="CA216" s="1"/>
      <c r="CB216" s="1"/>
      <c r="CC216" s="1"/>
      <c r="CD216" s="1"/>
      <c r="CE216" s="1"/>
      <c r="CF216" s="1"/>
      <c r="CG216" s="1"/>
      <c r="CH216" s="1"/>
      <c r="CP216" s="305"/>
      <c r="CR216" s="116"/>
      <c r="CZ216" s="1"/>
      <c r="DA216" s="1"/>
      <c r="DB216" s="1"/>
      <c r="DC216" s="1"/>
      <c r="DD216" s="1"/>
      <c r="DE216" s="1"/>
      <c r="DF216" s="1"/>
      <c r="DG216" s="1"/>
      <c r="DH216" s="656"/>
      <c r="DJ216" s="116"/>
    </row>
    <row r="217" spans="2:114" ht="15.75" customHeight="1" x14ac:dyDescent="0.25">
      <c r="B217" s="116"/>
      <c r="I217" s="656"/>
      <c r="K217" s="116"/>
      <c r="X217" s="1"/>
      <c r="Y217" s="1"/>
      <c r="Z217" s="1"/>
      <c r="AA217" s="1"/>
      <c r="AB217" s="656"/>
      <c r="AC217" s="1"/>
      <c r="AD217" s="116"/>
      <c r="AL217" s="656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43"/>
      <c r="BL217" s="116"/>
      <c r="BU217" s="1"/>
      <c r="BV217" s="1"/>
      <c r="BW217" s="1"/>
      <c r="BX217" s="656"/>
      <c r="BZ217" s="657"/>
      <c r="CA217" s="1"/>
      <c r="CB217" s="1"/>
      <c r="CC217" s="1"/>
      <c r="CD217" s="1"/>
      <c r="CE217" s="1"/>
      <c r="CF217" s="1"/>
      <c r="CG217" s="1"/>
      <c r="CH217" s="1"/>
      <c r="CP217" s="305"/>
      <c r="CR217" s="116"/>
      <c r="CZ217" s="1"/>
      <c r="DA217" s="1"/>
      <c r="DB217" s="1"/>
      <c r="DC217" s="1"/>
      <c r="DD217" s="1"/>
      <c r="DE217" s="1"/>
      <c r="DF217" s="1"/>
      <c r="DG217" s="1"/>
      <c r="DH217" s="656"/>
      <c r="DJ217" s="116"/>
    </row>
    <row r="218" spans="2:114" ht="15.75" customHeight="1" x14ac:dyDescent="0.25">
      <c r="B218" s="116"/>
      <c r="I218" s="656"/>
      <c r="K218" s="116"/>
      <c r="X218" s="1"/>
      <c r="Y218" s="1"/>
      <c r="Z218" s="1"/>
      <c r="AA218" s="1"/>
      <c r="AB218" s="656"/>
      <c r="AC218" s="1"/>
      <c r="AD218" s="116"/>
      <c r="AL218" s="656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43"/>
      <c r="BL218" s="116"/>
      <c r="BU218" s="1"/>
      <c r="BV218" s="1"/>
      <c r="BW218" s="1"/>
      <c r="BX218" s="656"/>
      <c r="BZ218" s="657"/>
      <c r="CA218" s="1"/>
      <c r="CB218" s="1"/>
      <c r="CC218" s="1"/>
      <c r="CD218" s="1"/>
      <c r="CE218" s="1"/>
      <c r="CF218" s="1"/>
      <c r="CG218" s="1"/>
      <c r="CH218" s="1"/>
      <c r="CP218" s="305"/>
      <c r="CR218" s="116"/>
      <c r="CZ218" s="1"/>
      <c r="DA218" s="1"/>
      <c r="DB218" s="1"/>
      <c r="DC218" s="1"/>
      <c r="DD218" s="1"/>
      <c r="DE218" s="1"/>
      <c r="DF218" s="1"/>
      <c r="DG218" s="1"/>
      <c r="DH218" s="656"/>
      <c r="DJ218" s="116"/>
    </row>
    <row r="219" spans="2:114" ht="15.75" customHeight="1" x14ac:dyDescent="0.25">
      <c r="B219" s="116"/>
      <c r="I219" s="656"/>
      <c r="K219" s="116"/>
      <c r="X219" s="1"/>
      <c r="Y219" s="1"/>
      <c r="Z219" s="1"/>
      <c r="AA219" s="1"/>
      <c r="AB219" s="656"/>
      <c r="AC219" s="1"/>
      <c r="AD219" s="116"/>
      <c r="AL219" s="656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43"/>
      <c r="BL219" s="116"/>
      <c r="BU219" s="1"/>
      <c r="BV219" s="1"/>
      <c r="BW219" s="1"/>
      <c r="BX219" s="656"/>
      <c r="BZ219" s="657"/>
      <c r="CA219" s="1"/>
      <c r="CB219" s="1"/>
      <c r="CC219" s="1"/>
      <c r="CD219" s="1"/>
      <c r="CE219" s="1"/>
      <c r="CF219" s="1"/>
      <c r="CG219" s="1"/>
      <c r="CH219" s="1"/>
      <c r="CP219" s="305"/>
      <c r="CR219" s="116"/>
      <c r="CZ219" s="1"/>
      <c r="DA219" s="1"/>
      <c r="DB219" s="1"/>
      <c r="DC219" s="1"/>
      <c r="DD219" s="1"/>
      <c r="DE219" s="1"/>
      <c r="DF219" s="1"/>
      <c r="DG219" s="1"/>
      <c r="DH219" s="656"/>
      <c r="DJ219" s="116"/>
    </row>
    <row r="220" spans="2:114" ht="15.75" customHeight="1" x14ac:dyDescent="0.25">
      <c r="B220" s="116"/>
      <c r="I220" s="656"/>
      <c r="K220" s="116"/>
      <c r="X220" s="1"/>
      <c r="Y220" s="1"/>
      <c r="Z220" s="1"/>
      <c r="AA220" s="1"/>
      <c r="AB220" s="656"/>
      <c r="AC220" s="1"/>
      <c r="AD220" s="116"/>
      <c r="AL220" s="656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43"/>
      <c r="BL220" s="116"/>
      <c r="BU220" s="1"/>
      <c r="BV220" s="1"/>
      <c r="BW220" s="1"/>
      <c r="BX220" s="656"/>
      <c r="BZ220" s="657"/>
      <c r="CA220" s="1"/>
      <c r="CB220" s="1"/>
      <c r="CC220" s="1"/>
      <c r="CD220" s="1"/>
      <c r="CE220" s="1"/>
      <c r="CF220" s="1"/>
      <c r="CG220" s="1"/>
      <c r="CH220" s="1"/>
      <c r="CP220" s="305"/>
      <c r="CR220" s="116"/>
      <c r="CZ220" s="1"/>
      <c r="DA220" s="1"/>
      <c r="DB220" s="1"/>
      <c r="DC220" s="1"/>
      <c r="DD220" s="1"/>
      <c r="DE220" s="1"/>
      <c r="DF220" s="1"/>
      <c r="DG220" s="1"/>
      <c r="DH220" s="656"/>
      <c r="DJ220" s="116"/>
    </row>
    <row r="221" spans="2:114" ht="15.75" customHeight="1" x14ac:dyDescent="0.25">
      <c r="B221" s="116"/>
      <c r="I221" s="656"/>
      <c r="K221" s="116"/>
      <c r="X221" s="1"/>
      <c r="Y221" s="1"/>
      <c r="Z221" s="1"/>
      <c r="AA221" s="1"/>
      <c r="AB221" s="656"/>
      <c r="AC221" s="1"/>
      <c r="AD221" s="116"/>
      <c r="AL221" s="656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43"/>
      <c r="BL221" s="116"/>
      <c r="BU221" s="1"/>
      <c r="BV221" s="1"/>
      <c r="BW221" s="1"/>
      <c r="BX221" s="656"/>
      <c r="BZ221" s="657"/>
      <c r="CA221" s="1"/>
      <c r="CB221" s="1"/>
      <c r="CC221" s="1"/>
      <c r="CD221" s="1"/>
      <c r="CE221" s="1"/>
      <c r="CF221" s="1"/>
      <c r="CG221" s="1"/>
      <c r="CH221" s="1"/>
      <c r="CP221" s="305"/>
      <c r="CR221" s="116"/>
      <c r="CZ221" s="1"/>
      <c r="DA221" s="1"/>
      <c r="DB221" s="1"/>
      <c r="DC221" s="1"/>
      <c r="DD221" s="1"/>
      <c r="DE221" s="1"/>
      <c r="DF221" s="1"/>
      <c r="DG221" s="1"/>
      <c r="DH221" s="656"/>
      <c r="DJ221" s="116"/>
    </row>
    <row r="222" spans="2:114" ht="15.75" customHeight="1" x14ac:dyDescent="0.25">
      <c r="B222" s="116"/>
      <c r="I222" s="656"/>
      <c r="K222" s="116"/>
      <c r="X222" s="1"/>
      <c r="Y222" s="1"/>
      <c r="Z222" s="1"/>
      <c r="AA222" s="1"/>
      <c r="AB222" s="656"/>
      <c r="AC222" s="1"/>
      <c r="AD222" s="116"/>
      <c r="AL222" s="656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43"/>
      <c r="BL222" s="116"/>
      <c r="BU222" s="1"/>
      <c r="BV222" s="1"/>
      <c r="BW222" s="1"/>
      <c r="BX222" s="656"/>
      <c r="BZ222" s="657"/>
      <c r="CA222" s="1"/>
      <c r="CB222" s="1"/>
      <c r="CC222" s="1"/>
      <c r="CD222" s="1"/>
      <c r="CE222" s="1"/>
      <c r="CF222" s="1"/>
      <c r="CG222" s="1"/>
      <c r="CH222" s="1"/>
      <c r="CP222" s="305"/>
      <c r="CR222" s="116"/>
      <c r="CZ222" s="1"/>
      <c r="DA222" s="1"/>
      <c r="DB222" s="1"/>
      <c r="DC222" s="1"/>
      <c r="DD222" s="1"/>
      <c r="DE222" s="1"/>
      <c r="DF222" s="1"/>
      <c r="DG222" s="1"/>
      <c r="DH222" s="656"/>
      <c r="DJ222" s="116"/>
    </row>
    <row r="223" spans="2:114" ht="15.75" customHeight="1" x14ac:dyDescent="0.25">
      <c r="B223" s="116"/>
      <c r="I223" s="656"/>
      <c r="K223" s="116"/>
      <c r="X223" s="1"/>
      <c r="Y223" s="1"/>
      <c r="Z223" s="1"/>
      <c r="AA223" s="1"/>
      <c r="AB223" s="656"/>
      <c r="AC223" s="1"/>
      <c r="AD223" s="116"/>
      <c r="AL223" s="656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43"/>
      <c r="BL223" s="116"/>
      <c r="BU223" s="1"/>
      <c r="BV223" s="1"/>
      <c r="BW223" s="1"/>
      <c r="BX223" s="656"/>
      <c r="BZ223" s="657"/>
      <c r="CA223" s="1"/>
      <c r="CB223" s="1"/>
      <c r="CC223" s="1"/>
      <c r="CD223" s="1"/>
      <c r="CE223" s="1"/>
      <c r="CF223" s="1"/>
      <c r="CG223" s="1"/>
      <c r="CH223" s="1"/>
      <c r="CP223" s="305"/>
      <c r="CR223" s="116"/>
      <c r="CZ223" s="1"/>
      <c r="DA223" s="1"/>
      <c r="DB223" s="1"/>
      <c r="DC223" s="1"/>
      <c r="DD223" s="1"/>
      <c r="DE223" s="1"/>
      <c r="DF223" s="1"/>
      <c r="DG223" s="1"/>
      <c r="DH223" s="656"/>
      <c r="DJ223" s="116"/>
    </row>
    <row r="224" spans="2:114" ht="15.75" customHeight="1" x14ac:dyDescent="0.25">
      <c r="B224" s="116"/>
      <c r="I224" s="656"/>
      <c r="K224" s="116"/>
      <c r="X224" s="1"/>
      <c r="Y224" s="1"/>
      <c r="Z224" s="1"/>
      <c r="AA224" s="1"/>
      <c r="AB224" s="656"/>
      <c r="AC224" s="1"/>
      <c r="AD224" s="116"/>
      <c r="AL224" s="656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43"/>
      <c r="BL224" s="116"/>
      <c r="BU224" s="1"/>
      <c r="BV224" s="1"/>
      <c r="BW224" s="1"/>
      <c r="BX224" s="656"/>
      <c r="BZ224" s="657"/>
      <c r="CA224" s="1"/>
      <c r="CB224" s="1"/>
      <c r="CC224" s="1"/>
      <c r="CD224" s="1"/>
      <c r="CE224" s="1"/>
      <c r="CF224" s="1"/>
      <c r="CG224" s="1"/>
      <c r="CH224" s="1"/>
      <c r="CP224" s="305"/>
      <c r="CR224" s="116"/>
      <c r="CZ224" s="1"/>
      <c r="DA224" s="1"/>
      <c r="DB224" s="1"/>
      <c r="DC224" s="1"/>
      <c r="DD224" s="1"/>
      <c r="DE224" s="1"/>
      <c r="DF224" s="1"/>
      <c r="DG224" s="1"/>
      <c r="DH224" s="656"/>
      <c r="DJ224" s="116"/>
    </row>
    <row r="225" spans="2:114" ht="15.75" customHeight="1" x14ac:dyDescent="0.25">
      <c r="B225" s="116"/>
      <c r="I225" s="656"/>
      <c r="K225" s="116"/>
      <c r="X225" s="1"/>
      <c r="Y225" s="1"/>
      <c r="Z225" s="1"/>
      <c r="AA225" s="1"/>
      <c r="AB225" s="656"/>
      <c r="AC225" s="1"/>
      <c r="AD225" s="116"/>
      <c r="AL225" s="656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43"/>
      <c r="BL225" s="116"/>
      <c r="BU225" s="1"/>
      <c r="BV225" s="1"/>
      <c r="BW225" s="1"/>
      <c r="BX225" s="656"/>
      <c r="BZ225" s="657"/>
      <c r="CA225" s="1"/>
      <c r="CB225" s="1"/>
      <c r="CC225" s="1"/>
      <c r="CD225" s="1"/>
      <c r="CE225" s="1"/>
      <c r="CF225" s="1"/>
      <c r="CG225" s="1"/>
      <c r="CH225" s="1"/>
      <c r="CP225" s="305"/>
      <c r="CR225" s="116"/>
      <c r="CZ225" s="1"/>
      <c r="DA225" s="1"/>
      <c r="DB225" s="1"/>
      <c r="DC225" s="1"/>
      <c r="DD225" s="1"/>
      <c r="DE225" s="1"/>
      <c r="DF225" s="1"/>
      <c r="DG225" s="1"/>
      <c r="DH225" s="656"/>
      <c r="DJ225" s="116"/>
    </row>
    <row r="226" spans="2:114" ht="15.75" customHeight="1" x14ac:dyDescent="0.25">
      <c r="B226" s="116"/>
      <c r="I226" s="656"/>
      <c r="K226" s="116"/>
      <c r="X226" s="1"/>
      <c r="Y226" s="1"/>
      <c r="Z226" s="1"/>
      <c r="AA226" s="1"/>
      <c r="AB226" s="656"/>
      <c r="AC226" s="1"/>
      <c r="AD226" s="116"/>
      <c r="AL226" s="656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43"/>
      <c r="BL226" s="116"/>
      <c r="BU226" s="1"/>
      <c r="BV226" s="1"/>
      <c r="BW226" s="1"/>
      <c r="BX226" s="656"/>
      <c r="BZ226" s="657"/>
      <c r="CA226" s="1"/>
      <c r="CB226" s="1"/>
      <c r="CC226" s="1"/>
      <c r="CD226" s="1"/>
      <c r="CE226" s="1"/>
      <c r="CF226" s="1"/>
      <c r="CG226" s="1"/>
      <c r="CH226" s="1"/>
      <c r="CP226" s="305"/>
      <c r="CR226" s="116"/>
      <c r="CZ226" s="1"/>
      <c r="DA226" s="1"/>
      <c r="DB226" s="1"/>
      <c r="DC226" s="1"/>
      <c r="DD226" s="1"/>
      <c r="DE226" s="1"/>
      <c r="DF226" s="1"/>
      <c r="DG226" s="1"/>
      <c r="DH226" s="656"/>
      <c r="DJ226" s="116"/>
    </row>
    <row r="227" spans="2:114" ht="15.75" customHeight="1" x14ac:dyDescent="0.25">
      <c r="B227" s="116"/>
      <c r="I227" s="656"/>
      <c r="K227" s="116"/>
      <c r="X227" s="1"/>
      <c r="Y227" s="1"/>
      <c r="Z227" s="1"/>
      <c r="AA227" s="1"/>
      <c r="AB227" s="656"/>
      <c r="AC227" s="1"/>
      <c r="AD227" s="116"/>
      <c r="AL227" s="656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43"/>
      <c r="BL227" s="116"/>
      <c r="BU227" s="1"/>
      <c r="BV227" s="1"/>
      <c r="BW227" s="1"/>
      <c r="BX227" s="656"/>
      <c r="BZ227" s="657"/>
      <c r="CA227" s="1"/>
      <c r="CB227" s="1"/>
      <c r="CC227" s="1"/>
      <c r="CD227" s="1"/>
      <c r="CE227" s="1"/>
      <c r="CF227" s="1"/>
      <c r="CG227" s="1"/>
      <c r="CH227" s="1"/>
      <c r="CP227" s="305"/>
      <c r="CR227" s="116"/>
      <c r="CZ227" s="1"/>
      <c r="DA227" s="1"/>
      <c r="DB227" s="1"/>
      <c r="DC227" s="1"/>
      <c r="DD227" s="1"/>
      <c r="DE227" s="1"/>
      <c r="DF227" s="1"/>
      <c r="DG227" s="1"/>
      <c r="DH227" s="656"/>
      <c r="DJ227" s="116"/>
    </row>
    <row r="228" spans="2:114" ht="15.75" customHeight="1" x14ac:dyDescent="0.25">
      <c r="B228" s="116"/>
      <c r="I228" s="656"/>
      <c r="K228" s="116"/>
      <c r="X228" s="1"/>
      <c r="Y228" s="1"/>
      <c r="Z228" s="1"/>
      <c r="AA228" s="1"/>
      <c r="AB228" s="656"/>
      <c r="AC228" s="1"/>
      <c r="AD228" s="116"/>
      <c r="AL228" s="656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43"/>
      <c r="BL228" s="116"/>
      <c r="BU228" s="1"/>
      <c r="BV228" s="1"/>
      <c r="BW228" s="1"/>
      <c r="BX228" s="656"/>
      <c r="BZ228" s="657"/>
      <c r="CA228" s="1"/>
      <c r="CB228" s="1"/>
      <c r="CC228" s="1"/>
      <c r="CD228" s="1"/>
      <c r="CE228" s="1"/>
      <c r="CF228" s="1"/>
      <c r="CG228" s="1"/>
      <c r="CH228" s="1"/>
      <c r="CP228" s="305"/>
      <c r="CR228" s="116"/>
      <c r="CZ228" s="1"/>
      <c r="DA228" s="1"/>
      <c r="DB228" s="1"/>
      <c r="DC228" s="1"/>
      <c r="DD228" s="1"/>
      <c r="DE228" s="1"/>
      <c r="DF228" s="1"/>
      <c r="DG228" s="1"/>
      <c r="DH228" s="656"/>
      <c r="DJ228" s="116"/>
    </row>
    <row r="229" spans="2:114" ht="15.75" customHeight="1" x14ac:dyDescent="0.25">
      <c r="B229" s="116"/>
      <c r="I229" s="656"/>
      <c r="K229" s="116"/>
      <c r="X229" s="1"/>
      <c r="Y229" s="1"/>
      <c r="Z229" s="1"/>
      <c r="AA229" s="1"/>
      <c r="AB229" s="656"/>
      <c r="AC229" s="1"/>
      <c r="AD229" s="116"/>
      <c r="AL229" s="656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43"/>
      <c r="BL229" s="116"/>
      <c r="BU229" s="1"/>
      <c r="BV229" s="1"/>
      <c r="BW229" s="1"/>
      <c r="BX229" s="656"/>
      <c r="BZ229" s="657"/>
      <c r="CA229" s="1"/>
      <c r="CB229" s="1"/>
      <c r="CC229" s="1"/>
      <c r="CD229" s="1"/>
      <c r="CE229" s="1"/>
      <c r="CF229" s="1"/>
      <c r="CG229" s="1"/>
      <c r="CH229" s="1"/>
      <c r="CP229" s="305"/>
      <c r="CR229" s="116"/>
      <c r="CZ229" s="1"/>
      <c r="DA229" s="1"/>
      <c r="DB229" s="1"/>
      <c r="DC229" s="1"/>
      <c r="DD229" s="1"/>
      <c r="DE229" s="1"/>
      <c r="DF229" s="1"/>
      <c r="DG229" s="1"/>
      <c r="DH229" s="656"/>
      <c r="DJ229" s="116"/>
    </row>
    <row r="230" spans="2:114" ht="15.75" customHeight="1" x14ac:dyDescent="0.25">
      <c r="B230" s="116"/>
      <c r="I230" s="656"/>
      <c r="K230" s="116"/>
      <c r="X230" s="1"/>
      <c r="Y230" s="1"/>
      <c r="Z230" s="1"/>
      <c r="AA230" s="1"/>
      <c r="AB230" s="656"/>
      <c r="AC230" s="1"/>
      <c r="AD230" s="116"/>
      <c r="AL230" s="656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43"/>
      <c r="BL230" s="116"/>
      <c r="BU230" s="1"/>
      <c r="BV230" s="1"/>
      <c r="BW230" s="1"/>
      <c r="BX230" s="656"/>
      <c r="BZ230" s="657"/>
      <c r="CA230" s="1"/>
      <c r="CB230" s="1"/>
      <c r="CC230" s="1"/>
      <c r="CD230" s="1"/>
      <c r="CE230" s="1"/>
      <c r="CF230" s="1"/>
      <c r="CG230" s="1"/>
      <c r="CH230" s="1"/>
      <c r="CP230" s="305"/>
      <c r="CR230" s="116"/>
      <c r="CZ230" s="1"/>
      <c r="DA230" s="1"/>
      <c r="DB230" s="1"/>
      <c r="DC230" s="1"/>
      <c r="DD230" s="1"/>
      <c r="DE230" s="1"/>
      <c r="DF230" s="1"/>
      <c r="DG230" s="1"/>
      <c r="DH230" s="656"/>
      <c r="DJ230" s="116"/>
    </row>
    <row r="231" spans="2:114" ht="15.75" customHeight="1" x14ac:dyDescent="0.25">
      <c r="B231" s="116"/>
      <c r="I231" s="656"/>
      <c r="K231" s="116"/>
      <c r="X231" s="1"/>
      <c r="Y231" s="1"/>
      <c r="Z231" s="1"/>
      <c r="AA231" s="1"/>
      <c r="AB231" s="656"/>
      <c r="AC231" s="1"/>
      <c r="AD231" s="116"/>
      <c r="AL231" s="656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43"/>
      <c r="BL231" s="116"/>
      <c r="BU231" s="1"/>
      <c r="BV231" s="1"/>
      <c r="BW231" s="1"/>
      <c r="BX231" s="656"/>
      <c r="BZ231" s="657"/>
      <c r="CA231" s="1"/>
      <c r="CB231" s="1"/>
      <c r="CC231" s="1"/>
      <c r="CD231" s="1"/>
      <c r="CE231" s="1"/>
      <c r="CF231" s="1"/>
      <c r="CG231" s="1"/>
      <c r="CH231" s="1"/>
      <c r="CP231" s="305"/>
      <c r="CR231" s="116"/>
      <c r="CZ231" s="1"/>
      <c r="DA231" s="1"/>
      <c r="DB231" s="1"/>
      <c r="DC231" s="1"/>
      <c r="DD231" s="1"/>
      <c r="DE231" s="1"/>
      <c r="DF231" s="1"/>
      <c r="DG231" s="1"/>
      <c r="DH231" s="656"/>
      <c r="DJ231" s="116"/>
    </row>
    <row r="232" spans="2:114" ht="15.75" customHeight="1" x14ac:dyDescent="0.25">
      <c r="B232" s="116"/>
      <c r="I232" s="656"/>
      <c r="K232" s="116"/>
      <c r="X232" s="1"/>
      <c r="Y232" s="1"/>
      <c r="Z232" s="1"/>
      <c r="AA232" s="1"/>
      <c r="AB232" s="656"/>
      <c r="AC232" s="1"/>
      <c r="AD232" s="116"/>
      <c r="AL232" s="656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43"/>
      <c r="BL232" s="116"/>
      <c r="BU232" s="1"/>
      <c r="BV232" s="1"/>
      <c r="BW232" s="1"/>
      <c r="BX232" s="656"/>
      <c r="BZ232" s="657"/>
      <c r="CA232" s="1"/>
      <c r="CB232" s="1"/>
      <c r="CC232" s="1"/>
      <c r="CD232" s="1"/>
      <c r="CE232" s="1"/>
      <c r="CF232" s="1"/>
      <c r="CG232" s="1"/>
      <c r="CH232" s="1"/>
      <c r="CP232" s="305"/>
      <c r="CR232" s="116"/>
      <c r="CZ232" s="1"/>
      <c r="DA232" s="1"/>
      <c r="DB232" s="1"/>
      <c r="DC232" s="1"/>
      <c r="DD232" s="1"/>
      <c r="DE232" s="1"/>
      <c r="DF232" s="1"/>
      <c r="DG232" s="1"/>
      <c r="DH232" s="656"/>
      <c r="DJ232" s="116"/>
    </row>
    <row r="233" spans="2:114" ht="15.75" customHeight="1" x14ac:dyDescent="0.25">
      <c r="B233" s="116"/>
      <c r="I233" s="656"/>
      <c r="K233" s="116"/>
      <c r="X233" s="1"/>
      <c r="Y233" s="1"/>
      <c r="Z233" s="1"/>
      <c r="AA233" s="1"/>
      <c r="AB233" s="656"/>
      <c r="AC233" s="1"/>
      <c r="AD233" s="116"/>
      <c r="AL233" s="656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43"/>
      <c r="BL233" s="116"/>
      <c r="BU233" s="1"/>
      <c r="BV233" s="1"/>
      <c r="BW233" s="1"/>
      <c r="BX233" s="656"/>
      <c r="BZ233" s="657"/>
      <c r="CA233" s="1"/>
      <c r="CB233" s="1"/>
      <c r="CC233" s="1"/>
      <c r="CD233" s="1"/>
      <c r="CE233" s="1"/>
      <c r="CF233" s="1"/>
      <c r="CG233" s="1"/>
      <c r="CH233" s="1"/>
      <c r="CP233" s="305"/>
      <c r="CR233" s="116"/>
      <c r="CZ233" s="1"/>
      <c r="DA233" s="1"/>
      <c r="DB233" s="1"/>
      <c r="DC233" s="1"/>
      <c r="DD233" s="1"/>
      <c r="DE233" s="1"/>
      <c r="DF233" s="1"/>
      <c r="DG233" s="1"/>
      <c r="DH233" s="656"/>
      <c r="DJ233" s="116"/>
    </row>
    <row r="234" spans="2:114" ht="15.75" customHeight="1" x14ac:dyDescent="0.25">
      <c r="B234" s="116"/>
      <c r="I234" s="656"/>
      <c r="K234" s="116"/>
      <c r="X234" s="1"/>
      <c r="Y234" s="1"/>
      <c r="Z234" s="1"/>
      <c r="AA234" s="1"/>
      <c r="AB234" s="656"/>
      <c r="AC234" s="1"/>
      <c r="AD234" s="116"/>
      <c r="AL234" s="656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43"/>
      <c r="BL234" s="116"/>
      <c r="BU234" s="1"/>
      <c r="BV234" s="1"/>
      <c r="BW234" s="1"/>
      <c r="BX234" s="656"/>
      <c r="BZ234" s="657"/>
      <c r="CA234" s="1"/>
      <c r="CB234" s="1"/>
      <c r="CC234" s="1"/>
      <c r="CD234" s="1"/>
      <c r="CE234" s="1"/>
      <c r="CF234" s="1"/>
      <c r="CG234" s="1"/>
      <c r="CH234" s="1"/>
      <c r="CP234" s="305"/>
      <c r="CR234" s="116"/>
      <c r="CZ234" s="1"/>
      <c r="DA234" s="1"/>
      <c r="DB234" s="1"/>
      <c r="DC234" s="1"/>
      <c r="DD234" s="1"/>
      <c r="DE234" s="1"/>
      <c r="DF234" s="1"/>
      <c r="DG234" s="1"/>
      <c r="DH234" s="656"/>
      <c r="DJ234" s="116"/>
    </row>
    <row r="235" spans="2:114" ht="15.75" customHeight="1" x14ac:dyDescent="0.25">
      <c r="B235" s="116"/>
      <c r="I235" s="656"/>
      <c r="K235" s="116"/>
      <c r="X235" s="1"/>
      <c r="Y235" s="1"/>
      <c r="Z235" s="1"/>
      <c r="AA235" s="1"/>
      <c r="AB235" s="656"/>
      <c r="AC235" s="1"/>
      <c r="AD235" s="116"/>
      <c r="AL235" s="656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43"/>
      <c r="BL235" s="116"/>
      <c r="BU235" s="1"/>
      <c r="BV235" s="1"/>
      <c r="BW235" s="1"/>
      <c r="BX235" s="656"/>
      <c r="BZ235" s="657"/>
      <c r="CA235" s="1"/>
      <c r="CB235" s="1"/>
      <c r="CC235" s="1"/>
      <c r="CD235" s="1"/>
      <c r="CE235" s="1"/>
      <c r="CF235" s="1"/>
      <c r="CG235" s="1"/>
      <c r="CH235" s="1"/>
      <c r="CP235" s="305"/>
      <c r="CR235" s="116"/>
      <c r="CZ235" s="1"/>
      <c r="DA235" s="1"/>
      <c r="DB235" s="1"/>
      <c r="DC235" s="1"/>
      <c r="DD235" s="1"/>
      <c r="DE235" s="1"/>
      <c r="DF235" s="1"/>
      <c r="DG235" s="1"/>
      <c r="DH235" s="656"/>
      <c r="DJ235" s="116"/>
    </row>
    <row r="236" spans="2:114" ht="15.75" customHeight="1" x14ac:dyDescent="0.25">
      <c r="B236" s="116"/>
      <c r="I236" s="656"/>
      <c r="K236" s="116"/>
      <c r="X236" s="1"/>
      <c r="Y236" s="1"/>
      <c r="Z236" s="1"/>
      <c r="AA236" s="1"/>
      <c r="AB236" s="656"/>
      <c r="AC236" s="1"/>
      <c r="AD236" s="116"/>
      <c r="AL236" s="656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43"/>
      <c r="BL236" s="116"/>
      <c r="BU236" s="1"/>
      <c r="BV236" s="1"/>
      <c r="BW236" s="1"/>
      <c r="BX236" s="656"/>
      <c r="BZ236" s="657"/>
      <c r="CA236" s="1"/>
      <c r="CB236" s="1"/>
      <c r="CC236" s="1"/>
      <c r="CD236" s="1"/>
      <c r="CE236" s="1"/>
      <c r="CF236" s="1"/>
      <c r="CG236" s="1"/>
      <c r="CH236" s="1"/>
      <c r="CP236" s="305"/>
      <c r="CR236" s="116"/>
      <c r="CZ236" s="1"/>
      <c r="DA236" s="1"/>
      <c r="DB236" s="1"/>
      <c r="DC236" s="1"/>
      <c r="DD236" s="1"/>
      <c r="DE236" s="1"/>
      <c r="DF236" s="1"/>
      <c r="DG236" s="1"/>
      <c r="DH236" s="656"/>
      <c r="DJ236" s="116"/>
    </row>
    <row r="237" spans="2:114" ht="15.75" customHeight="1" x14ac:dyDescent="0.25">
      <c r="B237" s="116"/>
      <c r="I237" s="656"/>
      <c r="K237" s="116"/>
      <c r="X237" s="1"/>
      <c r="Y237" s="1"/>
      <c r="Z237" s="1"/>
      <c r="AA237" s="1"/>
      <c r="AB237" s="656"/>
      <c r="AC237" s="1"/>
      <c r="AD237" s="116"/>
      <c r="AL237" s="656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43"/>
      <c r="BL237" s="116"/>
      <c r="BU237" s="1"/>
      <c r="BV237" s="1"/>
      <c r="BW237" s="1"/>
      <c r="BX237" s="656"/>
      <c r="BZ237" s="657"/>
      <c r="CA237" s="1"/>
      <c r="CB237" s="1"/>
      <c r="CC237" s="1"/>
      <c r="CD237" s="1"/>
      <c r="CE237" s="1"/>
      <c r="CF237" s="1"/>
      <c r="CG237" s="1"/>
      <c r="CH237" s="1"/>
      <c r="CP237" s="305"/>
      <c r="CR237" s="116"/>
      <c r="CZ237" s="1"/>
      <c r="DA237" s="1"/>
      <c r="DB237" s="1"/>
      <c r="DC237" s="1"/>
      <c r="DD237" s="1"/>
      <c r="DE237" s="1"/>
      <c r="DF237" s="1"/>
      <c r="DG237" s="1"/>
      <c r="DH237" s="656"/>
      <c r="DJ237" s="116"/>
    </row>
    <row r="238" spans="2:114" ht="15.75" customHeight="1" x14ac:dyDescent="0.25">
      <c r="B238" s="116"/>
      <c r="I238" s="656"/>
      <c r="K238" s="116"/>
      <c r="X238" s="1"/>
      <c r="Y238" s="1"/>
      <c r="Z238" s="1"/>
      <c r="AA238" s="1"/>
      <c r="AB238" s="656"/>
      <c r="AC238" s="1"/>
      <c r="AD238" s="116"/>
      <c r="AL238" s="656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43"/>
      <c r="BL238" s="116"/>
      <c r="BU238" s="1"/>
      <c r="BV238" s="1"/>
      <c r="BW238" s="1"/>
      <c r="BX238" s="656"/>
      <c r="BZ238" s="657"/>
      <c r="CA238" s="1"/>
      <c r="CB238" s="1"/>
      <c r="CC238" s="1"/>
      <c r="CD238" s="1"/>
      <c r="CE238" s="1"/>
      <c r="CF238" s="1"/>
      <c r="CG238" s="1"/>
      <c r="CH238" s="1"/>
      <c r="CP238" s="305"/>
      <c r="CR238" s="116"/>
      <c r="CZ238" s="1"/>
      <c r="DA238" s="1"/>
      <c r="DB238" s="1"/>
      <c r="DC238" s="1"/>
      <c r="DD238" s="1"/>
      <c r="DE238" s="1"/>
      <c r="DF238" s="1"/>
      <c r="DG238" s="1"/>
      <c r="DH238" s="656"/>
      <c r="DJ238" s="116"/>
    </row>
    <row r="239" spans="2:114" ht="15.75" customHeight="1" x14ac:dyDescent="0.25">
      <c r="B239" s="116"/>
      <c r="I239" s="656"/>
      <c r="K239" s="116"/>
      <c r="X239" s="1"/>
      <c r="Y239" s="1"/>
      <c r="Z239" s="1"/>
      <c r="AA239" s="1"/>
      <c r="AB239" s="656"/>
      <c r="AC239" s="1"/>
      <c r="AD239" s="116"/>
      <c r="AL239" s="656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43"/>
      <c r="BL239" s="116"/>
      <c r="BU239" s="1"/>
      <c r="BV239" s="1"/>
      <c r="BW239" s="1"/>
      <c r="BX239" s="656"/>
      <c r="BZ239" s="657"/>
      <c r="CA239" s="1"/>
      <c r="CB239" s="1"/>
      <c r="CC239" s="1"/>
      <c r="CD239" s="1"/>
      <c r="CE239" s="1"/>
      <c r="CF239" s="1"/>
      <c r="CG239" s="1"/>
      <c r="CH239" s="1"/>
      <c r="CP239" s="305"/>
      <c r="CR239" s="116"/>
      <c r="CZ239" s="1"/>
      <c r="DA239" s="1"/>
      <c r="DB239" s="1"/>
      <c r="DC239" s="1"/>
      <c r="DD239" s="1"/>
      <c r="DE239" s="1"/>
      <c r="DF239" s="1"/>
      <c r="DG239" s="1"/>
      <c r="DH239" s="656"/>
      <c r="DJ239" s="116"/>
    </row>
    <row r="240" spans="2:114" ht="15.75" customHeight="1" x14ac:dyDescent="0.25">
      <c r="B240" s="116"/>
      <c r="I240" s="656"/>
      <c r="K240" s="116"/>
      <c r="X240" s="1"/>
      <c r="Y240" s="1"/>
      <c r="Z240" s="1"/>
      <c r="AA240" s="1"/>
      <c r="AB240" s="656"/>
      <c r="AC240" s="1"/>
      <c r="AD240" s="116"/>
      <c r="AL240" s="656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43"/>
      <c r="BL240" s="116"/>
      <c r="BU240" s="1"/>
      <c r="BV240" s="1"/>
      <c r="BW240" s="1"/>
      <c r="BX240" s="656"/>
      <c r="BZ240" s="657"/>
      <c r="CA240" s="1"/>
      <c r="CB240" s="1"/>
      <c r="CC240" s="1"/>
      <c r="CD240" s="1"/>
      <c r="CE240" s="1"/>
      <c r="CF240" s="1"/>
      <c r="CG240" s="1"/>
      <c r="CH240" s="1"/>
      <c r="CP240" s="305"/>
      <c r="CR240" s="116"/>
      <c r="CZ240" s="1"/>
      <c r="DA240" s="1"/>
      <c r="DB240" s="1"/>
      <c r="DC240" s="1"/>
      <c r="DD240" s="1"/>
      <c r="DE240" s="1"/>
      <c r="DF240" s="1"/>
      <c r="DG240" s="1"/>
      <c r="DH240" s="656"/>
      <c r="DJ240" s="116"/>
    </row>
    <row r="241" spans="2:114" ht="15.75" customHeight="1" x14ac:dyDescent="0.25">
      <c r="B241" s="116"/>
      <c r="I241" s="656"/>
      <c r="K241" s="116"/>
      <c r="X241" s="1"/>
      <c r="Y241" s="1"/>
      <c r="Z241" s="1"/>
      <c r="AA241" s="1"/>
      <c r="AB241" s="656"/>
      <c r="AC241" s="1"/>
      <c r="AD241" s="116"/>
      <c r="AL241" s="656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43"/>
      <c r="BL241" s="116"/>
      <c r="BU241" s="1"/>
      <c r="BV241" s="1"/>
      <c r="BW241" s="1"/>
      <c r="BX241" s="656"/>
      <c r="BZ241" s="657"/>
      <c r="CA241" s="1"/>
      <c r="CB241" s="1"/>
      <c r="CC241" s="1"/>
      <c r="CD241" s="1"/>
      <c r="CE241" s="1"/>
      <c r="CF241" s="1"/>
      <c r="CG241" s="1"/>
      <c r="CH241" s="1"/>
      <c r="CP241" s="305"/>
      <c r="CR241" s="116"/>
      <c r="CZ241" s="1"/>
      <c r="DA241" s="1"/>
      <c r="DB241" s="1"/>
      <c r="DC241" s="1"/>
      <c r="DD241" s="1"/>
      <c r="DE241" s="1"/>
      <c r="DF241" s="1"/>
      <c r="DG241" s="1"/>
      <c r="DH241" s="656"/>
      <c r="DJ241" s="116"/>
    </row>
    <row r="242" spans="2:114" ht="15.75" customHeight="1" x14ac:dyDescent="0.25">
      <c r="B242" s="116"/>
      <c r="I242" s="656"/>
      <c r="K242" s="116"/>
      <c r="X242" s="1"/>
      <c r="Y242" s="1"/>
      <c r="Z242" s="1"/>
      <c r="AA242" s="1"/>
      <c r="AB242" s="656"/>
      <c r="AC242" s="1"/>
      <c r="AD242" s="116"/>
      <c r="AL242" s="656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43"/>
      <c r="BL242" s="116"/>
      <c r="BU242" s="1"/>
      <c r="BV242" s="1"/>
      <c r="BW242" s="1"/>
      <c r="BX242" s="656"/>
      <c r="BZ242" s="657"/>
      <c r="CA242" s="1"/>
      <c r="CB242" s="1"/>
      <c r="CC242" s="1"/>
      <c r="CD242" s="1"/>
      <c r="CE242" s="1"/>
      <c r="CF242" s="1"/>
      <c r="CG242" s="1"/>
      <c r="CH242" s="1"/>
      <c r="CP242" s="305"/>
      <c r="CR242" s="116"/>
      <c r="CZ242" s="1"/>
      <c r="DA242" s="1"/>
      <c r="DB242" s="1"/>
      <c r="DC242" s="1"/>
      <c r="DD242" s="1"/>
      <c r="DE242" s="1"/>
      <c r="DF242" s="1"/>
      <c r="DG242" s="1"/>
      <c r="DH242" s="656"/>
      <c r="DJ242" s="116"/>
    </row>
    <row r="243" spans="2:114" ht="15.75" customHeight="1" x14ac:dyDescent="0.25">
      <c r="B243" s="116"/>
      <c r="I243" s="656"/>
      <c r="K243" s="116"/>
      <c r="X243" s="1"/>
      <c r="Y243" s="1"/>
      <c r="Z243" s="1"/>
      <c r="AA243" s="1"/>
      <c r="AB243" s="656"/>
      <c r="AC243" s="1"/>
      <c r="AD243" s="116"/>
      <c r="AL243" s="656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43"/>
      <c r="BL243" s="116"/>
      <c r="BU243" s="1"/>
      <c r="BV243" s="1"/>
      <c r="BW243" s="1"/>
      <c r="BX243" s="656"/>
      <c r="BZ243" s="657"/>
      <c r="CA243" s="1"/>
      <c r="CB243" s="1"/>
      <c r="CC243" s="1"/>
      <c r="CD243" s="1"/>
      <c r="CE243" s="1"/>
      <c r="CF243" s="1"/>
      <c r="CG243" s="1"/>
      <c r="CH243" s="1"/>
      <c r="CP243" s="305"/>
      <c r="CR243" s="116"/>
      <c r="CZ243" s="1"/>
      <c r="DA243" s="1"/>
      <c r="DB243" s="1"/>
      <c r="DC243" s="1"/>
      <c r="DD243" s="1"/>
      <c r="DE243" s="1"/>
      <c r="DF243" s="1"/>
      <c r="DG243" s="1"/>
      <c r="DH243" s="656"/>
      <c r="DJ243" s="116"/>
    </row>
    <row r="244" spans="2:114" ht="15.75" customHeight="1" x14ac:dyDescent="0.25">
      <c r="B244" s="116"/>
      <c r="I244" s="656"/>
      <c r="K244" s="116"/>
      <c r="X244" s="1"/>
      <c r="Y244" s="1"/>
      <c r="Z244" s="1"/>
      <c r="AA244" s="1"/>
      <c r="AB244" s="656"/>
      <c r="AC244" s="1"/>
      <c r="AD244" s="116"/>
      <c r="AL244" s="656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43"/>
      <c r="BL244" s="116"/>
      <c r="BU244" s="1"/>
      <c r="BV244" s="1"/>
      <c r="BW244" s="1"/>
      <c r="BX244" s="656"/>
      <c r="BZ244" s="657"/>
      <c r="CA244" s="1"/>
      <c r="CB244" s="1"/>
      <c r="CC244" s="1"/>
      <c r="CD244" s="1"/>
      <c r="CE244" s="1"/>
      <c r="CF244" s="1"/>
      <c r="CG244" s="1"/>
      <c r="CH244" s="1"/>
      <c r="CP244" s="305"/>
      <c r="CR244" s="116"/>
      <c r="CZ244" s="1"/>
      <c r="DA244" s="1"/>
      <c r="DB244" s="1"/>
      <c r="DC244" s="1"/>
      <c r="DD244" s="1"/>
      <c r="DE244" s="1"/>
      <c r="DF244" s="1"/>
      <c r="DG244" s="1"/>
      <c r="DH244" s="656"/>
      <c r="DJ244" s="116"/>
    </row>
    <row r="245" spans="2:114" ht="15.75" customHeight="1" x14ac:dyDescent="0.25">
      <c r="B245" s="116"/>
      <c r="I245" s="656"/>
      <c r="K245" s="116"/>
      <c r="X245" s="1"/>
      <c r="Y245" s="1"/>
      <c r="Z245" s="1"/>
      <c r="AA245" s="1"/>
      <c r="AB245" s="656"/>
      <c r="AC245" s="1"/>
      <c r="AD245" s="116"/>
      <c r="AL245" s="656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43"/>
      <c r="BL245" s="116"/>
      <c r="BU245" s="1"/>
      <c r="BV245" s="1"/>
      <c r="BW245" s="1"/>
      <c r="BX245" s="656"/>
      <c r="BZ245" s="657"/>
      <c r="CA245" s="1"/>
      <c r="CB245" s="1"/>
      <c r="CC245" s="1"/>
      <c r="CD245" s="1"/>
      <c r="CE245" s="1"/>
      <c r="CF245" s="1"/>
      <c r="CG245" s="1"/>
      <c r="CH245" s="1"/>
      <c r="CP245" s="305"/>
      <c r="CR245" s="116"/>
      <c r="CZ245" s="1"/>
      <c r="DA245" s="1"/>
      <c r="DB245" s="1"/>
      <c r="DC245" s="1"/>
      <c r="DD245" s="1"/>
      <c r="DE245" s="1"/>
      <c r="DF245" s="1"/>
      <c r="DG245" s="1"/>
      <c r="DH245" s="656"/>
      <c r="DJ245" s="116"/>
    </row>
    <row r="246" spans="2:114" ht="15.75" customHeight="1" x14ac:dyDescent="0.25">
      <c r="B246" s="116"/>
      <c r="I246" s="656"/>
      <c r="K246" s="116"/>
      <c r="X246" s="1"/>
      <c r="Y246" s="1"/>
      <c r="Z246" s="1"/>
      <c r="AA246" s="1"/>
      <c r="AB246" s="656"/>
      <c r="AC246" s="1"/>
      <c r="AD246" s="116"/>
      <c r="AL246" s="656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43"/>
      <c r="BL246" s="116"/>
      <c r="BU246" s="1"/>
      <c r="BV246" s="1"/>
      <c r="BW246" s="1"/>
      <c r="BX246" s="656"/>
      <c r="BZ246" s="657"/>
      <c r="CA246" s="1"/>
      <c r="CB246" s="1"/>
      <c r="CC246" s="1"/>
      <c r="CD246" s="1"/>
      <c r="CE246" s="1"/>
      <c r="CF246" s="1"/>
      <c r="CG246" s="1"/>
      <c r="CH246" s="1"/>
      <c r="CP246" s="305"/>
      <c r="CR246" s="116"/>
      <c r="CZ246" s="1"/>
      <c r="DA246" s="1"/>
      <c r="DB246" s="1"/>
      <c r="DC246" s="1"/>
      <c r="DD246" s="1"/>
      <c r="DE246" s="1"/>
      <c r="DF246" s="1"/>
      <c r="DG246" s="1"/>
      <c r="DH246" s="656"/>
      <c r="DJ246" s="116"/>
    </row>
    <row r="247" spans="2:114" ht="15.75" customHeight="1" x14ac:dyDescent="0.25">
      <c r="B247" s="116"/>
      <c r="I247" s="656"/>
      <c r="K247" s="116"/>
      <c r="X247" s="1"/>
      <c r="Y247" s="1"/>
      <c r="Z247" s="1"/>
      <c r="AA247" s="1"/>
      <c r="AB247" s="656"/>
      <c r="AC247" s="1"/>
      <c r="AD247" s="116"/>
      <c r="AL247" s="656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43"/>
      <c r="BL247" s="116"/>
      <c r="BU247" s="1"/>
      <c r="BV247" s="1"/>
      <c r="BW247" s="1"/>
      <c r="BX247" s="656"/>
      <c r="BZ247" s="657"/>
      <c r="CA247" s="1"/>
      <c r="CB247" s="1"/>
      <c r="CC247" s="1"/>
      <c r="CD247" s="1"/>
      <c r="CE247" s="1"/>
      <c r="CF247" s="1"/>
      <c r="CG247" s="1"/>
      <c r="CH247" s="1"/>
      <c r="CP247" s="305"/>
      <c r="CR247" s="116"/>
      <c r="CZ247" s="1"/>
      <c r="DA247" s="1"/>
      <c r="DB247" s="1"/>
      <c r="DC247" s="1"/>
      <c r="DD247" s="1"/>
      <c r="DE247" s="1"/>
      <c r="DF247" s="1"/>
      <c r="DG247" s="1"/>
      <c r="DH247" s="656"/>
      <c r="DJ247" s="116"/>
    </row>
    <row r="248" spans="2:114" ht="15.75" customHeight="1" x14ac:dyDescent="0.25">
      <c r="B248" s="116"/>
      <c r="I248" s="656"/>
      <c r="K248" s="116"/>
      <c r="X248" s="1"/>
      <c r="Y248" s="1"/>
      <c r="Z248" s="1"/>
      <c r="AA248" s="1"/>
      <c r="AB248" s="656"/>
      <c r="AC248" s="1"/>
      <c r="AD248" s="116"/>
      <c r="AL248" s="656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43"/>
      <c r="BL248" s="116"/>
      <c r="BU248" s="1"/>
      <c r="BV248" s="1"/>
      <c r="BW248" s="1"/>
      <c r="BX248" s="656"/>
      <c r="BZ248" s="657"/>
      <c r="CA248" s="1"/>
      <c r="CB248" s="1"/>
      <c r="CC248" s="1"/>
      <c r="CD248" s="1"/>
      <c r="CE248" s="1"/>
      <c r="CF248" s="1"/>
      <c r="CG248" s="1"/>
      <c r="CH248" s="1"/>
      <c r="CP248" s="305"/>
      <c r="CR248" s="116"/>
      <c r="CZ248" s="1"/>
      <c r="DA248" s="1"/>
      <c r="DB248" s="1"/>
      <c r="DC248" s="1"/>
      <c r="DD248" s="1"/>
      <c r="DE248" s="1"/>
      <c r="DF248" s="1"/>
      <c r="DG248" s="1"/>
      <c r="DH248" s="656"/>
      <c r="DJ248" s="116"/>
    </row>
    <row r="249" spans="2:114" ht="15.75" customHeight="1" x14ac:dyDescent="0.25">
      <c r="B249" s="116"/>
      <c r="I249" s="656"/>
      <c r="K249" s="116"/>
      <c r="X249" s="1"/>
      <c r="Y249" s="1"/>
      <c r="Z249" s="1"/>
      <c r="AA249" s="1"/>
      <c r="AB249" s="656"/>
      <c r="AC249" s="1"/>
      <c r="AD249" s="116"/>
      <c r="AL249" s="656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43"/>
      <c r="BL249" s="116"/>
      <c r="BU249" s="1"/>
      <c r="BV249" s="1"/>
      <c r="BW249" s="1"/>
      <c r="BX249" s="656"/>
      <c r="BZ249" s="657"/>
      <c r="CA249" s="1"/>
      <c r="CB249" s="1"/>
      <c r="CC249" s="1"/>
      <c r="CD249" s="1"/>
      <c r="CE249" s="1"/>
      <c r="CF249" s="1"/>
      <c r="CG249" s="1"/>
      <c r="CH249" s="1"/>
      <c r="CP249" s="305"/>
      <c r="CR249" s="116"/>
      <c r="CZ249" s="1"/>
      <c r="DA249" s="1"/>
      <c r="DB249" s="1"/>
      <c r="DC249" s="1"/>
      <c r="DD249" s="1"/>
      <c r="DE249" s="1"/>
      <c r="DF249" s="1"/>
      <c r="DG249" s="1"/>
      <c r="DH249" s="656"/>
      <c r="DJ249" s="116"/>
    </row>
    <row r="250" spans="2:114" ht="15.75" customHeight="1" x14ac:dyDescent="0.25">
      <c r="B250" s="116"/>
      <c r="I250" s="656"/>
      <c r="K250" s="116"/>
      <c r="X250" s="1"/>
      <c r="Y250" s="1"/>
      <c r="Z250" s="1"/>
      <c r="AA250" s="1"/>
      <c r="AB250" s="656"/>
      <c r="AC250" s="1"/>
      <c r="AD250" s="116"/>
      <c r="AL250" s="656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43"/>
      <c r="BL250" s="116"/>
      <c r="BU250" s="1"/>
      <c r="BV250" s="1"/>
      <c r="BW250" s="1"/>
      <c r="BX250" s="656"/>
      <c r="BZ250" s="657"/>
      <c r="CA250" s="1"/>
      <c r="CB250" s="1"/>
      <c r="CC250" s="1"/>
      <c r="CD250" s="1"/>
      <c r="CE250" s="1"/>
      <c r="CF250" s="1"/>
      <c r="CG250" s="1"/>
      <c r="CH250" s="1"/>
      <c r="CP250" s="305"/>
      <c r="CR250" s="116"/>
      <c r="CZ250" s="1"/>
      <c r="DA250" s="1"/>
      <c r="DB250" s="1"/>
      <c r="DC250" s="1"/>
      <c r="DD250" s="1"/>
      <c r="DE250" s="1"/>
      <c r="DF250" s="1"/>
      <c r="DG250" s="1"/>
      <c r="DH250" s="656"/>
      <c r="DJ250" s="116"/>
    </row>
    <row r="251" spans="2:114" ht="15.75" customHeight="1" x14ac:dyDescent="0.25">
      <c r="B251" s="116"/>
      <c r="I251" s="656"/>
      <c r="K251" s="116"/>
      <c r="X251" s="1"/>
      <c r="Y251" s="1"/>
      <c r="Z251" s="1"/>
      <c r="AA251" s="1"/>
      <c r="AB251" s="656"/>
      <c r="AC251" s="1"/>
      <c r="AD251" s="116"/>
      <c r="AL251" s="656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43"/>
      <c r="BL251" s="116"/>
      <c r="BU251" s="1"/>
      <c r="BV251" s="1"/>
      <c r="BW251" s="1"/>
      <c r="BX251" s="656"/>
      <c r="BZ251" s="657"/>
      <c r="CA251" s="1"/>
      <c r="CB251" s="1"/>
      <c r="CC251" s="1"/>
      <c r="CD251" s="1"/>
      <c r="CE251" s="1"/>
      <c r="CF251" s="1"/>
      <c r="CG251" s="1"/>
      <c r="CH251" s="1"/>
      <c r="CP251" s="305"/>
      <c r="CR251" s="116"/>
      <c r="CZ251" s="1"/>
      <c r="DA251" s="1"/>
      <c r="DB251" s="1"/>
      <c r="DC251" s="1"/>
      <c r="DD251" s="1"/>
      <c r="DE251" s="1"/>
      <c r="DF251" s="1"/>
      <c r="DG251" s="1"/>
      <c r="DH251" s="656"/>
      <c r="DJ251" s="116"/>
    </row>
    <row r="252" spans="2:114" ht="15.75" customHeight="1" x14ac:dyDescent="0.25">
      <c r="B252" s="116"/>
      <c r="I252" s="656"/>
      <c r="K252" s="116"/>
      <c r="X252" s="1"/>
      <c r="Y252" s="1"/>
      <c r="Z252" s="1"/>
      <c r="AA252" s="1"/>
      <c r="AB252" s="656"/>
      <c r="AC252" s="1"/>
      <c r="AD252" s="116"/>
      <c r="AL252" s="656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43"/>
      <c r="BL252" s="116"/>
      <c r="BU252" s="1"/>
      <c r="BV252" s="1"/>
      <c r="BW252" s="1"/>
      <c r="BX252" s="656"/>
      <c r="BZ252" s="657"/>
      <c r="CA252" s="1"/>
      <c r="CB252" s="1"/>
      <c r="CC252" s="1"/>
      <c r="CD252" s="1"/>
      <c r="CE252" s="1"/>
      <c r="CF252" s="1"/>
      <c r="CG252" s="1"/>
      <c r="CH252" s="1"/>
      <c r="CP252" s="305"/>
      <c r="CR252" s="116"/>
      <c r="CZ252" s="1"/>
      <c r="DA252" s="1"/>
      <c r="DB252" s="1"/>
      <c r="DC252" s="1"/>
      <c r="DD252" s="1"/>
      <c r="DE252" s="1"/>
      <c r="DF252" s="1"/>
      <c r="DG252" s="1"/>
      <c r="DH252" s="656"/>
      <c r="DJ252" s="116"/>
    </row>
    <row r="253" spans="2:114" ht="15.75" customHeight="1" x14ac:dyDescent="0.25">
      <c r="B253" s="116"/>
      <c r="I253" s="656"/>
      <c r="K253" s="116"/>
      <c r="X253" s="1"/>
      <c r="Y253" s="1"/>
      <c r="Z253" s="1"/>
      <c r="AA253" s="1"/>
      <c r="AB253" s="656"/>
      <c r="AC253" s="1"/>
      <c r="AD253" s="116"/>
      <c r="AL253" s="656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43"/>
      <c r="BL253" s="116"/>
      <c r="BU253" s="1"/>
      <c r="BV253" s="1"/>
      <c r="BW253" s="1"/>
      <c r="BX253" s="656"/>
      <c r="BZ253" s="657"/>
      <c r="CA253" s="1"/>
      <c r="CB253" s="1"/>
      <c r="CC253" s="1"/>
      <c r="CD253" s="1"/>
      <c r="CE253" s="1"/>
      <c r="CF253" s="1"/>
      <c r="CG253" s="1"/>
      <c r="CH253" s="1"/>
      <c r="CP253" s="305"/>
      <c r="CR253" s="116"/>
      <c r="CZ253" s="1"/>
      <c r="DA253" s="1"/>
      <c r="DB253" s="1"/>
      <c r="DC253" s="1"/>
      <c r="DD253" s="1"/>
      <c r="DE253" s="1"/>
      <c r="DF253" s="1"/>
      <c r="DG253" s="1"/>
      <c r="DH253" s="656"/>
      <c r="DJ253" s="116"/>
    </row>
    <row r="254" spans="2:114" ht="15.75" customHeight="1" x14ac:dyDescent="0.25">
      <c r="B254" s="116"/>
      <c r="I254" s="656"/>
      <c r="K254" s="116"/>
      <c r="X254" s="1"/>
      <c r="Y254" s="1"/>
      <c r="Z254" s="1"/>
      <c r="AA254" s="1"/>
      <c r="AB254" s="656"/>
      <c r="AC254" s="1"/>
      <c r="AD254" s="116"/>
      <c r="AL254" s="656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43"/>
      <c r="BL254" s="116"/>
      <c r="BU254" s="1"/>
      <c r="BV254" s="1"/>
      <c r="BW254" s="1"/>
      <c r="BX254" s="656"/>
      <c r="BZ254" s="657"/>
      <c r="CA254" s="1"/>
      <c r="CB254" s="1"/>
      <c r="CC254" s="1"/>
      <c r="CD254" s="1"/>
      <c r="CE254" s="1"/>
      <c r="CF254" s="1"/>
      <c r="CG254" s="1"/>
      <c r="CH254" s="1"/>
      <c r="CP254" s="305"/>
      <c r="CR254" s="116"/>
      <c r="CZ254" s="1"/>
      <c r="DA254" s="1"/>
      <c r="DB254" s="1"/>
      <c r="DC254" s="1"/>
      <c r="DD254" s="1"/>
      <c r="DE254" s="1"/>
      <c r="DF254" s="1"/>
      <c r="DG254" s="1"/>
      <c r="DH254" s="656"/>
      <c r="DJ254" s="116"/>
    </row>
    <row r="255" spans="2:114" ht="15.75" customHeight="1" x14ac:dyDescent="0.25">
      <c r="B255" s="116"/>
      <c r="I255" s="656"/>
      <c r="K255" s="116"/>
      <c r="X255" s="1"/>
      <c r="Y255" s="1"/>
      <c r="Z255" s="1"/>
      <c r="AA255" s="1"/>
      <c r="AB255" s="656"/>
      <c r="AC255" s="1"/>
      <c r="AD255" s="116"/>
      <c r="AL255" s="656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43"/>
      <c r="BL255" s="116"/>
      <c r="BU255" s="1"/>
      <c r="BV255" s="1"/>
      <c r="BW255" s="1"/>
      <c r="BX255" s="656"/>
      <c r="BZ255" s="657"/>
      <c r="CA255" s="1"/>
      <c r="CB255" s="1"/>
      <c r="CC255" s="1"/>
      <c r="CD255" s="1"/>
      <c r="CE255" s="1"/>
      <c r="CF255" s="1"/>
      <c r="CG255" s="1"/>
      <c r="CH255" s="1"/>
      <c r="CP255" s="305"/>
      <c r="CR255" s="116"/>
      <c r="CZ255" s="1"/>
      <c r="DA255" s="1"/>
      <c r="DB255" s="1"/>
      <c r="DC255" s="1"/>
      <c r="DD255" s="1"/>
      <c r="DE255" s="1"/>
      <c r="DF255" s="1"/>
      <c r="DG255" s="1"/>
      <c r="DH255" s="656"/>
      <c r="DJ255" s="116"/>
    </row>
    <row r="256" spans="2:114" ht="15.75" customHeight="1" x14ac:dyDescent="0.25">
      <c r="B256" s="116"/>
      <c r="I256" s="656"/>
      <c r="K256" s="116"/>
      <c r="X256" s="1"/>
      <c r="Y256" s="1"/>
      <c r="Z256" s="1"/>
      <c r="AA256" s="1"/>
      <c r="AB256" s="656"/>
      <c r="AC256" s="1"/>
      <c r="AD256" s="116"/>
      <c r="AL256" s="656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43"/>
      <c r="BL256" s="116"/>
      <c r="BU256" s="1"/>
      <c r="BV256" s="1"/>
      <c r="BW256" s="1"/>
      <c r="BX256" s="656"/>
      <c r="BZ256" s="657"/>
      <c r="CA256" s="1"/>
      <c r="CB256" s="1"/>
      <c r="CC256" s="1"/>
      <c r="CD256" s="1"/>
      <c r="CE256" s="1"/>
      <c r="CF256" s="1"/>
      <c r="CG256" s="1"/>
      <c r="CH256" s="1"/>
      <c r="CP256" s="305"/>
      <c r="CR256" s="116"/>
      <c r="CZ256" s="1"/>
      <c r="DA256" s="1"/>
      <c r="DB256" s="1"/>
      <c r="DC256" s="1"/>
      <c r="DD256" s="1"/>
      <c r="DE256" s="1"/>
      <c r="DF256" s="1"/>
      <c r="DG256" s="1"/>
      <c r="DH256" s="656"/>
      <c r="DJ256" s="116"/>
    </row>
    <row r="257" spans="2:114" ht="15.75" customHeight="1" x14ac:dyDescent="0.25">
      <c r="B257" s="116"/>
      <c r="I257" s="656"/>
      <c r="K257" s="116"/>
      <c r="X257" s="1"/>
      <c r="Y257" s="1"/>
      <c r="Z257" s="1"/>
      <c r="AA257" s="1"/>
      <c r="AB257" s="656"/>
      <c r="AC257" s="1"/>
      <c r="AD257" s="116"/>
      <c r="AL257" s="656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43"/>
      <c r="BL257" s="116"/>
      <c r="BU257" s="1"/>
      <c r="BV257" s="1"/>
      <c r="BW257" s="1"/>
      <c r="BX257" s="656"/>
      <c r="BZ257" s="657"/>
      <c r="CA257" s="1"/>
      <c r="CB257" s="1"/>
      <c r="CC257" s="1"/>
      <c r="CD257" s="1"/>
      <c r="CE257" s="1"/>
      <c r="CF257" s="1"/>
      <c r="CG257" s="1"/>
      <c r="CH257" s="1"/>
      <c r="CP257" s="305"/>
      <c r="CR257" s="116"/>
      <c r="CZ257" s="1"/>
      <c r="DA257" s="1"/>
      <c r="DB257" s="1"/>
      <c r="DC257" s="1"/>
      <c r="DD257" s="1"/>
      <c r="DE257" s="1"/>
      <c r="DF257" s="1"/>
      <c r="DG257" s="1"/>
      <c r="DH257" s="656"/>
      <c r="DJ257" s="116"/>
    </row>
    <row r="258" spans="2:114" ht="15.75" customHeight="1" x14ac:dyDescent="0.25">
      <c r="B258" s="116"/>
      <c r="I258" s="656"/>
      <c r="K258" s="116"/>
      <c r="X258" s="1"/>
      <c r="Y258" s="1"/>
      <c r="Z258" s="1"/>
      <c r="AA258" s="1"/>
      <c r="AB258" s="656"/>
      <c r="AC258" s="1"/>
      <c r="AD258" s="116"/>
      <c r="AL258" s="656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43"/>
      <c r="BL258" s="116"/>
      <c r="BU258" s="1"/>
      <c r="BV258" s="1"/>
      <c r="BW258" s="1"/>
      <c r="BX258" s="656"/>
      <c r="BZ258" s="657"/>
      <c r="CA258" s="1"/>
      <c r="CB258" s="1"/>
      <c r="CC258" s="1"/>
      <c r="CD258" s="1"/>
      <c r="CE258" s="1"/>
      <c r="CF258" s="1"/>
      <c r="CG258" s="1"/>
      <c r="CH258" s="1"/>
      <c r="CP258" s="305"/>
      <c r="CR258" s="116"/>
      <c r="CZ258" s="1"/>
      <c r="DA258" s="1"/>
      <c r="DB258" s="1"/>
      <c r="DC258" s="1"/>
      <c r="DD258" s="1"/>
      <c r="DE258" s="1"/>
      <c r="DF258" s="1"/>
      <c r="DG258" s="1"/>
      <c r="DH258" s="656"/>
      <c r="DJ258" s="116"/>
    </row>
    <row r="259" spans="2:114" ht="15.75" customHeight="1" x14ac:dyDescent="0.25">
      <c r="B259" s="116"/>
      <c r="I259" s="656"/>
      <c r="K259" s="116"/>
      <c r="X259" s="1"/>
      <c r="Y259" s="1"/>
      <c r="Z259" s="1"/>
      <c r="AA259" s="1"/>
      <c r="AB259" s="656"/>
      <c r="AC259" s="1"/>
      <c r="AD259" s="116"/>
      <c r="AL259" s="656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43"/>
      <c r="BL259" s="116"/>
      <c r="BU259" s="1"/>
      <c r="BV259" s="1"/>
      <c r="BW259" s="1"/>
      <c r="BX259" s="656"/>
      <c r="BZ259" s="657"/>
      <c r="CA259" s="1"/>
      <c r="CB259" s="1"/>
      <c r="CC259" s="1"/>
      <c r="CD259" s="1"/>
      <c r="CE259" s="1"/>
      <c r="CF259" s="1"/>
      <c r="CG259" s="1"/>
      <c r="CH259" s="1"/>
      <c r="CP259" s="305"/>
      <c r="CR259" s="116"/>
      <c r="CZ259" s="1"/>
      <c r="DA259" s="1"/>
      <c r="DB259" s="1"/>
      <c r="DC259" s="1"/>
      <c r="DD259" s="1"/>
      <c r="DE259" s="1"/>
      <c r="DF259" s="1"/>
      <c r="DG259" s="1"/>
      <c r="DH259" s="656"/>
      <c r="DJ259" s="116"/>
    </row>
    <row r="260" spans="2:114" ht="15.75" customHeight="1" x14ac:dyDescent="0.25">
      <c r="B260" s="116"/>
      <c r="I260" s="656"/>
      <c r="K260" s="116"/>
      <c r="X260" s="1"/>
      <c r="Y260" s="1"/>
      <c r="Z260" s="1"/>
      <c r="AA260" s="1"/>
      <c r="AB260" s="656"/>
      <c r="AC260" s="1"/>
      <c r="AD260" s="116"/>
      <c r="AL260" s="656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43"/>
      <c r="BL260" s="116"/>
      <c r="BU260" s="1"/>
      <c r="BV260" s="1"/>
      <c r="BW260" s="1"/>
      <c r="BX260" s="656"/>
      <c r="BZ260" s="657"/>
      <c r="CA260" s="1"/>
      <c r="CB260" s="1"/>
      <c r="CC260" s="1"/>
      <c r="CD260" s="1"/>
      <c r="CE260" s="1"/>
      <c r="CF260" s="1"/>
      <c r="CG260" s="1"/>
      <c r="CH260" s="1"/>
      <c r="CP260" s="305"/>
      <c r="CR260" s="116"/>
      <c r="CZ260" s="1"/>
      <c r="DA260" s="1"/>
      <c r="DB260" s="1"/>
      <c r="DC260" s="1"/>
      <c r="DD260" s="1"/>
      <c r="DE260" s="1"/>
      <c r="DF260" s="1"/>
      <c r="DG260" s="1"/>
      <c r="DH260" s="656"/>
      <c r="DJ260" s="116"/>
    </row>
    <row r="261" spans="2:114" ht="15.75" customHeight="1" x14ac:dyDescent="0.25">
      <c r="B261" s="116"/>
      <c r="I261" s="656"/>
      <c r="K261" s="116"/>
      <c r="X261" s="1"/>
      <c r="Y261" s="1"/>
      <c r="Z261" s="1"/>
      <c r="AA261" s="1"/>
      <c r="AB261" s="656"/>
      <c r="AC261" s="1"/>
      <c r="AD261" s="116"/>
      <c r="AL261" s="656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43"/>
      <c r="BL261" s="116"/>
      <c r="BU261" s="1"/>
      <c r="BV261" s="1"/>
      <c r="BW261" s="1"/>
      <c r="BX261" s="656"/>
      <c r="BZ261" s="657"/>
      <c r="CA261" s="1"/>
      <c r="CB261" s="1"/>
      <c r="CC261" s="1"/>
      <c r="CD261" s="1"/>
      <c r="CE261" s="1"/>
      <c r="CF261" s="1"/>
      <c r="CG261" s="1"/>
      <c r="CH261" s="1"/>
      <c r="CP261" s="305"/>
      <c r="CR261" s="116"/>
      <c r="CZ261" s="1"/>
      <c r="DA261" s="1"/>
      <c r="DB261" s="1"/>
      <c r="DC261" s="1"/>
      <c r="DD261" s="1"/>
      <c r="DE261" s="1"/>
      <c r="DF261" s="1"/>
      <c r="DG261" s="1"/>
      <c r="DH261" s="656"/>
      <c r="DJ261" s="116"/>
    </row>
    <row r="262" spans="2:114" ht="15.75" customHeight="1" x14ac:dyDescent="0.25">
      <c r="B262" s="116"/>
      <c r="I262" s="656"/>
      <c r="K262" s="116"/>
      <c r="X262" s="1"/>
      <c r="Y262" s="1"/>
      <c r="Z262" s="1"/>
      <c r="AA262" s="1"/>
      <c r="AB262" s="656"/>
      <c r="AC262" s="1"/>
      <c r="AD262" s="116"/>
      <c r="AL262" s="656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43"/>
      <c r="BL262" s="116"/>
      <c r="BU262" s="1"/>
      <c r="BV262" s="1"/>
      <c r="BW262" s="1"/>
      <c r="BX262" s="656"/>
      <c r="BZ262" s="657"/>
      <c r="CA262" s="1"/>
      <c r="CB262" s="1"/>
      <c r="CC262" s="1"/>
      <c r="CD262" s="1"/>
      <c r="CE262" s="1"/>
      <c r="CF262" s="1"/>
      <c r="CG262" s="1"/>
      <c r="CH262" s="1"/>
      <c r="CP262" s="305"/>
      <c r="CR262" s="116"/>
      <c r="CZ262" s="1"/>
      <c r="DA262" s="1"/>
      <c r="DB262" s="1"/>
      <c r="DC262" s="1"/>
      <c r="DD262" s="1"/>
      <c r="DE262" s="1"/>
      <c r="DF262" s="1"/>
      <c r="DG262" s="1"/>
      <c r="DH262" s="656"/>
      <c r="DJ262" s="116"/>
    </row>
    <row r="263" spans="2:114" ht="15.75" customHeight="1" x14ac:dyDescent="0.25">
      <c r="B263" s="116"/>
      <c r="I263" s="656"/>
      <c r="K263" s="116"/>
      <c r="X263" s="1"/>
      <c r="Y263" s="1"/>
      <c r="Z263" s="1"/>
      <c r="AA263" s="1"/>
      <c r="AB263" s="656"/>
      <c r="AC263" s="1"/>
      <c r="AD263" s="116"/>
      <c r="AL263" s="656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43"/>
      <c r="BL263" s="116"/>
      <c r="BU263" s="1"/>
      <c r="BV263" s="1"/>
      <c r="BW263" s="1"/>
      <c r="BX263" s="656"/>
      <c r="BZ263" s="657"/>
      <c r="CA263" s="1"/>
      <c r="CB263" s="1"/>
      <c r="CC263" s="1"/>
      <c r="CD263" s="1"/>
      <c r="CE263" s="1"/>
      <c r="CF263" s="1"/>
      <c r="CG263" s="1"/>
      <c r="CH263" s="1"/>
      <c r="CP263" s="305"/>
      <c r="CR263" s="116"/>
      <c r="CZ263" s="1"/>
      <c r="DA263" s="1"/>
      <c r="DB263" s="1"/>
      <c r="DC263" s="1"/>
      <c r="DD263" s="1"/>
      <c r="DE263" s="1"/>
      <c r="DF263" s="1"/>
      <c r="DG263" s="1"/>
      <c r="DH263" s="656"/>
      <c r="DJ263" s="116"/>
    </row>
    <row r="264" spans="2:114" ht="15.75" customHeight="1" x14ac:dyDescent="0.25">
      <c r="B264" s="116"/>
      <c r="I264" s="656"/>
      <c r="K264" s="116"/>
      <c r="X264" s="1"/>
      <c r="Y264" s="1"/>
      <c r="Z264" s="1"/>
      <c r="AA264" s="1"/>
      <c r="AB264" s="656"/>
      <c r="AC264" s="1"/>
      <c r="AD264" s="116"/>
      <c r="AL264" s="656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43"/>
      <c r="BL264" s="116"/>
      <c r="BU264" s="1"/>
      <c r="BV264" s="1"/>
      <c r="BW264" s="1"/>
      <c r="BX264" s="656"/>
      <c r="BZ264" s="657"/>
      <c r="CA264" s="1"/>
      <c r="CB264" s="1"/>
      <c r="CC264" s="1"/>
      <c r="CD264" s="1"/>
      <c r="CE264" s="1"/>
      <c r="CF264" s="1"/>
      <c r="CG264" s="1"/>
      <c r="CH264" s="1"/>
      <c r="CP264" s="305"/>
      <c r="CR264" s="116"/>
      <c r="CZ264" s="1"/>
      <c r="DA264" s="1"/>
      <c r="DB264" s="1"/>
      <c r="DC264" s="1"/>
      <c r="DD264" s="1"/>
      <c r="DE264" s="1"/>
      <c r="DF264" s="1"/>
      <c r="DG264" s="1"/>
      <c r="DH264" s="656"/>
      <c r="DJ264" s="116"/>
    </row>
    <row r="265" spans="2:114" ht="15.75" customHeight="1" x14ac:dyDescent="0.25">
      <c r="B265" s="116"/>
      <c r="I265" s="656"/>
      <c r="K265" s="116"/>
      <c r="X265" s="1"/>
      <c r="Y265" s="1"/>
      <c r="Z265" s="1"/>
      <c r="AA265" s="1"/>
      <c r="AB265" s="656"/>
      <c r="AC265" s="1"/>
      <c r="AD265" s="116"/>
      <c r="AL265" s="656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43"/>
      <c r="BL265" s="116"/>
      <c r="BU265" s="1"/>
      <c r="BV265" s="1"/>
      <c r="BW265" s="1"/>
      <c r="BX265" s="656"/>
      <c r="BZ265" s="657"/>
      <c r="CA265" s="1"/>
      <c r="CB265" s="1"/>
      <c r="CC265" s="1"/>
      <c r="CD265" s="1"/>
      <c r="CE265" s="1"/>
      <c r="CF265" s="1"/>
      <c r="CG265" s="1"/>
      <c r="CH265" s="1"/>
      <c r="CP265" s="305"/>
      <c r="CR265" s="116"/>
      <c r="CZ265" s="1"/>
      <c r="DA265" s="1"/>
      <c r="DB265" s="1"/>
      <c r="DC265" s="1"/>
      <c r="DD265" s="1"/>
      <c r="DE265" s="1"/>
      <c r="DF265" s="1"/>
      <c r="DG265" s="1"/>
      <c r="DH265" s="656"/>
      <c r="DJ265" s="116"/>
    </row>
    <row r="266" spans="2:114" ht="15.75" customHeight="1" x14ac:dyDescent="0.25">
      <c r="B266" s="116"/>
      <c r="I266" s="656"/>
      <c r="K266" s="116"/>
      <c r="X266" s="1"/>
      <c r="Y266" s="1"/>
      <c r="Z266" s="1"/>
      <c r="AA266" s="1"/>
      <c r="AB266" s="656"/>
      <c r="AC266" s="1"/>
      <c r="AD266" s="116"/>
      <c r="AL266" s="656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43"/>
      <c r="BL266" s="116"/>
      <c r="BU266" s="1"/>
      <c r="BV266" s="1"/>
      <c r="BW266" s="1"/>
      <c r="BX266" s="656"/>
      <c r="BZ266" s="657"/>
      <c r="CA266" s="1"/>
      <c r="CB266" s="1"/>
      <c r="CC266" s="1"/>
      <c r="CD266" s="1"/>
      <c r="CE266" s="1"/>
      <c r="CF266" s="1"/>
      <c r="CG266" s="1"/>
      <c r="CH266" s="1"/>
      <c r="CP266" s="305"/>
      <c r="CR266" s="116"/>
      <c r="CZ266" s="1"/>
      <c r="DA266" s="1"/>
      <c r="DB266" s="1"/>
      <c r="DC266" s="1"/>
      <c r="DD266" s="1"/>
      <c r="DE266" s="1"/>
      <c r="DF266" s="1"/>
      <c r="DG266" s="1"/>
      <c r="DH266" s="656"/>
      <c r="DJ266" s="116"/>
    </row>
    <row r="267" spans="2:114" ht="15.75" customHeight="1" x14ac:dyDescent="0.25">
      <c r="B267" s="116"/>
      <c r="I267" s="656"/>
      <c r="K267" s="116"/>
      <c r="X267" s="1"/>
      <c r="Y267" s="1"/>
      <c r="Z267" s="1"/>
      <c r="AA267" s="1"/>
      <c r="AB267" s="656"/>
      <c r="AC267" s="1"/>
      <c r="AD267" s="116"/>
      <c r="AL267" s="656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43"/>
      <c r="BL267" s="116"/>
      <c r="BU267" s="1"/>
      <c r="BV267" s="1"/>
      <c r="BW267" s="1"/>
      <c r="BX267" s="656"/>
      <c r="BZ267" s="657"/>
      <c r="CA267" s="1"/>
      <c r="CB267" s="1"/>
      <c r="CC267" s="1"/>
      <c r="CD267" s="1"/>
      <c r="CE267" s="1"/>
      <c r="CF267" s="1"/>
      <c r="CG267" s="1"/>
      <c r="CH267" s="1"/>
      <c r="CP267" s="305"/>
      <c r="CR267" s="116"/>
      <c r="CZ267" s="1"/>
      <c r="DA267" s="1"/>
      <c r="DB267" s="1"/>
      <c r="DC267" s="1"/>
      <c r="DD267" s="1"/>
      <c r="DE267" s="1"/>
      <c r="DF267" s="1"/>
      <c r="DG267" s="1"/>
      <c r="DH267" s="656"/>
      <c r="DJ267" s="116"/>
    </row>
    <row r="268" spans="2:114" ht="15.75" customHeight="1" x14ac:dyDescent="0.25">
      <c r="B268" s="116"/>
      <c r="I268" s="656"/>
      <c r="K268" s="116"/>
      <c r="X268" s="1"/>
      <c r="Y268" s="1"/>
      <c r="Z268" s="1"/>
      <c r="AA268" s="1"/>
      <c r="AB268" s="656"/>
      <c r="AC268" s="1"/>
      <c r="AD268" s="116"/>
      <c r="AL268" s="656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43"/>
      <c r="BL268" s="116"/>
      <c r="BU268" s="1"/>
      <c r="BV268" s="1"/>
      <c r="BW268" s="1"/>
      <c r="BX268" s="656"/>
      <c r="BZ268" s="657"/>
      <c r="CA268" s="1"/>
      <c r="CB268" s="1"/>
      <c r="CC268" s="1"/>
      <c r="CD268" s="1"/>
      <c r="CE268" s="1"/>
      <c r="CF268" s="1"/>
      <c r="CG268" s="1"/>
      <c r="CH268" s="1"/>
      <c r="CP268" s="305"/>
      <c r="CR268" s="116"/>
      <c r="CZ268" s="1"/>
      <c r="DA268" s="1"/>
      <c r="DB268" s="1"/>
      <c r="DC268" s="1"/>
      <c r="DD268" s="1"/>
      <c r="DE268" s="1"/>
      <c r="DF268" s="1"/>
      <c r="DG268" s="1"/>
      <c r="DH268" s="656"/>
      <c r="DJ268" s="116"/>
    </row>
    <row r="269" spans="2:114" ht="15.75" customHeight="1" x14ac:dyDescent="0.25">
      <c r="B269" s="116"/>
      <c r="I269" s="656"/>
      <c r="K269" s="116"/>
      <c r="X269" s="1"/>
      <c r="Y269" s="1"/>
      <c r="Z269" s="1"/>
      <c r="AA269" s="1"/>
      <c r="AB269" s="656"/>
      <c r="AC269" s="1"/>
      <c r="AD269" s="116"/>
      <c r="AL269" s="656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43"/>
      <c r="BL269" s="116"/>
      <c r="BU269" s="1"/>
      <c r="BV269" s="1"/>
      <c r="BW269" s="1"/>
      <c r="BX269" s="656"/>
      <c r="BZ269" s="657"/>
      <c r="CA269" s="1"/>
      <c r="CB269" s="1"/>
      <c r="CC269" s="1"/>
      <c r="CD269" s="1"/>
      <c r="CE269" s="1"/>
      <c r="CF269" s="1"/>
      <c r="CG269" s="1"/>
      <c r="CH269" s="1"/>
      <c r="CP269" s="305"/>
      <c r="CR269" s="116"/>
      <c r="CZ269" s="1"/>
      <c r="DA269" s="1"/>
      <c r="DB269" s="1"/>
      <c r="DC269" s="1"/>
      <c r="DD269" s="1"/>
      <c r="DE269" s="1"/>
      <c r="DF269" s="1"/>
      <c r="DG269" s="1"/>
      <c r="DH269" s="656"/>
      <c r="DJ269" s="116"/>
    </row>
    <row r="270" spans="2:114" ht="15.75" customHeight="1" x14ac:dyDescent="0.25">
      <c r="B270" s="116"/>
      <c r="I270" s="656"/>
      <c r="K270" s="116"/>
      <c r="X270" s="1"/>
      <c r="Y270" s="1"/>
      <c r="Z270" s="1"/>
      <c r="AA270" s="1"/>
      <c r="AB270" s="656"/>
      <c r="AC270" s="1"/>
      <c r="AD270" s="116"/>
      <c r="AL270" s="656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43"/>
      <c r="BL270" s="116"/>
      <c r="BU270" s="1"/>
      <c r="BV270" s="1"/>
      <c r="BW270" s="1"/>
      <c r="BX270" s="656"/>
      <c r="BZ270" s="657"/>
      <c r="CA270" s="1"/>
      <c r="CB270" s="1"/>
      <c r="CC270" s="1"/>
      <c r="CD270" s="1"/>
      <c r="CE270" s="1"/>
      <c r="CF270" s="1"/>
      <c r="CG270" s="1"/>
      <c r="CH270" s="1"/>
      <c r="CP270" s="305"/>
      <c r="CR270" s="116"/>
      <c r="CZ270" s="1"/>
      <c r="DA270" s="1"/>
      <c r="DB270" s="1"/>
      <c r="DC270" s="1"/>
      <c r="DD270" s="1"/>
      <c r="DE270" s="1"/>
      <c r="DF270" s="1"/>
      <c r="DG270" s="1"/>
      <c r="DH270" s="656"/>
      <c r="DJ270" s="116"/>
    </row>
    <row r="271" spans="2:114" ht="15.75" customHeight="1" x14ac:dyDescent="0.25">
      <c r="B271" s="116"/>
      <c r="I271" s="656"/>
      <c r="K271" s="116"/>
      <c r="X271" s="1"/>
      <c r="Y271" s="1"/>
      <c r="Z271" s="1"/>
      <c r="AA271" s="1"/>
      <c r="AB271" s="656"/>
      <c r="AC271" s="1"/>
      <c r="AD271" s="116"/>
      <c r="AL271" s="656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43"/>
      <c r="BL271" s="116"/>
      <c r="BU271" s="1"/>
      <c r="BV271" s="1"/>
      <c r="BW271" s="1"/>
      <c r="BX271" s="656"/>
      <c r="BZ271" s="657"/>
      <c r="CA271" s="1"/>
      <c r="CB271" s="1"/>
      <c r="CC271" s="1"/>
      <c r="CD271" s="1"/>
      <c r="CE271" s="1"/>
      <c r="CF271" s="1"/>
      <c r="CG271" s="1"/>
      <c r="CH271" s="1"/>
      <c r="CP271" s="305"/>
      <c r="CR271" s="116"/>
      <c r="CZ271" s="1"/>
      <c r="DA271" s="1"/>
      <c r="DB271" s="1"/>
      <c r="DC271" s="1"/>
      <c r="DD271" s="1"/>
      <c r="DE271" s="1"/>
      <c r="DF271" s="1"/>
      <c r="DG271" s="1"/>
      <c r="DH271" s="656"/>
      <c r="DJ271" s="116"/>
    </row>
    <row r="272" spans="2:114" ht="15.75" customHeight="1" x14ac:dyDescent="0.25">
      <c r="B272" s="116"/>
      <c r="I272" s="656"/>
      <c r="K272" s="116"/>
      <c r="X272" s="1"/>
      <c r="Y272" s="1"/>
      <c r="Z272" s="1"/>
      <c r="AA272" s="1"/>
      <c r="AB272" s="656"/>
      <c r="AC272" s="1"/>
      <c r="AD272" s="116"/>
      <c r="AL272" s="656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43"/>
      <c r="BL272" s="116"/>
      <c r="BU272" s="1"/>
      <c r="BV272" s="1"/>
      <c r="BW272" s="1"/>
      <c r="BX272" s="656"/>
      <c r="BZ272" s="657"/>
      <c r="CA272" s="1"/>
      <c r="CB272" s="1"/>
      <c r="CC272" s="1"/>
      <c r="CD272" s="1"/>
      <c r="CE272" s="1"/>
      <c r="CF272" s="1"/>
      <c r="CG272" s="1"/>
      <c r="CH272" s="1"/>
      <c r="CP272" s="305"/>
      <c r="CR272" s="116"/>
      <c r="CZ272" s="1"/>
      <c r="DA272" s="1"/>
      <c r="DB272" s="1"/>
      <c r="DC272" s="1"/>
      <c r="DD272" s="1"/>
      <c r="DE272" s="1"/>
      <c r="DF272" s="1"/>
      <c r="DG272" s="1"/>
      <c r="DH272" s="656"/>
      <c r="DJ272" s="116"/>
    </row>
    <row r="273" spans="2:114" ht="15.75" customHeight="1" x14ac:dyDescent="0.25">
      <c r="B273" s="116"/>
      <c r="I273" s="656"/>
      <c r="K273" s="116"/>
      <c r="X273" s="1"/>
      <c r="Y273" s="1"/>
      <c r="Z273" s="1"/>
      <c r="AA273" s="1"/>
      <c r="AB273" s="656"/>
      <c r="AC273" s="1"/>
      <c r="AD273" s="116"/>
      <c r="AL273" s="656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43"/>
      <c r="BL273" s="116"/>
      <c r="BU273" s="1"/>
      <c r="BV273" s="1"/>
      <c r="BW273" s="1"/>
      <c r="BX273" s="656"/>
      <c r="BZ273" s="657"/>
      <c r="CA273" s="1"/>
      <c r="CB273" s="1"/>
      <c r="CC273" s="1"/>
      <c r="CD273" s="1"/>
      <c r="CE273" s="1"/>
      <c r="CF273" s="1"/>
      <c r="CG273" s="1"/>
      <c r="CH273" s="1"/>
      <c r="CP273" s="305"/>
      <c r="CR273" s="116"/>
      <c r="CZ273" s="1"/>
      <c r="DA273" s="1"/>
      <c r="DB273" s="1"/>
      <c r="DC273" s="1"/>
      <c r="DD273" s="1"/>
      <c r="DE273" s="1"/>
      <c r="DF273" s="1"/>
      <c r="DG273" s="1"/>
      <c r="DH273" s="656"/>
      <c r="DJ273" s="116"/>
    </row>
    <row r="274" spans="2:114" ht="15.75" customHeight="1" x14ac:dyDescent="0.25">
      <c r="B274" s="116"/>
      <c r="I274" s="656"/>
      <c r="K274" s="116"/>
      <c r="X274" s="1"/>
      <c r="Y274" s="1"/>
      <c r="Z274" s="1"/>
      <c r="AA274" s="1"/>
      <c r="AB274" s="656"/>
      <c r="AC274" s="1"/>
      <c r="AD274" s="116"/>
      <c r="AL274" s="656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43"/>
      <c r="BL274" s="116"/>
      <c r="BU274" s="1"/>
      <c r="BV274" s="1"/>
      <c r="BW274" s="1"/>
      <c r="BX274" s="656"/>
      <c r="BZ274" s="657"/>
      <c r="CA274" s="1"/>
      <c r="CB274" s="1"/>
      <c r="CC274" s="1"/>
      <c r="CD274" s="1"/>
      <c r="CE274" s="1"/>
      <c r="CF274" s="1"/>
      <c r="CG274" s="1"/>
      <c r="CH274" s="1"/>
      <c r="CP274" s="305"/>
      <c r="CR274" s="116"/>
      <c r="CZ274" s="1"/>
      <c r="DA274" s="1"/>
      <c r="DB274" s="1"/>
      <c r="DC274" s="1"/>
      <c r="DD274" s="1"/>
      <c r="DE274" s="1"/>
      <c r="DF274" s="1"/>
      <c r="DG274" s="1"/>
      <c r="DH274" s="656"/>
      <c r="DJ274" s="116"/>
    </row>
    <row r="275" spans="2:114" ht="15.75" customHeight="1" x14ac:dyDescent="0.25">
      <c r="B275" s="116"/>
      <c r="I275" s="656"/>
      <c r="K275" s="116"/>
      <c r="X275" s="1"/>
      <c r="Y275" s="1"/>
      <c r="Z275" s="1"/>
      <c r="AA275" s="1"/>
      <c r="AB275" s="656"/>
      <c r="AC275" s="1"/>
      <c r="AD275" s="116"/>
      <c r="AL275" s="656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43"/>
      <c r="BL275" s="116"/>
      <c r="BU275" s="1"/>
      <c r="BV275" s="1"/>
      <c r="BW275" s="1"/>
      <c r="BX275" s="656"/>
      <c r="BZ275" s="657"/>
      <c r="CA275" s="1"/>
      <c r="CB275" s="1"/>
      <c r="CC275" s="1"/>
      <c r="CD275" s="1"/>
      <c r="CE275" s="1"/>
      <c r="CF275" s="1"/>
      <c r="CG275" s="1"/>
      <c r="CH275" s="1"/>
      <c r="CP275" s="305"/>
      <c r="CR275" s="116"/>
      <c r="CZ275" s="1"/>
      <c r="DA275" s="1"/>
      <c r="DB275" s="1"/>
      <c r="DC275" s="1"/>
      <c r="DD275" s="1"/>
      <c r="DE275" s="1"/>
      <c r="DF275" s="1"/>
      <c r="DG275" s="1"/>
      <c r="DH275" s="656"/>
      <c r="DJ275" s="116"/>
    </row>
    <row r="276" spans="2:114" ht="15.75" customHeight="1" x14ac:dyDescent="0.25">
      <c r="B276" s="116"/>
      <c r="I276" s="656"/>
      <c r="K276" s="116"/>
      <c r="X276" s="1"/>
      <c r="Y276" s="1"/>
      <c r="Z276" s="1"/>
      <c r="AA276" s="1"/>
      <c r="AB276" s="656"/>
      <c r="AC276" s="1"/>
      <c r="AD276" s="116"/>
      <c r="AL276" s="656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43"/>
      <c r="BL276" s="116"/>
      <c r="BU276" s="1"/>
      <c r="BV276" s="1"/>
      <c r="BW276" s="1"/>
      <c r="BX276" s="656"/>
      <c r="BZ276" s="657"/>
      <c r="CA276" s="1"/>
      <c r="CB276" s="1"/>
      <c r="CC276" s="1"/>
      <c r="CD276" s="1"/>
      <c r="CE276" s="1"/>
      <c r="CF276" s="1"/>
      <c r="CG276" s="1"/>
      <c r="CH276" s="1"/>
      <c r="CP276" s="305"/>
      <c r="CR276" s="116"/>
      <c r="CZ276" s="1"/>
      <c r="DA276" s="1"/>
      <c r="DB276" s="1"/>
      <c r="DC276" s="1"/>
      <c r="DD276" s="1"/>
      <c r="DE276" s="1"/>
      <c r="DF276" s="1"/>
      <c r="DG276" s="1"/>
      <c r="DH276" s="656"/>
      <c r="DJ276" s="116"/>
    </row>
    <row r="277" spans="2:114" ht="15.75" customHeight="1" x14ac:dyDescent="0.25">
      <c r="B277" s="116"/>
      <c r="I277" s="656"/>
      <c r="K277" s="116"/>
      <c r="X277" s="1"/>
      <c r="Y277" s="1"/>
      <c r="Z277" s="1"/>
      <c r="AA277" s="1"/>
      <c r="AB277" s="656"/>
      <c r="AC277" s="1"/>
      <c r="AD277" s="116"/>
      <c r="AL277" s="656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43"/>
      <c r="BL277" s="116"/>
      <c r="BU277" s="1"/>
      <c r="BV277" s="1"/>
      <c r="BW277" s="1"/>
      <c r="BX277" s="656"/>
      <c r="BZ277" s="657"/>
      <c r="CA277" s="1"/>
      <c r="CB277" s="1"/>
      <c r="CC277" s="1"/>
      <c r="CD277" s="1"/>
      <c r="CE277" s="1"/>
      <c r="CF277" s="1"/>
      <c r="CG277" s="1"/>
      <c r="CH277" s="1"/>
      <c r="CP277" s="305"/>
      <c r="CR277" s="116"/>
      <c r="CZ277" s="1"/>
      <c r="DA277" s="1"/>
      <c r="DB277" s="1"/>
      <c r="DC277" s="1"/>
      <c r="DD277" s="1"/>
      <c r="DE277" s="1"/>
      <c r="DF277" s="1"/>
      <c r="DG277" s="1"/>
      <c r="DH277" s="656"/>
      <c r="DJ277" s="116"/>
    </row>
    <row r="278" spans="2:114" ht="15.75" customHeight="1" x14ac:dyDescent="0.25">
      <c r="B278" s="116"/>
      <c r="I278" s="656"/>
      <c r="K278" s="116"/>
      <c r="X278" s="1"/>
      <c r="Y278" s="1"/>
      <c r="Z278" s="1"/>
      <c r="AA278" s="1"/>
      <c r="AB278" s="656"/>
      <c r="AC278" s="1"/>
      <c r="AD278" s="116"/>
      <c r="AL278" s="656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43"/>
      <c r="BL278" s="116"/>
      <c r="BU278" s="1"/>
      <c r="BV278" s="1"/>
      <c r="BW278" s="1"/>
      <c r="BX278" s="656"/>
      <c r="BZ278" s="657"/>
      <c r="CA278" s="1"/>
      <c r="CB278" s="1"/>
      <c r="CC278" s="1"/>
      <c r="CD278" s="1"/>
      <c r="CE278" s="1"/>
      <c r="CF278" s="1"/>
      <c r="CG278" s="1"/>
      <c r="CH278" s="1"/>
      <c r="CP278" s="305"/>
      <c r="CR278" s="116"/>
      <c r="CZ278" s="1"/>
      <c r="DA278" s="1"/>
      <c r="DB278" s="1"/>
      <c r="DC278" s="1"/>
      <c r="DD278" s="1"/>
      <c r="DE278" s="1"/>
      <c r="DF278" s="1"/>
      <c r="DG278" s="1"/>
      <c r="DH278" s="656"/>
      <c r="DJ278" s="116"/>
    </row>
    <row r="279" spans="2:114" ht="15.75" customHeight="1" x14ac:dyDescent="0.25">
      <c r="B279" s="116"/>
      <c r="I279" s="656"/>
      <c r="K279" s="116"/>
      <c r="X279" s="1"/>
      <c r="Y279" s="1"/>
      <c r="Z279" s="1"/>
      <c r="AA279" s="1"/>
      <c r="AB279" s="656"/>
      <c r="AC279" s="1"/>
      <c r="AD279" s="116"/>
      <c r="AL279" s="656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43"/>
      <c r="BL279" s="116"/>
      <c r="BU279" s="1"/>
      <c r="BV279" s="1"/>
      <c r="BW279" s="1"/>
      <c r="BX279" s="656"/>
      <c r="BZ279" s="657"/>
      <c r="CA279" s="1"/>
      <c r="CB279" s="1"/>
      <c r="CC279" s="1"/>
      <c r="CD279" s="1"/>
      <c r="CE279" s="1"/>
      <c r="CF279" s="1"/>
      <c r="CG279" s="1"/>
      <c r="CH279" s="1"/>
      <c r="CP279" s="305"/>
      <c r="CR279" s="116"/>
      <c r="CZ279" s="1"/>
      <c r="DA279" s="1"/>
      <c r="DB279" s="1"/>
      <c r="DC279" s="1"/>
      <c r="DD279" s="1"/>
      <c r="DE279" s="1"/>
      <c r="DF279" s="1"/>
      <c r="DG279" s="1"/>
      <c r="DH279" s="656"/>
      <c r="DJ279" s="116"/>
    </row>
    <row r="280" spans="2:114" ht="15.75" customHeight="1" x14ac:dyDescent="0.25">
      <c r="B280" s="116"/>
      <c r="I280" s="656"/>
      <c r="K280" s="116"/>
      <c r="X280" s="1"/>
      <c r="Y280" s="1"/>
      <c r="Z280" s="1"/>
      <c r="AA280" s="1"/>
      <c r="AB280" s="656"/>
      <c r="AC280" s="1"/>
      <c r="AD280" s="116"/>
      <c r="AL280" s="656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43"/>
      <c r="BL280" s="116"/>
      <c r="BU280" s="1"/>
      <c r="BV280" s="1"/>
      <c r="BW280" s="1"/>
      <c r="BX280" s="656"/>
      <c r="BZ280" s="657"/>
      <c r="CA280" s="1"/>
      <c r="CB280" s="1"/>
      <c r="CC280" s="1"/>
      <c r="CD280" s="1"/>
      <c r="CE280" s="1"/>
      <c r="CF280" s="1"/>
      <c r="CG280" s="1"/>
      <c r="CH280" s="1"/>
      <c r="CP280" s="305"/>
      <c r="CR280" s="116"/>
      <c r="CZ280" s="1"/>
      <c r="DA280" s="1"/>
      <c r="DB280" s="1"/>
      <c r="DC280" s="1"/>
      <c r="DD280" s="1"/>
      <c r="DE280" s="1"/>
      <c r="DF280" s="1"/>
      <c r="DG280" s="1"/>
      <c r="DH280" s="656"/>
      <c r="DJ280" s="116"/>
    </row>
    <row r="281" spans="2:114" ht="15.75" customHeight="1" x14ac:dyDescent="0.25">
      <c r="B281" s="116"/>
      <c r="I281" s="656"/>
      <c r="K281" s="116"/>
      <c r="X281" s="1"/>
      <c r="Y281" s="1"/>
      <c r="Z281" s="1"/>
      <c r="AA281" s="1"/>
      <c r="AB281" s="656"/>
      <c r="AC281" s="1"/>
      <c r="AD281" s="116"/>
      <c r="AL281" s="656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43"/>
      <c r="BL281" s="116"/>
      <c r="BU281" s="1"/>
      <c r="BV281" s="1"/>
      <c r="BW281" s="1"/>
      <c r="BX281" s="656"/>
      <c r="BZ281" s="657"/>
      <c r="CA281" s="1"/>
      <c r="CB281" s="1"/>
      <c r="CC281" s="1"/>
      <c r="CD281" s="1"/>
      <c r="CE281" s="1"/>
      <c r="CF281" s="1"/>
      <c r="CG281" s="1"/>
      <c r="CH281" s="1"/>
      <c r="CP281" s="305"/>
      <c r="CR281" s="116"/>
      <c r="CZ281" s="1"/>
      <c r="DA281" s="1"/>
      <c r="DB281" s="1"/>
      <c r="DC281" s="1"/>
      <c r="DD281" s="1"/>
      <c r="DE281" s="1"/>
      <c r="DF281" s="1"/>
      <c r="DG281" s="1"/>
      <c r="DH281" s="656"/>
      <c r="DJ281" s="116"/>
    </row>
    <row r="282" spans="2:114" ht="15.75" customHeight="1" x14ac:dyDescent="0.25">
      <c r="B282" s="116"/>
      <c r="I282" s="656"/>
      <c r="K282" s="116"/>
      <c r="X282" s="1"/>
      <c r="Y282" s="1"/>
      <c r="Z282" s="1"/>
      <c r="AA282" s="1"/>
      <c r="AB282" s="656"/>
      <c r="AC282" s="1"/>
      <c r="AD282" s="116"/>
      <c r="AL282" s="656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43"/>
      <c r="BL282" s="116"/>
      <c r="BU282" s="1"/>
      <c r="BV282" s="1"/>
      <c r="BW282" s="1"/>
      <c r="BX282" s="656"/>
      <c r="BZ282" s="657"/>
      <c r="CA282" s="1"/>
      <c r="CB282" s="1"/>
      <c r="CC282" s="1"/>
      <c r="CD282" s="1"/>
      <c r="CE282" s="1"/>
      <c r="CF282" s="1"/>
      <c r="CG282" s="1"/>
      <c r="CH282" s="1"/>
      <c r="CP282" s="305"/>
      <c r="CR282" s="116"/>
      <c r="CZ282" s="1"/>
      <c r="DA282" s="1"/>
      <c r="DB282" s="1"/>
      <c r="DC282" s="1"/>
      <c r="DD282" s="1"/>
      <c r="DE282" s="1"/>
      <c r="DF282" s="1"/>
      <c r="DG282" s="1"/>
      <c r="DH282" s="656"/>
      <c r="DJ282" s="116"/>
    </row>
    <row r="283" spans="2:114" ht="15.75" customHeight="1" x14ac:dyDescent="0.25">
      <c r="B283" s="116"/>
      <c r="I283" s="656"/>
      <c r="K283" s="116"/>
      <c r="X283" s="1"/>
      <c r="Y283" s="1"/>
      <c r="Z283" s="1"/>
      <c r="AA283" s="1"/>
      <c r="AB283" s="656"/>
      <c r="AC283" s="1"/>
      <c r="AD283" s="116"/>
      <c r="AL283" s="656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43"/>
      <c r="BL283" s="116"/>
      <c r="BU283" s="1"/>
      <c r="BV283" s="1"/>
      <c r="BW283" s="1"/>
      <c r="BX283" s="656"/>
      <c r="BZ283" s="657"/>
      <c r="CA283" s="1"/>
      <c r="CB283" s="1"/>
      <c r="CC283" s="1"/>
      <c r="CD283" s="1"/>
      <c r="CE283" s="1"/>
      <c r="CF283" s="1"/>
      <c r="CG283" s="1"/>
      <c r="CH283" s="1"/>
      <c r="CP283" s="305"/>
      <c r="CR283" s="116"/>
      <c r="CZ283" s="1"/>
      <c r="DA283" s="1"/>
      <c r="DB283" s="1"/>
      <c r="DC283" s="1"/>
      <c r="DD283" s="1"/>
      <c r="DE283" s="1"/>
      <c r="DF283" s="1"/>
      <c r="DG283" s="1"/>
      <c r="DH283" s="656"/>
      <c r="DJ283" s="116"/>
    </row>
    <row r="284" spans="2:114" ht="15.75" customHeight="1" x14ac:dyDescent="0.25">
      <c r="B284" s="116"/>
      <c r="I284" s="656"/>
      <c r="K284" s="116"/>
      <c r="X284" s="1"/>
      <c r="Y284" s="1"/>
      <c r="Z284" s="1"/>
      <c r="AA284" s="1"/>
      <c r="AB284" s="656"/>
      <c r="AC284" s="1"/>
      <c r="AD284" s="116"/>
      <c r="AL284" s="656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43"/>
      <c r="BL284" s="116"/>
      <c r="BU284" s="1"/>
      <c r="BV284" s="1"/>
      <c r="BW284" s="1"/>
      <c r="BX284" s="656"/>
      <c r="BZ284" s="657"/>
      <c r="CA284" s="1"/>
      <c r="CB284" s="1"/>
      <c r="CC284" s="1"/>
      <c r="CD284" s="1"/>
      <c r="CE284" s="1"/>
      <c r="CF284" s="1"/>
      <c r="CG284" s="1"/>
      <c r="CH284" s="1"/>
      <c r="CP284" s="305"/>
      <c r="CR284" s="116"/>
      <c r="CZ284" s="1"/>
      <c r="DA284" s="1"/>
      <c r="DB284" s="1"/>
      <c r="DC284" s="1"/>
      <c r="DD284" s="1"/>
      <c r="DE284" s="1"/>
      <c r="DF284" s="1"/>
      <c r="DG284" s="1"/>
      <c r="DH284" s="656"/>
      <c r="DJ284" s="116"/>
    </row>
    <row r="285" spans="2:114" ht="15.75" customHeight="1" x14ac:dyDescent="0.25">
      <c r="B285" s="116"/>
      <c r="I285" s="656"/>
      <c r="K285" s="116"/>
      <c r="X285" s="1"/>
      <c r="Y285" s="1"/>
      <c r="Z285" s="1"/>
      <c r="AA285" s="1"/>
      <c r="AB285" s="656"/>
      <c r="AC285" s="1"/>
      <c r="AD285" s="116"/>
      <c r="AL285" s="656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43"/>
      <c r="BL285" s="116"/>
      <c r="BU285" s="1"/>
      <c r="BV285" s="1"/>
      <c r="BW285" s="1"/>
      <c r="BX285" s="656"/>
      <c r="BZ285" s="657"/>
      <c r="CA285" s="1"/>
      <c r="CB285" s="1"/>
      <c r="CC285" s="1"/>
      <c r="CD285" s="1"/>
      <c r="CE285" s="1"/>
      <c r="CF285" s="1"/>
      <c r="CG285" s="1"/>
      <c r="CH285" s="1"/>
      <c r="CP285" s="305"/>
      <c r="CR285" s="116"/>
      <c r="CZ285" s="1"/>
      <c r="DA285" s="1"/>
      <c r="DB285" s="1"/>
      <c r="DC285" s="1"/>
      <c r="DD285" s="1"/>
      <c r="DE285" s="1"/>
      <c r="DF285" s="1"/>
      <c r="DG285" s="1"/>
      <c r="DH285" s="656"/>
      <c r="DJ285" s="116"/>
    </row>
    <row r="286" spans="2:114" ht="15.75" customHeight="1" x14ac:dyDescent="0.25">
      <c r="B286" s="116"/>
      <c r="I286" s="656"/>
      <c r="K286" s="116"/>
      <c r="X286" s="1"/>
      <c r="Y286" s="1"/>
      <c r="Z286" s="1"/>
      <c r="AA286" s="1"/>
      <c r="AB286" s="656"/>
      <c r="AC286" s="1"/>
      <c r="AD286" s="116"/>
      <c r="AL286" s="656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43"/>
      <c r="BL286" s="116"/>
      <c r="BU286" s="1"/>
      <c r="BV286" s="1"/>
      <c r="BW286" s="1"/>
      <c r="BX286" s="656"/>
      <c r="BZ286" s="657"/>
      <c r="CA286" s="1"/>
      <c r="CB286" s="1"/>
      <c r="CC286" s="1"/>
      <c r="CD286" s="1"/>
      <c r="CE286" s="1"/>
      <c r="CF286" s="1"/>
      <c r="CG286" s="1"/>
      <c r="CH286" s="1"/>
      <c r="CP286" s="305"/>
      <c r="CR286" s="116"/>
      <c r="CZ286" s="1"/>
      <c r="DA286" s="1"/>
      <c r="DB286" s="1"/>
      <c r="DC286" s="1"/>
      <c r="DD286" s="1"/>
      <c r="DE286" s="1"/>
      <c r="DF286" s="1"/>
      <c r="DG286" s="1"/>
      <c r="DH286" s="656"/>
      <c r="DJ286" s="116"/>
    </row>
    <row r="287" spans="2:114" ht="15.75" customHeight="1" x14ac:dyDescent="0.25">
      <c r="B287" s="116"/>
      <c r="I287" s="656"/>
      <c r="K287" s="116"/>
      <c r="X287" s="1"/>
      <c r="Y287" s="1"/>
      <c r="Z287" s="1"/>
      <c r="AA287" s="1"/>
      <c r="AB287" s="656"/>
      <c r="AC287" s="1"/>
      <c r="AD287" s="116"/>
      <c r="AL287" s="656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43"/>
      <c r="BL287" s="116"/>
      <c r="BU287" s="1"/>
      <c r="BV287" s="1"/>
      <c r="BW287" s="1"/>
      <c r="BX287" s="656"/>
      <c r="BZ287" s="657"/>
      <c r="CA287" s="1"/>
      <c r="CB287" s="1"/>
      <c r="CC287" s="1"/>
      <c r="CD287" s="1"/>
      <c r="CE287" s="1"/>
      <c r="CF287" s="1"/>
      <c r="CG287" s="1"/>
      <c r="CH287" s="1"/>
      <c r="CP287" s="305"/>
      <c r="CR287" s="116"/>
      <c r="CZ287" s="1"/>
      <c r="DA287" s="1"/>
      <c r="DB287" s="1"/>
      <c r="DC287" s="1"/>
      <c r="DD287" s="1"/>
      <c r="DE287" s="1"/>
      <c r="DF287" s="1"/>
      <c r="DG287" s="1"/>
      <c r="DH287" s="656"/>
      <c r="DJ287" s="116"/>
    </row>
    <row r="288" spans="2:114" ht="15.75" customHeight="1" x14ac:dyDescent="0.25">
      <c r="B288" s="116"/>
      <c r="I288" s="656"/>
      <c r="K288" s="116"/>
      <c r="X288" s="1"/>
      <c r="Y288" s="1"/>
      <c r="Z288" s="1"/>
      <c r="AA288" s="1"/>
      <c r="AB288" s="656"/>
      <c r="AC288" s="1"/>
      <c r="AD288" s="116"/>
      <c r="AL288" s="656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43"/>
      <c r="BL288" s="116"/>
      <c r="BU288" s="1"/>
      <c r="BV288" s="1"/>
      <c r="BW288" s="1"/>
      <c r="BX288" s="656"/>
      <c r="BZ288" s="657"/>
      <c r="CA288" s="1"/>
      <c r="CB288" s="1"/>
      <c r="CC288" s="1"/>
      <c r="CD288" s="1"/>
      <c r="CE288" s="1"/>
      <c r="CF288" s="1"/>
      <c r="CG288" s="1"/>
      <c r="CH288" s="1"/>
      <c r="CP288" s="305"/>
      <c r="CR288" s="116"/>
      <c r="CZ288" s="1"/>
      <c r="DA288" s="1"/>
      <c r="DB288" s="1"/>
      <c r="DC288" s="1"/>
      <c r="DD288" s="1"/>
      <c r="DE288" s="1"/>
      <c r="DF288" s="1"/>
      <c r="DG288" s="1"/>
      <c r="DH288" s="656"/>
      <c r="DJ288" s="116"/>
    </row>
    <row r="289" spans="2:114" ht="15.75" customHeight="1" x14ac:dyDescent="0.25">
      <c r="B289" s="116"/>
      <c r="I289" s="656"/>
      <c r="K289" s="116"/>
      <c r="X289" s="1"/>
      <c r="Y289" s="1"/>
      <c r="Z289" s="1"/>
      <c r="AA289" s="1"/>
      <c r="AB289" s="656"/>
      <c r="AC289" s="1"/>
      <c r="AD289" s="116"/>
      <c r="AL289" s="656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43"/>
      <c r="BL289" s="116"/>
      <c r="BU289" s="1"/>
      <c r="BV289" s="1"/>
      <c r="BW289" s="1"/>
      <c r="BX289" s="656"/>
      <c r="BZ289" s="657"/>
      <c r="CA289" s="1"/>
      <c r="CB289" s="1"/>
      <c r="CC289" s="1"/>
      <c r="CD289" s="1"/>
      <c r="CE289" s="1"/>
      <c r="CF289" s="1"/>
      <c r="CG289" s="1"/>
      <c r="CH289" s="1"/>
      <c r="CP289" s="305"/>
      <c r="CR289" s="116"/>
      <c r="CZ289" s="1"/>
      <c r="DA289" s="1"/>
      <c r="DB289" s="1"/>
      <c r="DC289" s="1"/>
      <c r="DD289" s="1"/>
      <c r="DE289" s="1"/>
      <c r="DF289" s="1"/>
      <c r="DG289" s="1"/>
      <c r="DH289" s="656"/>
      <c r="DJ289" s="116"/>
    </row>
    <row r="290" spans="2:114" ht="15.75" customHeight="1" x14ac:dyDescent="0.25">
      <c r="B290" s="116"/>
      <c r="I290" s="656"/>
      <c r="K290" s="116"/>
      <c r="X290" s="1"/>
      <c r="Y290" s="1"/>
      <c r="Z290" s="1"/>
      <c r="AA290" s="1"/>
      <c r="AB290" s="656"/>
      <c r="AC290" s="1"/>
      <c r="AD290" s="116"/>
      <c r="AL290" s="656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43"/>
      <c r="BL290" s="116"/>
      <c r="BU290" s="1"/>
      <c r="BV290" s="1"/>
      <c r="BW290" s="1"/>
      <c r="BX290" s="656"/>
      <c r="BZ290" s="657"/>
      <c r="CA290" s="1"/>
      <c r="CB290" s="1"/>
      <c r="CC290" s="1"/>
      <c r="CD290" s="1"/>
      <c r="CE290" s="1"/>
      <c r="CF290" s="1"/>
      <c r="CG290" s="1"/>
      <c r="CH290" s="1"/>
      <c r="CP290" s="305"/>
      <c r="CR290" s="116"/>
      <c r="CZ290" s="1"/>
      <c r="DA290" s="1"/>
      <c r="DB290" s="1"/>
      <c r="DC290" s="1"/>
      <c r="DD290" s="1"/>
      <c r="DE290" s="1"/>
      <c r="DF290" s="1"/>
      <c r="DG290" s="1"/>
      <c r="DH290" s="656"/>
      <c r="DJ290" s="116"/>
    </row>
    <row r="291" spans="2:114" ht="15.75" customHeight="1" x14ac:dyDescent="0.25">
      <c r="B291" s="116"/>
      <c r="I291" s="656"/>
      <c r="K291" s="116"/>
      <c r="X291" s="1"/>
      <c r="Y291" s="1"/>
      <c r="Z291" s="1"/>
      <c r="AA291" s="1"/>
      <c r="AB291" s="656"/>
      <c r="AC291" s="1"/>
      <c r="AD291" s="116"/>
      <c r="AL291" s="656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43"/>
      <c r="BL291" s="116"/>
      <c r="BU291" s="1"/>
      <c r="BV291" s="1"/>
      <c r="BW291" s="1"/>
      <c r="BX291" s="656"/>
      <c r="BZ291" s="657"/>
      <c r="CA291" s="1"/>
      <c r="CB291" s="1"/>
      <c r="CC291" s="1"/>
      <c r="CD291" s="1"/>
      <c r="CE291" s="1"/>
      <c r="CF291" s="1"/>
      <c r="CG291" s="1"/>
      <c r="CH291" s="1"/>
      <c r="CP291" s="305"/>
      <c r="CR291" s="116"/>
      <c r="CZ291" s="1"/>
      <c r="DA291" s="1"/>
      <c r="DB291" s="1"/>
      <c r="DC291" s="1"/>
      <c r="DD291" s="1"/>
      <c r="DE291" s="1"/>
      <c r="DF291" s="1"/>
      <c r="DG291" s="1"/>
      <c r="DH291" s="656"/>
      <c r="DJ291" s="116"/>
    </row>
    <row r="292" spans="2:114" ht="15.75" customHeight="1" x14ac:dyDescent="0.25">
      <c r="B292" s="116"/>
      <c r="I292" s="656"/>
      <c r="K292" s="116"/>
      <c r="X292" s="1"/>
      <c r="Y292" s="1"/>
      <c r="Z292" s="1"/>
      <c r="AA292" s="1"/>
      <c r="AB292" s="656"/>
      <c r="AC292" s="1"/>
      <c r="AD292" s="116"/>
      <c r="AL292" s="656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43"/>
      <c r="BL292" s="116"/>
      <c r="BU292" s="1"/>
      <c r="BV292" s="1"/>
      <c r="BW292" s="1"/>
      <c r="BX292" s="656"/>
      <c r="BZ292" s="657"/>
      <c r="CA292" s="1"/>
      <c r="CB292" s="1"/>
      <c r="CC292" s="1"/>
      <c r="CD292" s="1"/>
      <c r="CE292" s="1"/>
      <c r="CF292" s="1"/>
      <c r="CG292" s="1"/>
      <c r="CH292" s="1"/>
      <c r="CP292" s="305"/>
      <c r="CR292" s="116"/>
      <c r="CZ292" s="1"/>
      <c r="DA292" s="1"/>
      <c r="DB292" s="1"/>
      <c r="DC292" s="1"/>
      <c r="DD292" s="1"/>
      <c r="DE292" s="1"/>
      <c r="DF292" s="1"/>
      <c r="DG292" s="1"/>
      <c r="DH292" s="656"/>
      <c r="DJ292" s="116"/>
    </row>
    <row r="293" spans="2:114" ht="15.75" customHeight="1" x14ac:dyDescent="0.25">
      <c r="B293" s="116"/>
      <c r="I293" s="656"/>
      <c r="K293" s="116"/>
      <c r="X293" s="1"/>
      <c r="Y293" s="1"/>
      <c r="Z293" s="1"/>
      <c r="AA293" s="1"/>
      <c r="AB293" s="656"/>
      <c r="AC293" s="1"/>
      <c r="AD293" s="116"/>
      <c r="AL293" s="656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43"/>
      <c r="BL293" s="116"/>
      <c r="BU293" s="1"/>
      <c r="BV293" s="1"/>
      <c r="BW293" s="1"/>
      <c r="BX293" s="656"/>
      <c r="BZ293" s="657"/>
      <c r="CA293" s="1"/>
      <c r="CB293" s="1"/>
      <c r="CC293" s="1"/>
      <c r="CD293" s="1"/>
      <c r="CE293" s="1"/>
      <c r="CF293" s="1"/>
      <c r="CG293" s="1"/>
      <c r="CH293" s="1"/>
      <c r="CP293" s="305"/>
      <c r="CR293" s="116"/>
      <c r="CZ293" s="1"/>
      <c r="DA293" s="1"/>
      <c r="DB293" s="1"/>
      <c r="DC293" s="1"/>
      <c r="DD293" s="1"/>
      <c r="DE293" s="1"/>
      <c r="DF293" s="1"/>
      <c r="DG293" s="1"/>
      <c r="DH293" s="656"/>
      <c r="DJ293" s="116"/>
    </row>
    <row r="294" spans="2:114" ht="15.75" customHeight="1" x14ac:dyDescent="0.25">
      <c r="B294" s="116"/>
      <c r="I294" s="656"/>
      <c r="K294" s="116"/>
      <c r="X294" s="1"/>
      <c r="Y294" s="1"/>
      <c r="Z294" s="1"/>
      <c r="AA294" s="1"/>
      <c r="AB294" s="656"/>
      <c r="AC294" s="1"/>
      <c r="AD294" s="116"/>
      <c r="AL294" s="656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43"/>
      <c r="BL294" s="116"/>
      <c r="BU294" s="1"/>
      <c r="BV294" s="1"/>
      <c r="BW294" s="1"/>
      <c r="BX294" s="656"/>
      <c r="BZ294" s="657"/>
      <c r="CA294" s="1"/>
      <c r="CB294" s="1"/>
      <c r="CC294" s="1"/>
      <c r="CD294" s="1"/>
      <c r="CE294" s="1"/>
      <c r="CF294" s="1"/>
      <c r="CG294" s="1"/>
      <c r="CH294" s="1"/>
      <c r="CP294" s="305"/>
      <c r="CR294" s="116"/>
      <c r="CZ294" s="1"/>
      <c r="DA294" s="1"/>
      <c r="DB294" s="1"/>
      <c r="DC294" s="1"/>
      <c r="DD294" s="1"/>
      <c r="DE294" s="1"/>
      <c r="DF294" s="1"/>
      <c r="DG294" s="1"/>
      <c r="DH294" s="656"/>
      <c r="DJ294" s="116"/>
    </row>
    <row r="295" spans="2:114" ht="15.75" customHeight="1" x14ac:dyDescent="0.25">
      <c r="B295" s="116"/>
      <c r="I295" s="656"/>
      <c r="K295" s="116"/>
      <c r="X295" s="1"/>
      <c r="Y295" s="1"/>
      <c r="Z295" s="1"/>
      <c r="AA295" s="1"/>
      <c r="AB295" s="656"/>
      <c r="AC295" s="1"/>
      <c r="AD295" s="116"/>
      <c r="AL295" s="656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43"/>
      <c r="BL295" s="116"/>
      <c r="BU295" s="1"/>
      <c r="BV295" s="1"/>
      <c r="BW295" s="1"/>
      <c r="BX295" s="656"/>
      <c r="BZ295" s="657"/>
      <c r="CA295" s="1"/>
      <c r="CB295" s="1"/>
      <c r="CC295" s="1"/>
      <c r="CD295" s="1"/>
      <c r="CE295" s="1"/>
      <c r="CF295" s="1"/>
      <c r="CG295" s="1"/>
      <c r="CH295" s="1"/>
      <c r="CP295" s="305"/>
      <c r="CR295" s="116"/>
      <c r="CZ295" s="1"/>
      <c r="DA295" s="1"/>
      <c r="DB295" s="1"/>
      <c r="DC295" s="1"/>
      <c r="DD295" s="1"/>
      <c r="DE295" s="1"/>
      <c r="DF295" s="1"/>
      <c r="DG295" s="1"/>
      <c r="DH295" s="656"/>
      <c r="DJ295" s="116"/>
    </row>
    <row r="296" spans="2:114" ht="15.75" customHeight="1" x14ac:dyDescent="0.25">
      <c r="B296" s="116"/>
      <c r="I296" s="656"/>
      <c r="K296" s="116"/>
      <c r="X296" s="1"/>
      <c r="Y296" s="1"/>
      <c r="Z296" s="1"/>
      <c r="AA296" s="1"/>
      <c r="AB296" s="656"/>
      <c r="AC296" s="1"/>
      <c r="AD296" s="116"/>
      <c r="AL296" s="656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43"/>
      <c r="BL296" s="116"/>
      <c r="BU296" s="1"/>
      <c r="BV296" s="1"/>
      <c r="BW296" s="1"/>
      <c r="BX296" s="656"/>
      <c r="BZ296" s="657"/>
      <c r="CA296" s="1"/>
      <c r="CB296" s="1"/>
      <c r="CC296" s="1"/>
      <c r="CD296" s="1"/>
      <c r="CE296" s="1"/>
      <c r="CF296" s="1"/>
      <c r="CG296" s="1"/>
      <c r="CH296" s="1"/>
      <c r="CP296" s="305"/>
      <c r="CR296" s="116"/>
      <c r="CZ296" s="1"/>
      <c r="DA296" s="1"/>
      <c r="DB296" s="1"/>
      <c r="DC296" s="1"/>
      <c r="DD296" s="1"/>
      <c r="DE296" s="1"/>
      <c r="DF296" s="1"/>
      <c r="DG296" s="1"/>
      <c r="DH296" s="656"/>
      <c r="DJ296" s="116"/>
    </row>
    <row r="297" spans="2:114" ht="15.75" customHeight="1" x14ac:dyDescent="0.25">
      <c r="B297" s="116"/>
      <c r="I297" s="656"/>
      <c r="K297" s="116"/>
      <c r="X297" s="1"/>
      <c r="Y297" s="1"/>
      <c r="Z297" s="1"/>
      <c r="AA297" s="1"/>
      <c r="AB297" s="656"/>
      <c r="AC297" s="1"/>
      <c r="AD297" s="116"/>
      <c r="AL297" s="656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43"/>
      <c r="BL297" s="116"/>
      <c r="BU297" s="1"/>
      <c r="BV297" s="1"/>
      <c r="BW297" s="1"/>
      <c r="BX297" s="656"/>
      <c r="BZ297" s="657"/>
      <c r="CA297" s="1"/>
      <c r="CB297" s="1"/>
      <c r="CC297" s="1"/>
      <c r="CD297" s="1"/>
      <c r="CE297" s="1"/>
      <c r="CF297" s="1"/>
      <c r="CG297" s="1"/>
      <c r="CH297" s="1"/>
      <c r="CP297" s="305"/>
      <c r="CR297" s="116"/>
      <c r="CZ297" s="1"/>
      <c r="DA297" s="1"/>
      <c r="DB297" s="1"/>
      <c r="DC297" s="1"/>
      <c r="DD297" s="1"/>
      <c r="DE297" s="1"/>
      <c r="DF297" s="1"/>
      <c r="DG297" s="1"/>
      <c r="DH297" s="656"/>
      <c r="DJ297" s="116"/>
    </row>
    <row r="298" spans="2:114" ht="15.75" customHeight="1" x14ac:dyDescent="0.25">
      <c r="B298" s="116"/>
      <c r="I298" s="656"/>
      <c r="K298" s="116"/>
      <c r="X298" s="1"/>
      <c r="Y298" s="1"/>
      <c r="Z298" s="1"/>
      <c r="AA298" s="1"/>
      <c r="AB298" s="656"/>
      <c r="AC298" s="1"/>
      <c r="AD298" s="116"/>
      <c r="AL298" s="656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43"/>
      <c r="BL298" s="116"/>
      <c r="BU298" s="1"/>
      <c r="BV298" s="1"/>
      <c r="BW298" s="1"/>
      <c r="BX298" s="656"/>
      <c r="BZ298" s="657"/>
      <c r="CA298" s="1"/>
      <c r="CB298" s="1"/>
      <c r="CC298" s="1"/>
      <c r="CD298" s="1"/>
      <c r="CE298" s="1"/>
      <c r="CF298" s="1"/>
      <c r="CG298" s="1"/>
      <c r="CH298" s="1"/>
      <c r="CP298" s="305"/>
      <c r="CR298" s="116"/>
      <c r="CZ298" s="1"/>
      <c r="DA298" s="1"/>
      <c r="DB298" s="1"/>
      <c r="DC298" s="1"/>
      <c r="DD298" s="1"/>
      <c r="DE298" s="1"/>
      <c r="DF298" s="1"/>
      <c r="DG298" s="1"/>
      <c r="DH298" s="656"/>
      <c r="DJ298" s="116"/>
    </row>
    <row r="299" spans="2:114" ht="15.75" customHeight="1" x14ac:dyDescent="0.25">
      <c r="B299" s="116"/>
      <c r="I299" s="656"/>
      <c r="K299" s="116"/>
      <c r="X299" s="1"/>
      <c r="Y299" s="1"/>
      <c r="Z299" s="1"/>
      <c r="AA299" s="1"/>
      <c r="AB299" s="656"/>
      <c r="AC299" s="1"/>
      <c r="AD299" s="116"/>
      <c r="AL299" s="656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43"/>
      <c r="BL299" s="116"/>
      <c r="BU299" s="1"/>
      <c r="BV299" s="1"/>
      <c r="BW299" s="1"/>
      <c r="BX299" s="656"/>
      <c r="BZ299" s="657"/>
      <c r="CA299" s="1"/>
      <c r="CB299" s="1"/>
      <c r="CC299" s="1"/>
      <c r="CD299" s="1"/>
      <c r="CE299" s="1"/>
      <c r="CF299" s="1"/>
      <c r="CG299" s="1"/>
      <c r="CH299" s="1"/>
      <c r="CP299" s="305"/>
      <c r="CR299" s="116"/>
      <c r="CZ299" s="1"/>
      <c r="DA299" s="1"/>
      <c r="DB299" s="1"/>
      <c r="DC299" s="1"/>
      <c r="DD299" s="1"/>
      <c r="DE299" s="1"/>
      <c r="DF299" s="1"/>
      <c r="DG299" s="1"/>
      <c r="DH299" s="656"/>
      <c r="DJ299" s="116"/>
    </row>
    <row r="300" spans="2:114" ht="15.75" customHeight="1" x14ac:dyDescent="0.25">
      <c r="B300" s="116"/>
      <c r="I300" s="656"/>
      <c r="K300" s="116"/>
      <c r="X300" s="1"/>
      <c r="Y300" s="1"/>
      <c r="Z300" s="1"/>
      <c r="AA300" s="1"/>
      <c r="AB300" s="656"/>
      <c r="AC300" s="1"/>
      <c r="AD300" s="116"/>
      <c r="AL300" s="656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43"/>
      <c r="BL300" s="116"/>
      <c r="BU300" s="1"/>
      <c r="BV300" s="1"/>
      <c r="BW300" s="1"/>
      <c r="BX300" s="656"/>
      <c r="BZ300" s="657"/>
      <c r="CA300" s="1"/>
      <c r="CB300" s="1"/>
      <c r="CC300" s="1"/>
      <c r="CD300" s="1"/>
      <c r="CE300" s="1"/>
      <c r="CF300" s="1"/>
      <c r="CG300" s="1"/>
      <c r="CH300" s="1"/>
      <c r="CP300" s="305"/>
      <c r="CR300" s="116"/>
      <c r="CZ300" s="1"/>
      <c r="DA300" s="1"/>
      <c r="DB300" s="1"/>
      <c r="DC300" s="1"/>
      <c r="DD300" s="1"/>
      <c r="DE300" s="1"/>
      <c r="DF300" s="1"/>
      <c r="DG300" s="1"/>
      <c r="DH300" s="656"/>
      <c r="DJ300" s="116"/>
    </row>
    <row r="301" spans="2:114" ht="15.75" customHeight="1" x14ac:dyDescent="0.25">
      <c r="B301" s="116"/>
      <c r="I301" s="656"/>
      <c r="K301" s="116"/>
      <c r="X301" s="1"/>
      <c r="Y301" s="1"/>
      <c r="Z301" s="1"/>
      <c r="AA301" s="1"/>
      <c r="AB301" s="656"/>
      <c r="AC301" s="1"/>
      <c r="AD301" s="116"/>
      <c r="AL301" s="656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43"/>
      <c r="BL301" s="116"/>
      <c r="BU301" s="1"/>
      <c r="BV301" s="1"/>
      <c r="BW301" s="1"/>
      <c r="BX301" s="656"/>
      <c r="BZ301" s="657"/>
      <c r="CA301" s="1"/>
      <c r="CB301" s="1"/>
      <c r="CC301" s="1"/>
      <c r="CD301" s="1"/>
      <c r="CE301" s="1"/>
      <c r="CF301" s="1"/>
      <c r="CG301" s="1"/>
      <c r="CH301" s="1"/>
      <c r="CP301" s="305"/>
      <c r="CR301" s="116"/>
      <c r="CZ301" s="1"/>
      <c r="DA301" s="1"/>
      <c r="DB301" s="1"/>
      <c r="DC301" s="1"/>
      <c r="DD301" s="1"/>
      <c r="DE301" s="1"/>
      <c r="DF301" s="1"/>
      <c r="DG301" s="1"/>
      <c r="DH301" s="656"/>
      <c r="DJ301" s="116"/>
    </row>
    <row r="302" spans="2:114" ht="15.75" customHeight="1" x14ac:dyDescent="0.25">
      <c r="B302" s="116"/>
      <c r="I302" s="656"/>
      <c r="K302" s="116"/>
      <c r="X302" s="1"/>
      <c r="Y302" s="1"/>
      <c r="Z302" s="1"/>
      <c r="AA302" s="1"/>
      <c r="AB302" s="656"/>
      <c r="AC302" s="1"/>
      <c r="AD302" s="116"/>
      <c r="AL302" s="656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43"/>
      <c r="BL302" s="116"/>
      <c r="BU302" s="1"/>
      <c r="BV302" s="1"/>
      <c r="BW302" s="1"/>
      <c r="BX302" s="656"/>
      <c r="BZ302" s="657"/>
      <c r="CA302" s="1"/>
      <c r="CB302" s="1"/>
      <c r="CC302" s="1"/>
      <c r="CD302" s="1"/>
      <c r="CE302" s="1"/>
      <c r="CF302" s="1"/>
      <c r="CG302" s="1"/>
      <c r="CH302" s="1"/>
      <c r="CP302" s="305"/>
      <c r="CR302" s="116"/>
      <c r="CZ302" s="1"/>
      <c r="DA302" s="1"/>
      <c r="DB302" s="1"/>
      <c r="DC302" s="1"/>
      <c r="DD302" s="1"/>
      <c r="DE302" s="1"/>
      <c r="DF302" s="1"/>
      <c r="DG302" s="1"/>
      <c r="DH302" s="656"/>
      <c r="DJ302" s="116"/>
    </row>
    <row r="303" spans="2:114" ht="15.75" customHeight="1" x14ac:dyDescent="0.25">
      <c r="B303" s="116"/>
      <c r="I303" s="656"/>
      <c r="K303" s="116"/>
      <c r="X303" s="1"/>
      <c r="Y303" s="1"/>
      <c r="Z303" s="1"/>
      <c r="AA303" s="1"/>
      <c r="AB303" s="656"/>
      <c r="AC303" s="1"/>
      <c r="AD303" s="116"/>
      <c r="AL303" s="656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43"/>
      <c r="BL303" s="116"/>
      <c r="BU303" s="1"/>
      <c r="BV303" s="1"/>
      <c r="BW303" s="1"/>
      <c r="BX303" s="656"/>
      <c r="BZ303" s="657"/>
      <c r="CA303" s="1"/>
      <c r="CB303" s="1"/>
      <c r="CC303" s="1"/>
      <c r="CD303" s="1"/>
      <c r="CE303" s="1"/>
      <c r="CF303" s="1"/>
      <c r="CG303" s="1"/>
      <c r="CH303" s="1"/>
      <c r="CP303" s="305"/>
      <c r="CR303" s="116"/>
      <c r="CZ303" s="1"/>
      <c r="DA303" s="1"/>
      <c r="DB303" s="1"/>
      <c r="DC303" s="1"/>
      <c r="DD303" s="1"/>
      <c r="DE303" s="1"/>
      <c r="DF303" s="1"/>
      <c r="DG303" s="1"/>
      <c r="DH303" s="656"/>
      <c r="DJ303" s="116"/>
    </row>
    <row r="304" spans="2:114" ht="15.75" customHeight="1" x14ac:dyDescent="0.25">
      <c r="B304" s="116"/>
      <c r="I304" s="656"/>
      <c r="K304" s="116"/>
      <c r="X304" s="1"/>
      <c r="Y304" s="1"/>
      <c r="Z304" s="1"/>
      <c r="AA304" s="1"/>
      <c r="AB304" s="656"/>
      <c r="AC304" s="1"/>
      <c r="AD304" s="116"/>
      <c r="AL304" s="656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43"/>
      <c r="BL304" s="116"/>
      <c r="BU304" s="1"/>
      <c r="BV304" s="1"/>
      <c r="BW304" s="1"/>
      <c r="BX304" s="656"/>
      <c r="BZ304" s="657"/>
      <c r="CA304" s="1"/>
      <c r="CB304" s="1"/>
      <c r="CC304" s="1"/>
      <c r="CD304" s="1"/>
      <c r="CE304" s="1"/>
      <c r="CF304" s="1"/>
      <c r="CG304" s="1"/>
      <c r="CH304" s="1"/>
      <c r="CP304" s="305"/>
      <c r="CR304" s="116"/>
      <c r="CZ304" s="1"/>
      <c r="DA304" s="1"/>
      <c r="DB304" s="1"/>
      <c r="DC304" s="1"/>
      <c r="DD304" s="1"/>
      <c r="DE304" s="1"/>
      <c r="DF304" s="1"/>
      <c r="DG304" s="1"/>
      <c r="DH304" s="656"/>
      <c r="DJ304" s="116"/>
    </row>
    <row r="305" spans="2:114" ht="15.75" customHeight="1" x14ac:dyDescent="0.25">
      <c r="B305" s="116"/>
      <c r="I305" s="656"/>
      <c r="K305" s="116"/>
      <c r="X305" s="1"/>
      <c r="Y305" s="1"/>
      <c r="Z305" s="1"/>
      <c r="AA305" s="1"/>
      <c r="AB305" s="656"/>
      <c r="AC305" s="1"/>
      <c r="AD305" s="116"/>
      <c r="AL305" s="656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43"/>
      <c r="BL305" s="116"/>
      <c r="BU305" s="1"/>
      <c r="BV305" s="1"/>
      <c r="BW305" s="1"/>
      <c r="BX305" s="656"/>
      <c r="BZ305" s="657"/>
      <c r="CA305" s="1"/>
      <c r="CB305" s="1"/>
      <c r="CC305" s="1"/>
      <c r="CD305" s="1"/>
      <c r="CE305" s="1"/>
      <c r="CF305" s="1"/>
      <c r="CG305" s="1"/>
      <c r="CH305" s="1"/>
      <c r="CP305" s="305"/>
      <c r="CR305" s="116"/>
      <c r="CZ305" s="1"/>
      <c r="DA305" s="1"/>
      <c r="DB305" s="1"/>
      <c r="DC305" s="1"/>
      <c r="DD305" s="1"/>
      <c r="DE305" s="1"/>
      <c r="DF305" s="1"/>
      <c r="DG305" s="1"/>
      <c r="DH305" s="656"/>
      <c r="DJ305" s="116"/>
    </row>
    <row r="306" spans="2:114" ht="15.75" customHeight="1" x14ac:dyDescent="0.25">
      <c r="B306" s="116"/>
      <c r="I306" s="656"/>
      <c r="K306" s="116"/>
      <c r="X306" s="1"/>
      <c r="Y306" s="1"/>
      <c r="Z306" s="1"/>
      <c r="AA306" s="1"/>
      <c r="AB306" s="656"/>
      <c r="AC306" s="1"/>
      <c r="AD306" s="116"/>
      <c r="AL306" s="656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43"/>
      <c r="BL306" s="116"/>
      <c r="BU306" s="1"/>
      <c r="BV306" s="1"/>
      <c r="BW306" s="1"/>
      <c r="BX306" s="656"/>
      <c r="BZ306" s="657"/>
      <c r="CA306" s="1"/>
      <c r="CB306" s="1"/>
      <c r="CC306" s="1"/>
      <c r="CD306" s="1"/>
      <c r="CE306" s="1"/>
      <c r="CF306" s="1"/>
      <c r="CG306" s="1"/>
      <c r="CH306" s="1"/>
      <c r="CP306" s="305"/>
      <c r="CR306" s="116"/>
      <c r="CZ306" s="1"/>
      <c r="DA306" s="1"/>
      <c r="DB306" s="1"/>
      <c r="DC306" s="1"/>
      <c r="DD306" s="1"/>
      <c r="DE306" s="1"/>
      <c r="DF306" s="1"/>
      <c r="DG306" s="1"/>
      <c r="DH306" s="656"/>
      <c r="DJ306" s="116"/>
    </row>
    <row r="307" spans="2:114" ht="15.75" customHeight="1" x14ac:dyDescent="0.25">
      <c r="B307" s="116"/>
      <c r="I307" s="656"/>
      <c r="K307" s="116"/>
      <c r="X307" s="1"/>
      <c r="Y307" s="1"/>
      <c r="Z307" s="1"/>
      <c r="AA307" s="1"/>
      <c r="AB307" s="656"/>
      <c r="AC307" s="1"/>
      <c r="AD307" s="116"/>
      <c r="AL307" s="656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43"/>
      <c r="BL307" s="116"/>
      <c r="BU307" s="1"/>
      <c r="BV307" s="1"/>
      <c r="BW307" s="1"/>
      <c r="BX307" s="656"/>
      <c r="BZ307" s="657"/>
      <c r="CA307" s="1"/>
      <c r="CB307" s="1"/>
      <c r="CC307" s="1"/>
      <c r="CD307" s="1"/>
      <c r="CE307" s="1"/>
      <c r="CF307" s="1"/>
      <c r="CG307" s="1"/>
      <c r="CH307" s="1"/>
      <c r="CP307" s="305"/>
      <c r="CR307" s="116"/>
      <c r="CZ307" s="1"/>
      <c r="DA307" s="1"/>
      <c r="DB307" s="1"/>
      <c r="DC307" s="1"/>
      <c r="DD307" s="1"/>
      <c r="DE307" s="1"/>
      <c r="DF307" s="1"/>
      <c r="DG307" s="1"/>
      <c r="DH307" s="656"/>
      <c r="DJ307" s="116"/>
    </row>
    <row r="308" spans="2:114" ht="15.75" customHeight="1" x14ac:dyDescent="0.25">
      <c r="B308" s="116"/>
      <c r="I308" s="656"/>
      <c r="K308" s="116"/>
      <c r="X308" s="1"/>
      <c r="Y308" s="1"/>
      <c r="Z308" s="1"/>
      <c r="AA308" s="1"/>
      <c r="AB308" s="656"/>
      <c r="AC308" s="1"/>
      <c r="AD308" s="116"/>
      <c r="AL308" s="656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43"/>
      <c r="BL308" s="116"/>
      <c r="BU308" s="1"/>
      <c r="BV308" s="1"/>
      <c r="BW308" s="1"/>
      <c r="BX308" s="656"/>
      <c r="BZ308" s="657"/>
      <c r="CA308" s="1"/>
      <c r="CB308" s="1"/>
      <c r="CC308" s="1"/>
      <c r="CD308" s="1"/>
      <c r="CE308" s="1"/>
      <c r="CF308" s="1"/>
      <c r="CG308" s="1"/>
      <c r="CH308" s="1"/>
      <c r="CP308" s="305"/>
      <c r="CR308" s="116"/>
      <c r="CZ308" s="1"/>
      <c r="DA308" s="1"/>
      <c r="DB308" s="1"/>
      <c r="DC308" s="1"/>
      <c r="DD308" s="1"/>
      <c r="DE308" s="1"/>
      <c r="DF308" s="1"/>
      <c r="DG308" s="1"/>
      <c r="DH308" s="656"/>
      <c r="DJ308" s="116"/>
    </row>
    <row r="309" spans="2:114" ht="15.75" customHeight="1" x14ac:dyDescent="0.25">
      <c r="B309" s="116"/>
      <c r="I309" s="656"/>
      <c r="K309" s="116"/>
      <c r="X309" s="1"/>
      <c r="Y309" s="1"/>
      <c r="Z309" s="1"/>
      <c r="AA309" s="1"/>
      <c r="AB309" s="656"/>
      <c r="AC309" s="1"/>
      <c r="AD309" s="116"/>
      <c r="AL309" s="656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43"/>
      <c r="BL309" s="116"/>
      <c r="BU309" s="1"/>
      <c r="BV309" s="1"/>
      <c r="BW309" s="1"/>
      <c r="BX309" s="656"/>
      <c r="BZ309" s="657"/>
      <c r="CA309" s="1"/>
      <c r="CB309" s="1"/>
      <c r="CC309" s="1"/>
      <c r="CD309" s="1"/>
      <c r="CE309" s="1"/>
      <c r="CF309" s="1"/>
      <c r="CG309" s="1"/>
      <c r="CH309" s="1"/>
      <c r="CP309" s="305"/>
      <c r="CR309" s="116"/>
      <c r="CZ309" s="1"/>
      <c r="DA309" s="1"/>
      <c r="DB309" s="1"/>
      <c r="DC309" s="1"/>
      <c r="DD309" s="1"/>
      <c r="DE309" s="1"/>
      <c r="DF309" s="1"/>
      <c r="DG309" s="1"/>
      <c r="DH309" s="656"/>
      <c r="DJ309" s="116"/>
    </row>
    <row r="310" spans="2:114" ht="15.75" customHeight="1" x14ac:dyDescent="0.25">
      <c r="B310" s="116"/>
      <c r="I310" s="656"/>
      <c r="K310" s="116"/>
      <c r="X310" s="1"/>
      <c r="Y310" s="1"/>
      <c r="Z310" s="1"/>
      <c r="AA310" s="1"/>
      <c r="AB310" s="656"/>
      <c r="AC310" s="1"/>
      <c r="AD310" s="116"/>
      <c r="AL310" s="656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43"/>
      <c r="BL310" s="116"/>
      <c r="BU310" s="1"/>
      <c r="BV310" s="1"/>
      <c r="BW310" s="1"/>
      <c r="BX310" s="656"/>
      <c r="BZ310" s="657"/>
      <c r="CA310" s="1"/>
      <c r="CB310" s="1"/>
      <c r="CC310" s="1"/>
      <c r="CD310" s="1"/>
      <c r="CE310" s="1"/>
      <c r="CF310" s="1"/>
      <c r="CG310" s="1"/>
      <c r="CH310" s="1"/>
      <c r="CP310" s="305"/>
      <c r="CR310" s="116"/>
      <c r="CZ310" s="1"/>
      <c r="DA310" s="1"/>
      <c r="DB310" s="1"/>
      <c r="DC310" s="1"/>
      <c r="DD310" s="1"/>
      <c r="DE310" s="1"/>
      <c r="DF310" s="1"/>
      <c r="DG310" s="1"/>
      <c r="DH310" s="656"/>
      <c r="DJ310" s="116"/>
    </row>
    <row r="311" spans="2:114" ht="15.75" customHeight="1" x14ac:dyDescent="0.25">
      <c r="B311" s="116"/>
      <c r="I311" s="656"/>
      <c r="K311" s="116"/>
      <c r="X311" s="1"/>
      <c r="Y311" s="1"/>
      <c r="Z311" s="1"/>
      <c r="AA311" s="1"/>
      <c r="AB311" s="656"/>
      <c r="AC311" s="1"/>
      <c r="AD311" s="116"/>
      <c r="AL311" s="656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43"/>
      <c r="BL311" s="116"/>
      <c r="BU311" s="1"/>
      <c r="BV311" s="1"/>
      <c r="BW311" s="1"/>
      <c r="BX311" s="656"/>
      <c r="BZ311" s="657"/>
      <c r="CA311" s="1"/>
      <c r="CB311" s="1"/>
      <c r="CC311" s="1"/>
      <c r="CD311" s="1"/>
      <c r="CE311" s="1"/>
      <c r="CF311" s="1"/>
      <c r="CG311" s="1"/>
      <c r="CH311" s="1"/>
      <c r="CP311" s="305"/>
      <c r="CR311" s="116"/>
      <c r="CZ311" s="1"/>
      <c r="DA311" s="1"/>
      <c r="DB311" s="1"/>
      <c r="DC311" s="1"/>
      <c r="DD311" s="1"/>
      <c r="DE311" s="1"/>
      <c r="DF311" s="1"/>
      <c r="DG311" s="1"/>
      <c r="DH311" s="656"/>
      <c r="DJ311" s="116"/>
    </row>
    <row r="312" spans="2:114" ht="15.75" customHeight="1" x14ac:dyDescent="0.25">
      <c r="B312" s="116"/>
      <c r="I312" s="656"/>
      <c r="K312" s="116"/>
      <c r="X312" s="1"/>
      <c r="Y312" s="1"/>
      <c r="Z312" s="1"/>
      <c r="AA312" s="1"/>
      <c r="AB312" s="656"/>
      <c r="AC312" s="1"/>
      <c r="AD312" s="116"/>
      <c r="AL312" s="656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43"/>
      <c r="BL312" s="116"/>
      <c r="BU312" s="1"/>
      <c r="BV312" s="1"/>
      <c r="BW312" s="1"/>
      <c r="BX312" s="656"/>
      <c r="BZ312" s="657"/>
      <c r="CA312" s="1"/>
      <c r="CB312" s="1"/>
      <c r="CC312" s="1"/>
      <c r="CD312" s="1"/>
      <c r="CE312" s="1"/>
      <c r="CF312" s="1"/>
      <c r="CG312" s="1"/>
      <c r="CH312" s="1"/>
      <c r="CP312" s="305"/>
      <c r="CR312" s="116"/>
      <c r="CZ312" s="1"/>
      <c r="DA312" s="1"/>
      <c r="DB312" s="1"/>
      <c r="DC312" s="1"/>
      <c r="DD312" s="1"/>
      <c r="DE312" s="1"/>
      <c r="DF312" s="1"/>
      <c r="DG312" s="1"/>
      <c r="DH312" s="656"/>
      <c r="DJ312" s="116"/>
    </row>
    <row r="313" spans="2:114" ht="15.75" customHeight="1" x14ac:dyDescent="0.25">
      <c r="B313" s="116"/>
      <c r="I313" s="656"/>
      <c r="K313" s="116"/>
      <c r="X313" s="1"/>
      <c r="Y313" s="1"/>
      <c r="Z313" s="1"/>
      <c r="AA313" s="1"/>
      <c r="AB313" s="656"/>
      <c r="AC313" s="1"/>
      <c r="AD313" s="116"/>
      <c r="AL313" s="656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43"/>
      <c r="BL313" s="116"/>
      <c r="BU313" s="1"/>
      <c r="BV313" s="1"/>
      <c r="BW313" s="1"/>
      <c r="BX313" s="656"/>
      <c r="BZ313" s="657"/>
      <c r="CA313" s="1"/>
      <c r="CB313" s="1"/>
      <c r="CC313" s="1"/>
      <c r="CD313" s="1"/>
      <c r="CE313" s="1"/>
      <c r="CF313" s="1"/>
      <c r="CG313" s="1"/>
      <c r="CH313" s="1"/>
      <c r="CP313" s="305"/>
      <c r="CR313" s="116"/>
      <c r="CZ313" s="1"/>
      <c r="DA313" s="1"/>
      <c r="DB313" s="1"/>
      <c r="DC313" s="1"/>
      <c r="DD313" s="1"/>
      <c r="DE313" s="1"/>
      <c r="DF313" s="1"/>
      <c r="DG313" s="1"/>
      <c r="DH313" s="656"/>
      <c r="DJ313" s="116"/>
    </row>
    <row r="314" spans="2:114" ht="15.75" customHeight="1" x14ac:dyDescent="0.25">
      <c r="B314" s="116"/>
      <c r="I314" s="656"/>
      <c r="K314" s="116"/>
      <c r="X314" s="1"/>
      <c r="Y314" s="1"/>
      <c r="Z314" s="1"/>
      <c r="AA314" s="1"/>
      <c r="AB314" s="656"/>
      <c r="AC314" s="1"/>
      <c r="AD314" s="116"/>
      <c r="AL314" s="656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43"/>
      <c r="BL314" s="116"/>
      <c r="BU314" s="1"/>
      <c r="BV314" s="1"/>
      <c r="BW314" s="1"/>
      <c r="BX314" s="656"/>
      <c r="BZ314" s="657"/>
      <c r="CA314" s="1"/>
      <c r="CB314" s="1"/>
      <c r="CC314" s="1"/>
      <c r="CD314" s="1"/>
      <c r="CE314" s="1"/>
      <c r="CF314" s="1"/>
      <c r="CG314" s="1"/>
      <c r="CH314" s="1"/>
      <c r="CP314" s="305"/>
      <c r="CR314" s="116"/>
      <c r="CZ314" s="1"/>
      <c r="DA314" s="1"/>
      <c r="DB314" s="1"/>
      <c r="DC314" s="1"/>
      <c r="DD314" s="1"/>
      <c r="DE314" s="1"/>
      <c r="DF314" s="1"/>
      <c r="DG314" s="1"/>
      <c r="DH314" s="656"/>
      <c r="DJ314" s="116"/>
    </row>
    <row r="315" spans="2:114" ht="15.75" customHeight="1" x14ac:dyDescent="0.25">
      <c r="B315" s="116"/>
      <c r="I315" s="656"/>
      <c r="K315" s="116"/>
      <c r="X315" s="1"/>
      <c r="Y315" s="1"/>
      <c r="Z315" s="1"/>
      <c r="AA315" s="1"/>
      <c r="AB315" s="656"/>
      <c r="AC315" s="1"/>
      <c r="AD315" s="116"/>
      <c r="AL315" s="656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43"/>
      <c r="BL315" s="116"/>
      <c r="BU315" s="1"/>
      <c r="BV315" s="1"/>
      <c r="BW315" s="1"/>
      <c r="BX315" s="656"/>
      <c r="BZ315" s="657"/>
      <c r="CA315" s="1"/>
      <c r="CB315" s="1"/>
      <c r="CC315" s="1"/>
      <c r="CD315" s="1"/>
      <c r="CE315" s="1"/>
      <c r="CF315" s="1"/>
      <c r="CG315" s="1"/>
      <c r="CH315" s="1"/>
      <c r="CP315" s="305"/>
      <c r="CR315" s="116"/>
      <c r="CZ315" s="1"/>
      <c r="DA315" s="1"/>
      <c r="DB315" s="1"/>
      <c r="DC315" s="1"/>
      <c r="DD315" s="1"/>
      <c r="DE315" s="1"/>
      <c r="DF315" s="1"/>
      <c r="DG315" s="1"/>
      <c r="DH315" s="656"/>
      <c r="DJ315" s="116"/>
    </row>
    <row r="316" spans="2:114" ht="15.75" customHeight="1" x14ac:dyDescent="0.25">
      <c r="B316" s="116"/>
      <c r="I316" s="656"/>
      <c r="K316" s="116"/>
      <c r="X316" s="1"/>
      <c r="Y316" s="1"/>
      <c r="Z316" s="1"/>
      <c r="AA316" s="1"/>
      <c r="AB316" s="656"/>
      <c r="AC316" s="1"/>
      <c r="AD316" s="116"/>
      <c r="AL316" s="656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43"/>
      <c r="BL316" s="116"/>
      <c r="BU316" s="1"/>
      <c r="BV316" s="1"/>
      <c r="BW316" s="1"/>
      <c r="BX316" s="656"/>
      <c r="BZ316" s="657"/>
      <c r="CA316" s="1"/>
      <c r="CB316" s="1"/>
      <c r="CC316" s="1"/>
      <c r="CD316" s="1"/>
      <c r="CE316" s="1"/>
      <c r="CF316" s="1"/>
      <c r="CG316" s="1"/>
      <c r="CH316" s="1"/>
      <c r="CP316" s="305"/>
      <c r="CR316" s="116"/>
      <c r="CZ316" s="1"/>
      <c r="DA316" s="1"/>
      <c r="DB316" s="1"/>
      <c r="DC316" s="1"/>
      <c r="DD316" s="1"/>
      <c r="DE316" s="1"/>
      <c r="DF316" s="1"/>
      <c r="DG316" s="1"/>
      <c r="DH316" s="656"/>
      <c r="DJ316" s="116"/>
    </row>
    <row r="317" spans="2:114" ht="15.75" customHeight="1" x14ac:dyDescent="0.25">
      <c r="B317" s="116"/>
      <c r="I317" s="656"/>
      <c r="K317" s="116"/>
      <c r="X317" s="1"/>
      <c r="Y317" s="1"/>
      <c r="Z317" s="1"/>
      <c r="AA317" s="1"/>
      <c r="AB317" s="656"/>
      <c r="AC317" s="1"/>
      <c r="AD317" s="116"/>
      <c r="AL317" s="656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43"/>
      <c r="BL317" s="116"/>
      <c r="BU317" s="1"/>
      <c r="BV317" s="1"/>
      <c r="BW317" s="1"/>
      <c r="BX317" s="656"/>
      <c r="BZ317" s="657"/>
      <c r="CA317" s="1"/>
      <c r="CB317" s="1"/>
      <c r="CC317" s="1"/>
      <c r="CD317" s="1"/>
      <c r="CE317" s="1"/>
      <c r="CF317" s="1"/>
      <c r="CG317" s="1"/>
      <c r="CH317" s="1"/>
      <c r="CP317" s="305"/>
      <c r="CR317" s="116"/>
      <c r="CZ317" s="1"/>
      <c r="DA317" s="1"/>
      <c r="DB317" s="1"/>
      <c r="DC317" s="1"/>
      <c r="DD317" s="1"/>
      <c r="DE317" s="1"/>
      <c r="DF317" s="1"/>
      <c r="DG317" s="1"/>
      <c r="DH317" s="656"/>
      <c r="DJ317" s="116"/>
    </row>
    <row r="318" spans="2:114" ht="15.75" customHeight="1" x14ac:dyDescent="0.25">
      <c r="B318" s="116"/>
      <c r="I318" s="656"/>
      <c r="K318" s="116"/>
      <c r="X318" s="1"/>
      <c r="Y318" s="1"/>
      <c r="Z318" s="1"/>
      <c r="AA318" s="1"/>
      <c r="AB318" s="656"/>
      <c r="AC318" s="1"/>
      <c r="AD318" s="116"/>
      <c r="AL318" s="656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43"/>
      <c r="BL318" s="116"/>
      <c r="BU318" s="1"/>
      <c r="BV318" s="1"/>
      <c r="BW318" s="1"/>
      <c r="BX318" s="656"/>
      <c r="BZ318" s="657"/>
      <c r="CA318" s="1"/>
      <c r="CB318" s="1"/>
      <c r="CC318" s="1"/>
      <c r="CD318" s="1"/>
      <c r="CE318" s="1"/>
      <c r="CF318" s="1"/>
      <c r="CG318" s="1"/>
      <c r="CH318" s="1"/>
      <c r="CP318" s="305"/>
      <c r="CR318" s="116"/>
      <c r="CZ318" s="1"/>
      <c r="DA318" s="1"/>
      <c r="DB318" s="1"/>
      <c r="DC318" s="1"/>
      <c r="DD318" s="1"/>
      <c r="DE318" s="1"/>
      <c r="DF318" s="1"/>
      <c r="DG318" s="1"/>
      <c r="DH318" s="656"/>
      <c r="DJ318" s="116"/>
    </row>
    <row r="319" spans="2:114" ht="15.75" customHeight="1" x14ac:dyDescent="0.25">
      <c r="B319" s="116"/>
      <c r="I319" s="656"/>
      <c r="K319" s="116"/>
      <c r="X319" s="1"/>
      <c r="Y319" s="1"/>
      <c r="Z319" s="1"/>
      <c r="AA319" s="1"/>
      <c r="AB319" s="656"/>
      <c r="AC319" s="1"/>
      <c r="AD319" s="116"/>
      <c r="AL319" s="656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43"/>
      <c r="BL319" s="116"/>
      <c r="BU319" s="1"/>
      <c r="BV319" s="1"/>
      <c r="BW319" s="1"/>
      <c r="BX319" s="656"/>
      <c r="BZ319" s="657"/>
      <c r="CA319" s="1"/>
      <c r="CB319" s="1"/>
      <c r="CC319" s="1"/>
      <c r="CD319" s="1"/>
      <c r="CE319" s="1"/>
      <c r="CF319" s="1"/>
      <c r="CG319" s="1"/>
      <c r="CH319" s="1"/>
      <c r="CP319" s="305"/>
      <c r="CR319" s="116"/>
      <c r="CZ319" s="1"/>
      <c r="DA319" s="1"/>
      <c r="DB319" s="1"/>
      <c r="DC319" s="1"/>
      <c r="DD319" s="1"/>
      <c r="DE319" s="1"/>
      <c r="DF319" s="1"/>
      <c r="DG319" s="1"/>
      <c r="DH319" s="656"/>
      <c r="DJ319" s="116"/>
    </row>
    <row r="320" spans="2:114" ht="15.75" customHeight="1" x14ac:dyDescent="0.25">
      <c r="B320" s="116"/>
      <c r="I320" s="656"/>
      <c r="K320" s="116"/>
      <c r="X320" s="1"/>
      <c r="Y320" s="1"/>
      <c r="Z320" s="1"/>
      <c r="AA320" s="1"/>
      <c r="AB320" s="656"/>
      <c r="AC320" s="1"/>
      <c r="AD320" s="116"/>
      <c r="AL320" s="656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43"/>
      <c r="BL320" s="116"/>
      <c r="BU320" s="1"/>
      <c r="BV320" s="1"/>
      <c r="BW320" s="1"/>
      <c r="BX320" s="656"/>
      <c r="BZ320" s="657"/>
      <c r="CA320" s="1"/>
      <c r="CB320" s="1"/>
      <c r="CC320" s="1"/>
      <c r="CD320" s="1"/>
      <c r="CE320" s="1"/>
      <c r="CF320" s="1"/>
      <c r="CG320" s="1"/>
      <c r="CH320" s="1"/>
      <c r="CP320" s="305"/>
      <c r="CR320" s="116"/>
      <c r="CZ320" s="1"/>
      <c r="DA320" s="1"/>
      <c r="DB320" s="1"/>
      <c r="DC320" s="1"/>
      <c r="DD320" s="1"/>
      <c r="DE320" s="1"/>
      <c r="DF320" s="1"/>
      <c r="DG320" s="1"/>
      <c r="DH320" s="656"/>
      <c r="DJ320" s="116"/>
    </row>
    <row r="321" spans="2:114" ht="15.75" customHeight="1" x14ac:dyDescent="0.25">
      <c r="B321" s="116"/>
      <c r="I321" s="656"/>
      <c r="K321" s="116"/>
      <c r="X321" s="1"/>
      <c r="Y321" s="1"/>
      <c r="Z321" s="1"/>
      <c r="AA321" s="1"/>
      <c r="AB321" s="656"/>
      <c r="AC321" s="1"/>
      <c r="AD321" s="116"/>
      <c r="AL321" s="656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43"/>
      <c r="BL321" s="116"/>
      <c r="BU321" s="1"/>
      <c r="BV321" s="1"/>
      <c r="BW321" s="1"/>
      <c r="BX321" s="656"/>
      <c r="BZ321" s="657"/>
      <c r="CA321" s="1"/>
      <c r="CB321" s="1"/>
      <c r="CC321" s="1"/>
      <c r="CD321" s="1"/>
      <c r="CE321" s="1"/>
      <c r="CF321" s="1"/>
      <c r="CG321" s="1"/>
      <c r="CH321" s="1"/>
      <c r="CP321" s="305"/>
      <c r="CR321" s="116"/>
      <c r="CZ321" s="1"/>
      <c r="DA321" s="1"/>
      <c r="DB321" s="1"/>
      <c r="DC321" s="1"/>
      <c r="DD321" s="1"/>
      <c r="DE321" s="1"/>
      <c r="DF321" s="1"/>
      <c r="DG321" s="1"/>
      <c r="DH321" s="656"/>
      <c r="DJ321" s="116"/>
    </row>
    <row r="322" spans="2:114" ht="15.75" customHeight="1" x14ac:dyDescent="0.25">
      <c r="B322" s="116"/>
      <c r="I322" s="656"/>
      <c r="K322" s="116"/>
      <c r="X322" s="1"/>
      <c r="Y322" s="1"/>
      <c r="Z322" s="1"/>
      <c r="AA322" s="1"/>
      <c r="AB322" s="656"/>
      <c r="AC322" s="1"/>
      <c r="AD322" s="116"/>
      <c r="AL322" s="656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43"/>
      <c r="BL322" s="116"/>
      <c r="BU322" s="1"/>
      <c r="BV322" s="1"/>
      <c r="BW322" s="1"/>
      <c r="BX322" s="656"/>
      <c r="BZ322" s="657"/>
      <c r="CA322" s="1"/>
      <c r="CB322" s="1"/>
      <c r="CC322" s="1"/>
      <c r="CD322" s="1"/>
      <c r="CE322" s="1"/>
      <c r="CF322" s="1"/>
      <c r="CG322" s="1"/>
      <c r="CH322" s="1"/>
      <c r="CP322" s="305"/>
      <c r="CR322" s="116"/>
      <c r="CZ322" s="1"/>
      <c r="DA322" s="1"/>
      <c r="DB322" s="1"/>
      <c r="DC322" s="1"/>
      <c r="DD322" s="1"/>
      <c r="DE322" s="1"/>
      <c r="DF322" s="1"/>
      <c r="DG322" s="1"/>
      <c r="DH322" s="656"/>
      <c r="DJ322" s="116"/>
    </row>
    <row r="323" spans="2:114" ht="15.75" customHeight="1" x14ac:dyDescent="0.25">
      <c r="B323" s="116"/>
      <c r="I323" s="656"/>
      <c r="K323" s="116"/>
      <c r="X323" s="1"/>
      <c r="Y323" s="1"/>
      <c r="Z323" s="1"/>
      <c r="AA323" s="1"/>
      <c r="AB323" s="656"/>
      <c r="AC323" s="1"/>
      <c r="AD323" s="116"/>
      <c r="AL323" s="656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43"/>
      <c r="BL323" s="116"/>
      <c r="BU323" s="1"/>
      <c r="BV323" s="1"/>
      <c r="BW323" s="1"/>
      <c r="BX323" s="656"/>
      <c r="BZ323" s="657"/>
      <c r="CA323" s="1"/>
      <c r="CB323" s="1"/>
      <c r="CC323" s="1"/>
      <c r="CD323" s="1"/>
      <c r="CE323" s="1"/>
      <c r="CF323" s="1"/>
      <c r="CG323" s="1"/>
      <c r="CH323" s="1"/>
      <c r="CP323" s="305"/>
      <c r="CR323" s="116"/>
      <c r="CZ323" s="1"/>
      <c r="DA323" s="1"/>
      <c r="DB323" s="1"/>
      <c r="DC323" s="1"/>
      <c r="DD323" s="1"/>
      <c r="DE323" s="1"/>
      <c r="DF323" s="1"/>
      <c r="DG323" s="1"/>
      <c r="DH323" s="656"/>
      <c r="DJ323" s="116"/>
    </row>
    <row r="324" spans="2:114" ht="15.75" customHeight="1" x14ac:dyDescent="0.25">
      <c r="B324" s="116"/>
      <c r="I324" s="656"/>
      <c r="K324" s="116"/>
      <c r="X324" s="1"/>
      <c r="Y324" s="1"/>
      <c r="Z324" s="1"/>
      <c r="AA324" s="1"/>
      <c r="AB324" s="656"/>
      <c r="AC324" s="1"/>
      <c r="AD324" s="116"/>
      <c r="AL324" s="656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43"/>
      <c r="BL324" s="116"/>
      <c r="BU324" s="1"/>
      <c r="BV324" s="1"/>
      <c r="BW324" s="1"/>
      <c r="BX324" s="656"/>
      <c r="BZ324" s="657"/>
      <c r="CA324" s="1"/>
      <c r="CB324" s="1"/>
      <c r="CC324" s="1"/>
      <c r="CD324" s="1"/>
      <c r="CE324" s="1"/>
      <c r="CF324" s="1"/>
      <c r="CG324" s="1"/>
      <c r="CH324" s="1"/>
      <c r="CP324" s="305"/>
      <c r="CR324" s="116"/>
      <c r="CZ324" s="1"/>
      <c r="DA324" s="1"/>
      <c r="DB324" s="1"/>
      <c r="DC324" s="1"/>
      <c r="DD324" s="1"/>
      <c r="DE324" s="1"/>
      <c r="DF324" s="1"/>
      <c r="DG324" s="1"/>
      <c r="DH324" s="656"/>
      <c r="DJ324" s="116"/>
    </row>
    <row r="325" spans="2:114" ht="15.75" customHeight="1" x14ac:dyDescent="0.25">
      <c r="B325" s="116"/>
      <c r="I325" s="656"/>
      <c r="K325" s="116"/>
      <c r="X325" s="1"/>
      <c r="Y325" s="1"/>
      <c r="Z325" s="1"/>
      <c r="AA325" s="1"/>
      <c r="AB325" s="656"/>
      <c r="AC325" s="1"/>
      <c r="AD325" s="116"/>
      <c r="AL325" s="656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43"/>
      <c r="BL325" s="116"/>
      <c r="BU325" s="1"/>
      <c r="BV325" s="1"/>
      <c r="BW325" s="1"/>
      <c r="BX325" s="656"/>
      <c r="BZ325" s="657"/>
      <c r="CA325" s="1"/>
      <c r="CB325" s="1"/>
      <c r="CC325" s="1"/>
      <c r="CD325" s="1"/>
      <c r="CE325" s="1"/>
      <c r="CF325" s="1"/>
      <c r="CG325" s="1"/>
      <c r="CH325" s="1"/>
      <c r="CP325" s="305"/>
      <c r="CR325" s="116"/>
      <c r="CZ325" s="1"/>
      <c r="DA325" s="1"/>
      <c r="DB325" s="1"/>
      <c r="DC325" s="1"/>
      <c r="DD325" s="1"/>
      <c r="DE325" s="1"/>
      <c r="DF325" s="1"/>
      <c r="DG325" s="1"/>
      <c r="DH325" s="656"/>
      <c r="DJ325" s="116"/>
    </row>
    <row r="326" spans="2:114" ht="15.75" customHeight="1" x14ac:dyDescent="0.25">
      <c r="B326" s="116"/>
      <c r="I326" s="656"/>
      <c r="K326" s="116"/>
      <c r="X326" s="1"/>
      <c r="Y326" s="1"/>
      <c r="Z326" s="1"/>
      <c r="AA326" s="1"/>
      <c r="AB326" s="656"/>
      <c r="AC326" s="1"/>
      <c r="AD326" s="116"/>
      <c r="AL326" s="656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43"/>
      <c r="BL326" s="116"/>
      <c r="BU326" s="1"/>
      <c r="BV326" s="1"/>
      <c r="BW326" s="1"/>
      <c r="BX326" s="656"/>
      <c r="BZ326" s="657"/>
      <c r="CA326" s="1"/>
      <c r="CB326" s="1"/>
      <c r="CC326" s="1"/>
      <c r="CD326" s="1"/>
      <c r="CE326" s="1"/>
      <c r="CF326" s="1"/>
      <c r="CG326" s="1"/>
      <c r="CH326" s="1"/>
      <c r="CP326" s="305"/>
      <c r="CR326" s="116"/>
      <c r="CZ326" s="1"/>
      <c r="DA326" s="1"/>
      <c r="DB326" s="1"/>
      <c r="DC326" s="1"/>
      <c r="DD326" s="1"/>
      <c r="DE326" s="1"/>
      <c r="DF326" s="1"/>
      <c r="DG326" s="1"/>
      <c r="DH326" s="656"/>
      <c r="DJ326" s="116"/>
    </row>
    <row r="327" spans="2:114" ht="15.75" customHeight="1" x14ac:dyDescent="0.25">
      <c r="B327" s="116"/>
      <c r="I327" s="656"/>
      <c r="K327" s="116"/>
      <c r="X327" s="1"/>
      <c r="Y327" s="1"/>
      <c r="Z327" s="1"/>
      <c r="AA327" s="1"/>
      <c r="AB327" s="656"/>
      <c r="AC327" s="1"/>
      <c r="AD327" s="116"/>
      <c r="AL327" s="656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43"/>
      <c r="BL327" s="116"/>
      <c r="BU327" s="1"/>
      <c r="BV327" s="1"/>
      <c r="BW327" s="1"/>
      <c r="BX327" s="656"/>
      <c r="BZ327" s="657"/>
      <c r="CA327" s="1"/>
      <c r="CB327" s="1"/>
      <c r="CC327" s="1"/>
      <c r="CD327" s="1"/>
      <c r="CE327" s="1"/>
      <c r="CF327" s="1"/>
      <c r="CG327" s="1"/>
      <c r="CH327" s="1"/>
      <c r="CP327" s="305"/>
      <c r="CR327" s="116"/>
      <c r="CZ327" s="1"/>
      <c r="DA327" s="1"/>
      <c r="DB327" s="1"/>
      <c r="DC327" s="1"/>
      <c r="DD327" s="1"/>
      <c r="DE327" s="1"/>
      <c r="DF327" s="1"/>
      <c r="DG327" s="1"/>
      <c r="DH327" s="656"/>
      <c r="DJ327" s="116"/>
    </row>
    <row r="328" spans="2:114" ht="15.75" customHeight="1" x14ac:dyDescent="0.25">
      <c r="B328" s="116"/>
      <c r="I328" s="656"/>
      <c r="K328" s="116"/>
      <c r="X328" s="1"/>
      <c r="Y328" s="1"/>
      <c r="Z328" s="1"/>
      <c r="AA328" s="1"/>
      <c r="AB328" s="656"/>
      <c r="AC328" s="1"/>
      <c r="AD328" s="116"/>
      <c r="AL328" s="656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43"/>
      <c r="BL328" s="116"/>
      <c r="BU328" s="1"/>
      <c r="BV328" s="1"/>
      <c r="BW328" s="1"/>
      <c r="BX328" s="656"/>
      <c r="BZ328" s="657"/>
      <c r="CA328" s="1"/>
      <c r="CB328" s="1"/>
      <c r="CC328" s="1"/>
      <c r="CD328" s="1"/>
      <c r="CE328" s="1"/>
      <c r="CF328" s="1"/>
      <c r="CG328" s="1"/>
      <c r="CH328" s="1"/>
      <c r="CP328" s="305"/>
      <c r="CR328" s="116"/>
      <c r="CZ328" s="1"/>
      <c r="DA328" s="1"/>
      <c r="DB328" s="1"/>
      <c r="DC328" s="1"/>
      <c r="DD328" s="1"/>
      <c r="DE328" s="1"/>
      <c r="DF328" s="1"/>
      <c r="DG328" s="1"/>
      <c r="DH328" s="656"/>
      <c r="DJ328" s="116"/>
    </row>
    <row r="329" spans="2:114" ht="15.75" customHeight="1" x14ac:dyDescent="0.25">
      <c r="B329" s="116"/>
      <c r="I329" s="656"/>
      <c r="K329" s="116"/>
      <c r="X329" s="1"/>
      <c r="Y329" s="1"/>
      <c r="Z329" s="1"/>
      <c r="AA329" s="1"/>
      <c r="AB329" s="656"/>
      <c r="AC329" s="1"/>
      <c r="AD329" s="116"/>
      <c r="AL329" s="656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43"/>
      <c r="BL329" s="116"/>
      <c r="BU329" s="1"/>
      <c r="BV329" s="1"/>
      <c r="BW329" s="1"/>
      <c r="BX329" s="656"/>
      <c r="BZ329" s="657"/>
      <c r="CA329" s="1"/>
      <c r="CB329" s="1"/>
      <c r="CC329" s="1"/>
      <c r="CD329" s="1"/>
      <c r="CE329" s="1"/>
      <c r="CF329" s="1"/>
      <c r="CG329" s="1"/>
      <c r="CH329" s="1"/>
      <c r="CP329" s="305"/>
      <c r="CR329" s="116"/>
      <c r="CZ329" s="1"/>
      <c r="DA329" s="1"/>
      <c r="DB329" s="1"/>
      <c r="DC329" s="1"/>
      <c r="DD329" s="1"/>
      <c r="DE329" s="1"/>
      <c r="DF329" s="1"/>
      <c r="DG329" s="1"/>
      <c r="DH329" s="656"/>
      <c r="DJ329" s="116"/>
    </row>
    <row r="330" spans="2:114" ht="15.75" customHeight="1" x14ac:dyDescent="0.25">
      <c r="B330" s="116"/>
      <c r="I330" s="656"/>
      <c r="K330" s="116"/>
      <c r="X330" s="1"/>
      <c r="Y330" s="1"/>
      <c r="Z330" s="1"/>
      <c r="AA330" s="1"/>
      <c r="AB330" s="656"/>
      <c r="AC330" s="1"/>
      <c r="AD330" s="116"/>
      <c r="AL330" s="656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43"/>
      <c r="BL330" s="116"/>
      <c r="BU330" s="1"/>
      <c r="BV330" s="1"/>
      <c r="BW330" s="1"/>
      <c r="BX330" s="656"/>
      <c r="BZ330" s="657"/>
      <c r="CA330" s="1"/>
      <c r="CB330" s="1"/>
      <c r="CC330" s="1"/>
      <c r="CD330" s="1"/>
      <c r="CE330" s="1"/>
      <c r="CF330" s="1"/>
      <c r="CG330" s="1"/>
      <c r="CH330" s="1"/>
      <c r="CP330" s="305"/>
      <c r="CR330" s="116"/>
      <c r="CZ330" s="1"/>
      <c r="DA330" s="1"/>
      <c r="DB330" s="1"/>
      <c r="DC330" s="1"/>
      <c r="DD330" s="1"/>
      <c r="DE330" s="1"/>
      <c r="DF330" s="1"/>
      <c r="DG330" s="1"/>
      <c r="DH330" s="656"/>
      <c r="DJ330" s="116"/>
    </row>
    <row r="331" spans="2:114" ht="15.75" customHeight="1" x14ac:dyDescent="0.25">
      <c r="B331" s="116"/>
      <c r="I331" s="656"/>
      <c r="K331" s="116"/>
      <c r="X331" s="1"/>
      <c r="Y331" s="1"/>
      <c r="Z331" s="1"/>
      <c r="AA331" s="1"/>
      <c r="AB331" s="656"/>
      <c r="AC331" s="1"/>
      <c r="AD331" s="116"/>
      <c r="AL331" s="656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43"/>
      <c r="BL331" s="116"/>
      <c r="BU331" s="1"/>
      <c r="BV331" s="1"/>
      <c r="BW331" s="1"/>
      <c r="BX331" s="656"/>
      <c r="BZ331" s="657"/>
      <c r="CA331" s="1"/>
      <c r="CB331" s="1"/>
      <c r="CC331" s="1"/>
      <c r="CD331" s="1"/>
      <c r="CE331" s="1"/>
      <c r="CF331" s="1"/>
      <c r="CG331" s="1"/>
      <c r="CH331" s="1"/>
      <c r="CP331" s="305"/>
      <c r="CR331" s="116"/>
      <c r="CZ331" s="1"/>
      <c r="DA331" s="1"/>
      <c r="DB331" s="1"/>
      <c r="DC331" s="1"/>
      <c r="DD331" s="1"/>
      <c r="DE331" s="1"/>
      <c r="DF331" s="1"/>
      <c r="DG331" s="1"/>
      <c r="DH331" s="656"/>
      <c r="DJ331" s="116"/>
    </row>
    <row r="332" spans="2:114" ht="15.75" customHeight="1" x14ac:dyDescent="0.25">
      <c r="B332" s="116"/>
      <c r="I332" s="656"/>
      <c r="K332" s="116"/>
      <c r="X332" s="1"/>
      <c r="Y332" s="1"/>
      <c r="Z332" s="1"/>
      <c r="AA332" s="1"/>
      <c r="AB332" s="656"/>
      <c r="AC332" s="1"/>
      <c r="AD332" s="116"/>
      <c r="AL332" s="656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43"/>
      <c r="BL332" s="116"/>
      <c r="BU332" s="1"/>
      <c r="BV332" s="1"/>
      <c r="BW332" s="1"/>
      <c r="BX332" s="656"/>
      <c r="BZ332" s="657"/>
      <c r="CA332" s="1"/>
      <c r="CB332" s="1"/>
      <c r="CC332" s="1"/>
      <c r="CD332" s="1"/>
      <c r="CE332" s="1"/>
      <c r="CF332" s="1"/>
      <c r="CG332" s="1"/>
      <c r="CH332" s="1"/>
      <c r="CP332" s="305"/>
      <c r="CR332" s="116"/>
      <c r="CZ332" s="1"/>
      <c r="DA332" s="1"/>
      <c r="DB332" s="1"/>
      <c r="DC332" s="1"/>
      <c r="DD332" s="1"/>
      <c r="DE332" s="1"/>
      <c r="DF332" s="1"/>
      <c r="DG332" s="1"/>
      <c r="DH332" s="656"/>
      <c r="DJ332" s="116"/>
    </row>
    <row r="333" spans="2:114" ht="15.75" customHeight="1" x14ac:dyDescent="0.25">
      <c r="B333" s="116"/>
      <c r="I333" s="656"/>
      <c r="K333" s="116"/>
      <c r="X333" s="1"/>
      <c r="Y333" s="1"/>
      <c r="Z333" s="1"/>
      <c r="AA333" s="1"/>
      <c r="AB333" s="656"/>
      <c r="AC333" s="1"/>
      <c r="AD333" s="116"/>
      <c r="AL333" s="656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43"/>
      <c r="BL333" s="116"/>
      <c r="BU333" s="1"/>
      <c r="BV333" s="1"/>
      <c r="BW333" s="1"/>
      <c r="BX333" s="656"/>
      <c r="BZ333" s="657"/>
      <c r="CA333" s="1"/>
      <c r="CB333" s="1"/>
      <c r="CC333" s="1"/>
      <c r="CD333" s="1"/>
      <c r="CE333" s="1"/>
      <c r="CF333" s="1"/>
      <c r="CG333" s="1"/>
      <c r="CH333" s="1"/>
      <c r="CP333" s="305"/>
      <c r="CR333" s="116"/>
      <c r="CZ333" s="1"/>
      <c r="DA333" s="1"/>
      <c r="DB333" s="1"/>
      <c r="DC333" s="1"/>
      <c r="DD333" s="1"/>
      <c r="DE333" s="1"/>
      <c r="DF333" s="1"/>
      <c r="DG333" s="1"/>
      <c r="DH333" s="656"/>
      <c r="DJ333" s="116"/>
    </row>
    <row r="334" spans="2:114" ht="15.75" customHeight="1" x14ac:dyDescent="0.25">
      <c r="B334" s="116"/>
      <c r="I334" s="656"/>
      <c r="K334" s="116"/>
      <c r="X334" s="1"/>
      <c r="Y334" s="1"/>
      <c r="Z334" s="1"/>
      <c r="AA334" s="1"/>
      <c r="AB334" s="656"/>
      <c r="AC334" s="1"/>
      <c r="AD334" s="116"/>
      <c r="AL334" s="656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43"/>
      <c r="BL334" s="116"/>
      <c r="BU334" s="1"/>
      <c r="BV334" s="1"/>
      <c r="BW334" s="1"/>
      <c r="BX334" s="656"/>
      <c r="BZ334" s="657"/>
      <c r="CA334" s="1"/>
      <c r="CB334" s="1"/>
      <c r="CC334" s="1"/>
      <c r="CD334" s="1"/>
      <c r="CE334" s="1"/>
      <c r="CF334" s="1"/>
      <c r="CG334" s="1"/>
      <c r="CH334" s="1"/>
      <c r="CP334" s="305"/>
      <c r="CR334" s="116"/>
      <c r="CZ334" s="1"/>
      <c r="DA334" s="1"/>
      <c r="DB334" s="1"/>
      <c r="DC334" s="1"/>
      <c r="DD334" s="1"/>
      <c r="DE334" s="1"/>
      <c r="DF334" s="1"/>
      <c r="DG334" s="1"/>
      <c r="DH334" s="656"/>
      <c r="DJ334" s="116"/>
    </row>
    <row r="335" spans="2:114" ht="15.75" customHeight="1" x14ac:dyDescent="0.25">
      <c r="B335" s="116"/>
      <c r="I335" s="656"/>
      <c r="K335" s="116"/>
      <c r="X335" s="1"/>
      <c r="Y335" s="1"/>
      <c r="Z335" s="1"/>
      <c r="AA335" s="1"/>
      <c r="AB335" s="656"/>
      <c r="AC335" s="1"/>
      <c r="AD335" s="116"/>
      <c r="AL335" s="656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43"/>
      <c r="BL335" s="116"/>
      <c r="BU335" s="1"/>
      <c r="BV335" s="1"/>
      <c r="BW335" s="1"/>
      <c r="BX335" s="656"/>
      <c r="BZ335" s="657"/>
      <c r="CA335" s="1"/>
      <c r="CB335" s="1"/>
      <c r="CC335" s="1"/>
      <c r="CD335" s="1"/>
      <c r="CE335" s="1"/>
      <c r="CF335" s="1"/>
      <c r="CG335" s="1"/>
      <c r="CH335" s="1"/>
      <c r="CP335" s="305"/>
      <c r="CR335" s="116"/>
      <c r="CZ335" s="1"/>
      <c r="DA335" s="1"/>
      <c r="DB335" s="1"/>
      <c r="DC335" s="1"/>
      <c r="DD335" s="1"/>
      <c r="DE335" s="1"/>
      <c r="DF335" s="1"/>
      <c r="DG335" s="1"/>
      <c r="DH335" s="656"/>
      <c r="DJ335" s="116"/>
    </row>
    <row r="336" spans="2:114" ht="15.75" customHeight="1" x14ac:dyDescent="0.25">
      <c r="B336" s="116"/>
      <c r="I336" s="656"/>
      <c r="K336" s="116"/>
      <c r="X336" s="1"/>
      <c r="Y336" s="1"/>
      <c r="Z336" s="1"/>
      <c r="AA336" s="1"/>
      <c r="AB336" s="656"/>
      <c r="AC336" s="1"/>
      <c r="AD336" s="116"/>
      <c r="AL336" s="656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43"/>
      <c r="BL336" s="116"/>
      <c r="BU336" s="1"/>
      <c r="BV336" s="1"/>
      <c r="BW336" s="1"/>
      <c r="BX336" s="656"/>
      <c r="BZ336" s="657"/>
      <c r="CA336" s="1"/>
      <c r="CB336" s="1"/>
      <c r="CC336" s="1"/>
      <c r="CD336" s="1"/>
      <c r="CE336" s="1"/>
      <c r="CF336" s="1"/>
      <c r="CG336" s="1"/>
      <c r="CH336" s="1"/>
      <c r="CP336" s="305"/>
      <c r="CR336" s="116"/>
      <c r="CZ336" s="1"/>
      <c r="DA336" s="1"/>
      <c r="DB336" s="1"/>
      <c r="DC336" s="1"/>
      <c r="DD336" s="1"/>
      <c r="DE336" s="1"/>
      <c r="DF336" s="1"/>
      <c r="DG336" s="1"/>
      <c r="DH336" s="656"/>
      <c r="DJ336" s="116"/>
    </row>
    <row r="337" spans="2:114" ht="15.75" customHeight="1" x14ac:dyDescent="0.25">
      <c r="B337" s="116"/>
      <c r="I337" s="656"/>
      <c r="K337" s="116"/>
      <c r="X337" s="1"/>
      <c r="Y337" s="1"/>
      <c r="Z337" s="1"/>
      <c r="AA337" s="1"/>
      <c r="AB337" s="656"/>
      <c r="AC337" s="1"/>
      <c r="AD337" s="116"/>
      <c r="AL337" s="656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43"/>
      <c r="BL337" s="116"/>
      <c r="BU337" s="1"/>
      <c r="BV337" s="1"/>
      <c r="BW337" s="1"/>
      <c r="BX337" s="656"/>
      <c r="BZ337" s="657"/>
      <c r="CA337" s="1"/>
      <c r="CB337" s="1"/>
      <c r="CC337" s="1"/>
      <c r="CD337" s="1"/>
      <c r="CE337" s="1"/>
      <c r="CF337" s="1"/>
      <c r="CG337" s="1"/>
      <c r="CH337" s="1"/>
      <c r="CP337" s="305"/>
      <c r="CR337" s="116"/>
      <c r="CZ337" s="1"/>
      <c r="DA337" s="1"/>
      <c r="DB337" s="1"/>
      <c r="DC337" s="1"/>
      <c r="DD337" s="1"/>
      <c r="DE337" s="1"/>
      <c r="DF337" s="1"/>
      <c r="DG337" s="1"/>
      <c r="DH337" s="656"/>
      <c r="DJ337" s="116"/>
    </row>
    <row r="338" spans="2:114" ht="15.75" customHeight="1" x14ac:dyDescent="0.25">
      <c r="B338" s="116"/>
      <c r="I338" s="656"/>
      <c r="K338" s="116"/>
      <c r="X338" s="1"/>
      <c r="Y338" s="1"/>
      <c r="Z338" s="1"/>
      <c r="AA338" s="1"/>
      <c r="AB338" s="656"/>
      <c r="AC338" s="1"/>
      <c r="AD338" s="116"/>
      <c r="AL338" s="656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43"/>
      <c r="BL338" s="116"/>
      <c r="BU338" s="1"/>
      <c r="BV338" s="1"/>
      <c r="BW338" s="1"/>
      <c r="BX338" s="656"/>
      <c r="BZ338" s="657"/>
      <c r="CA338" s="1"/>
      <c r="CB338" s="1"/>
      <c r="CC338" s="1"/>
      <c r="CD338" s="1"/>
      <c r="CE338" s="1"/>
      <c r="CF338" s="1"/>
      <c r="CG338" s="1"/>
      <c r="CH338" s="1"/>
      <c r="CP338" s="305"/>
      <c r="CR338" s="116"/>
      <c r="CZ338" s="1"/>
      <c r="DA338" s="1"/>
      <c r="DB338" s="1"/>
      <c r="DC338" s="1"/>
      <c r="DD338" s="1"/>
      <c r="DE338" s="1"/>
      <c r="DF338" s="1"/>
      <c r="DG338" s="1"/>
      <c r="DH338" s="656"/>
      <c r="DJ338" s="116"/>
    </row>
    <row r="339" spans="2:114" ht="15.75" customHeight="1" x14ac:dyDescent="0.25">
      <c r="B339" s="116"/>
      <c r="I339" s="656"/>
      <c r="K339" s="116"/>
      <c r="X339" s="1"/>
      <c r="Y339" s="1"/>
      <c r="Z339" s="1"/>
      <c r="AA339" s="1"/>
      <c r="AB339" s="656"/>
      <c r="AC339" s="1"/>
      <c r="AD339" s="116"/>
      <c r="AL339" s="656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43"/>
      <c r="BL339" s="116"/>
      <c r="BU339" s="1"/>
      <c r="BV339" s="1"/>
      <c r="BW339" s="1"/>
      <c r="BX339" s="656"/>
      <c r="BZ339" s="657"/>
      <c r="CA339" s="1"/>
      <c r="CB339" s="1"/>
      <c r="CC339" s="1"/>
      <c r="CD339" s="1"/>
      <c r="CE339" s="1"/>
      <c r="CF339" s="1"/>
      <c r="CG339" s="1"/>
      <c r="CH339" s="1"/>
      <c r="CP339" s="305"/>
      <c r="CR339" s="116"/>
      <c r="CZ339" s="1"/>
      <c r="DA339" s="1"/>
      <c r="DB339" s="1"/>
      <c r="DC339" s="1"/>
      <c r="DD339" s="1"/>
      <c r="DE339" s="1"/>
      <c r="DF339" s="1"/>
      <c r="DG339" s="1"/>
      <c r="DH339" s="656"/>
      <c r="DJ339" s="116"/>
    </row>
    <row r="340" spans="2:114" ht="15.75" customHeight="1" x14ac:dyDescent="0.25">
      <c r="B340" s="116"/>
      <c r="I340" s="656"/>
      <c r="K340" s="116"/>
      <c r="X340" s="1"/>
      <c r="Y340" s="1"/>
      <c r="Z340" s="1"/>
      <c r="AA340" s="1"/>
      <c r="AB340" s="656"/>
      <c r="AC340" s="1"/>
      <c r="AD340" s="116"/>
      <c r="AL340" s="656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43"/>
      <c r="BL340" s="116"/>
      <c r="BU340" s="1"/>
      <c r="BV340" s="1"/>
      <c r="BW340" s="1"/>
      <c r="BX340" s="656"/>
      <c r="BZ340" s="657"/>
      <c r="CA340" s="1"/>
      <c r="CB340" s="1"/>
      <c r="CC340" s="1"/>
      <c r="CD340" s="1"/>
      <c r="CE340" s="1"/>
      <c r="CF340" s="1"/>
      <c r="CG340" s="1"/>
      <c r="CH340" s="1"/>
      <c r="CP340" s="305"/>
      <c r="CR340" s="116"/>
      <c r="CZ340" s="1"/>
      <c r="DA340" s="1"/>
      <c r="DB340" s="1"/>
      <c r="DC340" s="1"/>
      <c r="DD340" s="1"/>
      <c r="DE340" s="1"/>
      <c r="DF340" s="1"/>
      <c r="DG340" s="1"/>
      <c r="DH340" s="656"/>
      <c r="DJ340" s="116"/>
    </row>
    <row r="341" spans="2:114" ht="15.75" customHeight="1" x14ac:dyDescent="0.25">
      <c r="B341" s="116"/>
      <c r="I341" s="656"/>
      <c r="K341" s="116"/>
      <c r="X341" s="1"/>
      <c r="Y341" s="1"/>
      <c r="Z341" s="1"/>
      <c r="AA341" s="1"/>
      <c r="AB341" s="656"/>
      <c r="AC341" s="1"/>
      <c r="AD341" s="116"/>
      <c r="AL341" s="656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43"/>
      <c r="BL341" s="116"/>
      <c r="BU341" s="1"/>
      <c r="BV341" s="1"/>
      <c r="BW341" s="1"/>
      <c r="BX341" s="656"/>
      <c r="BZ341" s="657"/>
      <c r="CA341" s="1"/>
      <c r="CB341" s="1"/>
      <c r="CC341" s="1"/>
      <c r="CD341" s="1"/>
      <c r="CE341" s="1"/>
      <c r="CF341" s="1"/>
      <c r="CG341" s="1"/>
      <c r="CH341" s="1"/>
      <c r="CP341" s="305"/>
      <c r="CR341" s="116"/>
      <c r="CZ341" s="1"/>
      <c r="DA341" s="1"/>
      <c r="DB341" s="1"/>
      <c r="DC341" s="1"/>
      <c r="DD341" s="1"/>
      <c r="DE341" s="1"/>
      <c r="DF341" s="1"/>
      <c r="DG341" s="1"/>
      <c r="DH341" s="656"/>
      <c r="DJ341" s="116"/>
    </row>
    <row r="342" spans="2:114" ht="15.75" customHeight="1" x14ac:dyDescent="0.25">
      <c r="B342" s="116"/>
      <c r="I342" s="656"/>
      <c r="K342" s="116"/>
      <c r="X342" s="1"/>
      <c r="Y342" s="1"/>
      <c r="Z342" s="1"/>
      <c r="AA342" s="1"/>
      <c r="AB342" s="656"/>
      <c r="AC342" s="1"/>
      <c r="AD342" s="116"/>
      <c r="AL342" s="656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43"/>
      <c r="BL342" s="116"/>
      <c r="BU342" s="1"/>
      <c r="BV342" s="1"/>
      <c r="BW342" s="1"/>
      <c r="BX342" s="656"/>
      <c r="BZ342" s="657"/>
      <c r="CA342" s="1"/>
      <c r="CB342" s="1"/>
      <c r="CC342" s="1"/>
      <c r="CD342" s="1"/>
      <c r="CE342" s="1"/>
      <c r="CF342" s="1"/>
      <c r="CG342" s="1"/>
      <c r="CH342" s="1"/>
      <c r="CP342" s="305"/>
      <c r="CR342" s="116"/>
      <c r="CZ342" s="1"/>
      <c r="DA342" s="1"/>
      <c r="DB342" s="1"/>
      <c r="DC342" s="1"/>
      <c r="DD342" s="1"/>
      <c r="DE342" s="1"/>
      <c r="DF342" s="1"/>
      <c r="DG342" s="1"/>
      <c r="DH342" s="656"/>
      <c r="DJ342" s="116"/>
    </row>
    <row r="343" spans="2:114" ht="15.75" customHeight="1" x14ac:dyDescent="0.25">
      <c r="B343" s="116"/>
      <c r="I343" s="656"/>
      <c r="K343" s="116"/>
      <c r="X343" s="1"/>
      <c r="Y343" s="1"/>
      <c r="Z343" s="1"/>
      <c r="AA343" s="1"/>
      <c r="AB343" s="656"/>
      <c r="AC343" s="1"/>
      <c r="AD343" s="116"/>
      <c r="AL343" s="656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43"/>
      <c r="BL343" s="116"/>
      <c r="BU343" s="1"/>
      <c r="BV343" s="1"/>
      <c r="BW343" s="1"/>
      <c r="BX343" s="656"/>
      <c r="BZ343" s="657"/>
      <c r="CA343" s="1"/>
      <c r="CB343" s="1"/>
      <c r="CC343" s="1"/>
      <c r="CD343" s="1"/>
      <c r="CE343" s="1"/>
      <c r="CF343" s="1"/>
      <c r="CG343" s="1"/>
      <c r="CH343" s="1"/>
      <c r="CP343" s="305"/>
      <c r="CR343" s="116"/>
      <c r="CZ343" s="1"/>
      <c r="DA343" s="1"/>
      <c r="DB343" s="1"/>
      <c r="DC343" s="1"/>
      <c r="DD343" s="1"/>
      <c r="DE343" s="1"/>
      <c r="DF343" s="1"/>
      <c r="DG343" s="1"/>
      <c r="DH343" s="656"/>
      <c r="DJ343" s="116"/>
    </row>
    <row r="344" spans="2:114" ht="15.75" customHeight="1" x14ac:dyDescent="0.25">
      <c r="B344" s="116"/>
      <c r="I344" s="656"/>
      <c r="K344" s="116"/>
      <c r="X344" s="1"/>
      <c r="Y344" s="1"/>
      <c r="Z344" s="1"/>
      <c r="AA344" s="1"/>
      <c r="AB344" s="656"/>
      <c r="AC344" s="1"/>
      <c r="AD344" s="116"/>
      <c r="AL344" s="656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43"/>
      <c r="BL344" s="116"/>
      <c r="BU344" s="1"/>
      <c r="BV344" s="1"/>
      <c r="BW344" s="1"/>
      <c r="BX344" s="656"/>
      <c r="BZ344" s="657"/>
      <c r="CA344" s="1"/>
      <c r="CB344" s="1"/>
      <c r="CC344" s="1"/>
      <c r="CD344" s="1"/>
      <c r="CE344" s="1"/>
      <c r="CF344" s="1"/>
      <c r="CG344" s="1"/>
      <c r="CH344" s="1"/>
      <c r="CP344" s="305"/>
      <c r="CR344" s="116"/>
      <c r="CZ344" s="1"/>
      <c r="DA344" s="1"/>
      <c r="DB344" s="1"/>
      <c r="DC344" s="1"/>
      <c r="DD344" s="1"/>
      <c r="DE344" s="1"/>
      <c r="DF344" s="1"/>
      <c r="DG344" s="1"/>
      <c r="DH344" s="656"/>
      <c r="DJ344" s="116"/>
    </row>
    <row r="345" spans="2:114" ht="15.75" customHeight="1" x14ac:dyDescent="0.25">
      <c r="B345" s="116"/>
      <c r="I345" s="656"/>
      <c r="K345" s="116"/>
      <c r="X345" s="1"/>
      <c r="Y345" s="1"/>
      <c r="Z345" s="1"/>
      <c r="AA345" s="1"/>
      <c r="AB345" s="656"/>
      <c r="AC345" s="1"/>
      <c r="AD345" s="116"/>
      <c r="AL345" s="656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43"/>
      <c r="BL345" s="116"/>
      <c r="BU345" s="1"/>
      <c r="BV345" s="1"/>
      <c r="BW345" s="1"/>
      <c r="BX345" s="656"/>
      <c r="BZ345" s="657"/>
      <c r="CA345" s="1"/>
      <c r="CB345" s="1"/>
      <c r="CC345" s="1"/>
      <c r="CD345" s="1"/>
      <c r="CE345" s="1"/>
      <c r="CF345" s="1"/>
      <c r="CG345" s="1"/>
      <c r="CH345" s="1"/>
      <c r="CP345" s="305"/>
      <c r="CR345" s="116"/>
      <c r="CZ345" s="1"/>
      <c r="DA345" s="1"/>
      <c r="DB345" s="1"/>
      <c r="DC345" s="1"/>
      <c r="DD345" s="1"/>
      <c r="DE345" s="1"/>
      <c r="DF345" s="1"/>
      <c r="DG345" s="1"/>
      <c r="DH345" s="656"/>
      <c r="DJ345" s="116"/>
    </row>
    <row r="346" spans="2:114" ht="15.75" customHeight="1" x14ac:dyDescent="0.25">
      <c r="B346" s="116"/>
      <c r="I346" s="656"/>
      <c r="K346" s="116"/>
      <c r="X346" s="1"/>
      <c r="Y346" s="1"/>
      <c r="Z346" s="1"/>
      <c r="AA346" s="1"/>
      <c r="AB346" s="656"/>
      <c r="AC346" s="1"/>
      <c r="AD346" s="116"/>
      <c r="AL346" s="656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43"/>
      <c r="BL346" s="116"/>
      <c r="BU346" s="1"/>
      <c r="BV346" s="1"/>
      <c r="BW346" s="1"/>
      <c r="BX346" s="656"/>
      <c r="BZ346" s="657"/>
      <c r="CA346" s="1"/>
      <c r="CB346" s="1"/>
      <c r="CC346" s="1"/>
      <c r="CD346" s="1"/>
      <c r="CE346" s="1"/>
      <c r="CF346" s="1"/>
      <c r="CG346" s="1"/>
      <c r="CH346" s="1"/>
      <c r="CP346" s="305"/>
      <c r="CR346" s="116"/>
      <c r="CZ346" s="1"/>
      <c r="DA346" s="1"/>
      <c r="DB346" s="1"/>
      <c r="DC346" s="1"/>
      <c r="DD346" s="1"/>
      <c r="DE346" s="1"/>
      <c r="DF346" s="1"/>
      <c r="DG346" s="1"/>
      <c r="DH346" s="656"/>
      <c r="DJ346" s="116"/>
    </row>
    <row r="347" spans="2:114" ht="15.75" customHeight="1" x14ac:dyDescent="0.25">
      <c r="B347" s="116"/>
      <c r="I347" s="656"/>
      <c r="K347" s="116"/>
      <c r="X347" s="1"/>
      <c r="Y347" s="1"/>
      <c r="Z347" s="1"/>
      <c r="AA347" s="1"/>
      <c r="AB347" s="656"/>
      <c r="AC347" s="1"/>
      <c r="AD347" s="116"/>
      <c r="AL347" s="656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43"/>
      <c r="BL347" s="116"/>
      <c r="BU347" s="1"/>
      <c r="BV347" s="1"/>
      <c r="BW347" s="1"/>
      <c r="BX347" s="656"/>
      <c r="BZ347" s="657"/>
      <c r="CA347" s="1"/>
      <c r="CB347" s="1"/>
      <c r="CC347" s="1"/>
      <c r="CD347" s="1"/>
      <c r="CE347" s="1"/>
      <c r="CF347" s="1"/>
      <c r="CG347" s="1"/>
      <c r="CH347" s="1"/>
      <c r="CP347" s="305"/>
      <c r="CR347" s="116"/>
      <c r="CZ347" s="1"/>
      <c r="DA347" s="1"/>
      <c r="DB347" s="1"/>
      <c r="DC347" s="1"/>
      <c r="DD347" s="1"/>
      <c r="DE347" s="1"/>
      <c r="DF347" s="1"/>
      <c r="DG347" s="1"/>
      <c r="DH347" s="656"/>
      <c r="DJ347" s="116"/>
    </row>
    <row r="348" spans="2:114" ht="15.75" customHeight="1" x14ac:dyDescent="0.25">
      <c r="B348" s="116"/>
      <c r="I348" s="656"/>
      <c r="K348" s="116"/>
      <c r="X348" s="1"/>
      <c r="Y348" s="1"/>
      <c r="Z348" s="1"/>
      <c r="AA348" s="1"/>
      <c r="AB348" s="656"/>
      <c r="AC348" s="1"/>
      <c r="AD348" s="116"/>
      <c r="AL348" s="656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43"/>
      <c r="BL348" s="116"/>
      <c r="BU348" s="1"/>
      <c r="BV348" s="1"/>
      <c r="BW348" s="1"/>
      <c r="BX348" s="656"/>
      <c r="BZ348" s="657"/>
      <c r="CA348" s="1"/>
      <c r="CB348" s="1"/>
      <c r="CC348" s="1"/>
      <c r="CD348" s="1"/>
      <c r="CE348" s="1"/>
      <c r="CF348" s="1"/>
      <c r="CG348" s="1"/>
      <c r="CH348" s="1"/>
      <c r="CP348" s="305"/>
      <c r="CR348" s="116"/>
      <c r="CZ348" s="1"/>
      <c r="DA348" s="1"/>
      <c r="DB348" s="1"/>
      <c r="DC348" s="1"/>
      <c r="DD348" s="1"/>
      <c r="DE348" s="1"/>
      <c r="DF348" s="1"/>
      <c r="DG348" s="1"/>
      <c r="DH348" s="656"/>
      <c r="DJ348" s="116"/>
    </row>
    <row r="349" spans="2:114" ht="15.75" customHeight="1" x14ac:dyDescent="0.25">
      <c r="B349" s="116"/>
      <c r="I349" s="656"/>
      <c r="K349" s="116"/>
      <c r="X349" s="1"/>
      <c r="Y349" s="1"/>
      <c r="Z349" s="1"/>
      <c r="AA349" s="1"/>
      <c r="AB349" s="656"/>
      <c r="AC349" s="1"/>
      <c r="AD349" s="116"/>
      <c r="AL349" s="656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43"/>
      <c r="BL349" s="116"/>
      <c r="BU349" s="1"/>
      <c r="BV349" s="1"/>
      <c r="BW349" s="1"/>
      <c r="BX349" s="656"/>
      <c r="BZ349" s="657"/>
      <c r="CA349" s="1"/>
      <c r="CB349" s="1"/>
      <c r="CC349" s="1"/>
      <c r="CD349" s="1"/>
      <c r="CE349" s="1"/>
      <c r="CF349" s="1"/>
      <c r="CG349" s="1"/>
      <c r="CH349" s="1"/>
      <c r="CP349" s="305"/>
      <c r="CR349" s="116"/>
      <c r="CZ349" s="1"/>
      <c r="DA349" s="1"/>
      <c r="DB349" s="1"/>
      <c r="DC349" s="1"/>
      <c r="DD349" s="1"/>
      <c r="DE349" s="1"/>
      <c r="DF349" s="1"/>
      <c r="DG349" s="1"/>
      <c r="DH349" s="656"/>
      <c r="DJ349" s="116"/>
    </row>
    <row r="350" spans="2:114" ht="15.75" customHeight="1" x14ac:dyDescent="0.25">
      <c r="B350" s="116"/>
      <c r="I350" s="656"/>
      <c r="K350" s="116"/>
      <c r="X350" s="1"/>
      <c r="Y350" s="1"/>
      <c r="Z350" s="1"/>
      <c r="AA350" s="1"/>
      <c r="AB350" s="656"/>
      <c r="AC350" s="1"/>
      <c r="AD350" s="116"/>
      <c r="AL350" s="656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43"/>
      <c r="BL350" s="116"/>
      <c r="BU350" s="1"/>
      <c r="BV350" s="1"/>
      <c r="BW350" s="1"/>
      <c r="BX350" s="656"/>
      <c r="BZ350" s="657"/>
      <c r="CA350" s="1"/>
      <c r="CB350" s="1"/>
      <c r="CC350" s="1"/>
      <c r="CD350" s="1"/>
      <c r="CE350" s="1"/>
      <c r="CF350" s="1"/>
      <c r="CG350" s="1"/>
      <c r="CH350" s="1"/>
      <c r="CP350" s="305"/>
      <c r="CR350" s="116"/>
      <c r="CZ350" s="1"/>
      <c r="DA350" s="1"/>
      <c r="DB350" s="1"/>
      <c r="DC350" s="1"/>
      <c r="DD350" s="1"/>
      <c r="DE350" s="1"/>
      <c r="DF350" s="1"/>
      <c r="DG350" s="1"/>
      <c r="DH350" s="656"/>
      <c r="DJ350" s="116"/>
    </row>
    <row r="351" spans="2:114" ht="15.75" customHeight="1" x14ac:dyDescent="0.25">
      <c r="B351" s="116"/>
      <c r="I351" s="656"/>
      <c r="K351" s="116"/>
      <c r="X351" s="1"/>
      <c r="Y351" s="1"/>
      <c r="Z351" s="1"/>
      <c r="AA351" s="1"/>
      <c r="AB351" s="656"/>
      <c r="AC351" s="1"/>
      <c r="AD351" s="116"/>
      <c r="AL351" s="656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43"/>
      <c r="BL351" s="116"/>
      <c r="BU351" s="1"/>
      <c r="BV351" s="1"/>
      <c r="BW351" s="1"/>
      <c r="BX351" s="656"/>
      <c r="BZ351" s="657"/>
      <c r="CA351" s="1"/>
      <c r="CB351" s="1"/>
      <c r="CC351" s="1"/>
      <c r="CD351" s="1"/>
      <c r="CE351" s="1"/>
      <c r="CF351" s="1"/>
      <c r="CG351" s="1"/>
      <c r="CH351" s="1"/>
      <c r="CP351" s="305"/>
      <c r="CR351" s="116"/>
      <c r="CZ351" s="1"/>
      <c r="DA351" s="1"/>
      <c r="DB351" s="1"/>
      <c r="DC351" s="1"/>
      <c r="DD351" s="1"/>
      <c r="DE351" s="1"/>
      <c r="DF351" s="1"/>
      <c r="DG351" s="1"/>
      <c r="DH351" s="656"/>
      <c r="DJ351" s="116"/>
    </row>
    <row r="352" spans="2:114" ht="15.75" customHeight="1" x14ac:dyDescent="0.25">
      <c r="B352" s="116"/>
      <c r="I352" s="656"/>
      <c r="K352" s="116"/>
      <c r="X352" s="1"/>
      <c r="Y352" s="1"/>
      <c r="Z352" s="1"/>
      <c r="AA352" s="1"/>
      <c r="AB352" s="656"/>
      <c r="AC352" s="1"/>
      <c r="AD352" s="116"/>
      <c r="AL352" s="656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43"/>
      <c r="BL352" s="116"/>
      <c r="BU352" s="1"/>
      <c r="BV352" s="1"/>
      <c r="BW352" s="1"/>
      <c r="BX352" s="656"/>
      <c r="BZ352" s="657"/>
      <c r="CA352" s="1"/>
      <c r="CB352" s="1"/>
      <c r="CC352" s="1"/>
      <c r="CD352" s="1"/>
      <c r="CE352" s="1"/>
      <c r="CF352" s="1"/>
      <c r="CG352" s="1"/>
      <c r="CH352" s="1"/>
      <c r="CP352" s="305"/>
      <c r="CR352" s="116"/>
      <c r="CZ352" s="1"/>
      <c r="DA352" s="1"/>
      <c r="DB352" s="1"/>
      <c r="DC352" s="1"/>
      <c r="DD352" s="1"/>
      <c r="DE352" s="1"/>
      <c r="DF352" s="1"/>
      <c r="DG352" s="1"/>
      <c r="DH352" s="656"/>
      <c r="DJ352" s="116"/>
    </row>
    <row r="353" spans="2:114" ht="15.75" customHeight="1" x14ac:dyDescent="0.25">
      <c r="B353" s="116"/>
      <c r="I353" s="656"/>
      <c r="K353" s="116"/>
      <c r="X353" s="1"/>
      <c r="Y353" s="1"/>
      <c r="Z353" s="1"/>
      <c r="AA353" s="1"/>
      <c r="AB353" s="656"/>
      <c r="AC353" s="1"/>
      <c r="AD353" s="116"/>
      <c r="AL353" s="656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43"/>
      <c r="BL353" s="116"/>
      <c r="BU353" s="1"/>
      <c r="BV353" s="1"/>
      <c r="BW353" s="1"/>
      <c r="BX353" s="656"/>
      <c r="BZ353" s="657"/>
      <c r="CA353" s="1"/>
      <c r="CB353" s="1"/>
      <c r="CC353" s="1"/>
      <c r="CD353" s="1"/>
      <c r="CE353" s="1"/>
      <c r="CF353" s="1"/>
      <c r="CG353" s="1"/>
      <c r="CH353" s="1"/>
      <c r="CP353" s="305"/>
      <c r="CR353" s="116"/>
      <c r="CZ353" s="1"/>
      <c r="DA353" s="1"/>
      <c r="DB353" s="1"/>
      <c r="DC353" s="1"/>
      <c r="DD353" s="1"/>
      <c r="DE353" s="1"/>
      <c r="DF353" s="1"/>
      <c r="DG353" s="1"/>
      <c r="DH353" s="656"/>
      <c r="DJ353" s="116"/>
    </row>
    <row r="354" spans="2:114" ht="15.75" customHeight="1" x14ac:dyDescent="0.25">
      <c r="B354" s="116"/>
      <c r="I354" s="656"/>
      <c r="K354" s="116"/>
      <c r="X354" s="1"/>
      <c r="Y354" s="1"/>
      <c r="Z354" s="1"/>
      <c r="AA354" s="1"/>
      <c r="AB354" s="656"/>
      <c r="AC354" s="1"/>
      <c r="AD354" s="116"/>
      <c r="AL354" s="656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43"/>
      <c r="BL354" s="116"/>
      <c r="BU354" s="1"/>
      <c r="BV354" s="1"/>
      <c r="BW354" s="1"/>
      <c r="BX354" s="656"/>
      <c r="BZ354" s="657"/>
      <c r="CA354" s="1"/>
      <c r="CB354" s="1"/>
      <c r="CC354" s="1"/>
      <c r="CD354" s="1"/>
      <c r="CE354" s="1"/>
      <c r="CF354" s="1"/>
      <c r="CG354" s="1"/>
      <c r="CH354" s="1"/>
      <c r="CP354" s="305"/>
      <c r="CR354" s="116"/>
      <c r="CZ354" s="1"/>
      <c r="DA354" s="1"/>
      <c r="DB354" s="1"/>
      <c r="DC354" s="1"/>
      <c r="DD354" s="1"/>
      <c r="DE354" s="1"/>
      <c r="DF354" s="1"/>
      <c r="DG354" s="1"/>
      <c r="DH354" s="656"/>
      <c r="DJ354" s="116"/>
    </row>
    <row r="355" spans="2:114" ht="15.75" customHeight="1" x14ac:dyDescent="0.25">
      <c r="B355" s="116"/>
      <c r="I355" s="656"/>
      <c r="K355" s="116"/>
      <c r="X355" s="1"/>
      <c r="Y355" s="1"/>
      <c r="Z355" s="1"/>
      <c r="AA355" s="1"/>
      <c r="AB355" s="656"/>
      <c r="AC355" s="1"/>
      <c r="AD355" s="116"/>
      <c r="AL355" s="656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43"/>
      <c r="BL355" s="116"/>
      <c r="BU355" s="1"/>
      <c r="BV355" s="1"/>
      <c r="BW355" s="1"/>
      <c r="BX355" s="656"/>
      <c r="BZ355" s="657"/>
      <c r="CA355" s="1"/>
      <c r="CB355" s="1"/>
      <c r="CC355" s="1"/>
      <c r="CD355" s="1"/>
      <c r="CE355" s="1"/>
      <c r="CF355" s="1"/>
      <c r="CG355" s="1"/>
      <c r="CH355" s="1"/>
      <c r="CP355" s="305"/>
      <c r="CR355" s="116"/>
      <c r="CZ355" s="1"/>
      <c r="DA355" s="1"/>
      <c r="DB355" s="1"/>
      <c r="DC355" s="1"/>
      <c r="DD355" s="1"/>
      <c r="DE355" s="1"/>
      <c r="DF355" s="1"/>
      <c r="DG355" s="1"/>
      <c r="DH355" s="656"/>
      <c r="DJ355" s="116"/>
    </row>
    <row r="356" spans="2:114" ht="15.75" customHeight="1" x14ac:dyDescent="0.25">
      <c r="B356" s="116"/>
      <c r="I356" s="656"/>
      <c r="K356" s="116"/>
      <c r="X356" s="1"/>
      <c r="Y356" s="1"/>
      <c r="Z356" s="1"/>
      <c r="AA356" s="1"/>
      <c r="AB356" s="656"/>
      <c r="AC356" s="1"/>
      <c r="AD356" s="116"/>
      <c r="AL356" s="656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43"/>
      <c r="BL356" s="116"/>
      <c r="BU356" s="1"/>
      <c r="BV356" s="1"/>
      <c r="BW356" s="1"/>
      <c r="BX356" s="656"/>
      <c r="BZ356" s="657"/>
      <c r="CA356" s="1"/>
      <c r="CB356" s="1"/>
      <c r="CC356" s="1"/>
      <c r="CD356" s="1"/>
      <c r="CE356" s="1"/>
      <c r="CF356" s="1"/>
      <c r="CG356" s="1"/>
      <c r="CH356" s="1"/>
      <c r="CP356" s="305"/>
      <c r="CR356" s="116"/>
      <c r="CZ356" s="1"/>
      <c r="DA356" s="1"/>
      <c r="DB356" s="1"/>
      <c r="DC356" s="1"/>
      <c r="DD356" s="1"/>
      <c r="DE356" s="1"/>
      <c r="DF356" s="1"/>
      <c r="DG356" s="1"/>
      <c r="DH356" s="656"/>
      <c r="DJ356" s="116"/>
    </row>
    <row r="357" spans="2:114" ht="15.75" customHeight="1" x14ac:dyDescent="0.25">
      <c r="B357" s="116"/>
      <c r="I357" s="656"/>
      <c r="K357" s="116"/>
      <c r="X357" s="1"/>
      <c r="Y357" s="1"/>
      <c r="Z357" s="1"/>
      <c r="AA357" s="1"/>
      <c r="AB357" s="656"/>
      <c r="AC357" s="1"/>
      <c r="AD357" s="116"/>
      <c r="AL357" s="656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43"/>
      <c r="BL357" s="116"/>
      <c r="BU357" s="1"/>
      <c r="BV357" s="1"/>
      <c r="BW357" s="1"/>
      <c r="BX357" s="656"/>
      <c r="BZ357" s="657"/>
      <c r="CA357" s="1"/>
      <c r="CB357" s="1"/>
      <c r="CC357" s="1"/>
      <c r="CD357" s="1"/>
      <c r="CE357" s="1"/>
      <c r="CF357" s="1"/>
      <c r="CG357" s="1"/>
      <c r="CH357" s="1"/>
      <c r="CP357" s="305"/>
      <c r="CR357" s="116"/>
      <c r="CZ357" s="1"/>
      <c r="DA357" s="1"/>
      <c r="DB357" s="1"/>
      <c r="DC357" s="1"/>
      <c r="DD357" s="1"/>
      <c r="DE357" s="1"/>
      <c r="DF357" s="1"/>
      <c r="DG357" s="1"/>
      <c r="DH357" s="656"/>
      <c r="DJ357" s="116"/>
    </row>
    <row r="358" spans="2:114" ht="15.75" customHeight="1" x14ac:dyDescent="0.25">
      <c r="B358" s="116"/>
      <c r="I358" s="656"/>
      <c r="K358" s="116"/>
      <c r="X358" s="1"/>
      <c r="Y358" s="1"/>
      <c r="Z358" s="1"/>
      <c r="AA358" s="1"/>
      <c r="AB358" s="656"/>
      <c r="AC358" s="1"/>
      <c r="AD358" s="116"/>
      <c r="AL358" s="656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43"/>
      <c r="BL358" s="116"/>
      <c r="BU358" s="1"/>
      <c r="BV358" s="1"/>
      <c r="BW358" s="1"/>
      <c r="BX358" s="656"/>
      <c r="BZ358" s="657"/>
      <c r="CA358" s="1"/>
      <c r="CB358" s="1"/>
      <c r="CC358" s="1"/>
      <c r="CD358" s="1"/>
      <c r="CE358" s="1"/>
      <c r="CF358" s="1"/>
      <c r="CG358" s="1"/>
      <c r="CH358" s="1"/>
      <c r="CP358" s="305"/>
      <c r="CR358" s="116"/>
      <c r="CZ358" s="1"/>
      <c r="DA358" s="1"/>
      <c r="DB358" s="1"/>
      <c r="DC358" s="1"/>
      <c r="DD358" s="1"/>
      <c r="DE358" s="1"/>
      <c r="DF358" s="1"/>
      <c r="DG358" s="1"/>
      <c r="DH358" s="656"/>
      <c r="DJ358" s="116"/>
    </row>
    <row r="359" spans="2:114" ht="15.75" customHeight="1" x14ac:dyDescent="0.25">
      <c r="B359" s="116"/>
      <c r="I359" s="656"/>
      <c r="K359" s="116"/>
      <c r="X359" s="1"/>
      <c r="Y359" s="1"/>
      <c r="Z359" s="1"/>
      <c r="AA359" s="1"/>
      <c r="AB359" s="656"/>
      <c r="AC359" s="1"/>
      <c r="AD359" s="116"/>
      <c r="AL359" s="656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43"/>
      <c r="BL359" s="116"/>
      <c r="BU359" s="1"/>
      <c r="BV359" s="1"/>
      <c r="BW359" s="1"/>
      <c r="BX359" s="656"/>
      <c r="BZ359" s="657"/>
      <c r="CA359" s="1"/>
      <c r="CB359" s="1"/>
      <c r="CC359" s="1"/>
      <c r="CD359" s="1"/>
      <c r="CE359" s="1"/>
      <c r="CF359" s="1"/>
      <c r="CG359" s="1"/>
      <c r="CH359" s="1"/>
      <c r="CP359" s="305"/>
      <c r="CR359" s="116"/>
      <c r="CZ359" s="1"/>
      <c r="DA359" s="1"/>
      <c r="DB359" s="1"/>
      <c r="DC359" s="1"/>
      <c r="DD359" s="1"/>
      <c r="DE359" s="1"/>
      <c r="DF359" s="1"/>
      <c r="DG359" s="1"/>
      <c r="DH359" s="656"/>
      <c r="DJ359" s="116"/>
    </row>
    <row r="360" spans="2:114" ht="15.75" customHeight="1" x14ac:dyDescent="0.25">
      <c r="B360" s="116"/>
      <c r="I360" s="656"/>
      <c r="K360" s="116"/>
      <c r="X360" s="1"/>
      <c r="Y360" s="1"/>
      <c r="Z360" s="1"/>
      <c r="AA360" s="1"/>
      <c r="AB360" s="656"/>
      <c r="AC360" s="1"/>
      <c r="AD360" s="116"/>
      <c r="AL360" s="656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43"/>
      <c r="BL360" s="116"/>
      <c r="BU360" s="1"/>
      <c r="BV360" s="1"/>
      <c r="BW360" s="1"/>
      <c r="BX360" s="656"/>
      <c r="BZ360" s="657"/>
      <c r="CA360" s="1"/>
      <c r="CB360" s="1"/>
      <c r="CC360" s="1"/>
      <c r="CD360" s="1"/>
      <c r="CE360" s="1"/>
      <c r="CF360" s="1"/>
      <c r="CG360" s="1"/>
      <c r="CH360" s="1"/>
      <c r="CP360" s="305"/>
      <c r="CR360" s="116"/>
      <c r="CZ360" s="1"/>
      <c r="DA360" s="1"/>
      <c r="DB360" s="1"/>
      <c r="DC360" s="1"/>
      <c r="DD360" s="1"/>
      <c r="DE360" s="1"/>
      <c r="DF360" s="1"/>
      <c r="DG360" s="1"/>
      <c r="DH360" s="656"/>
      <c r="DJ360" s="116"/>
    </row>
    <row r="361" spans="2:114" ht="15.75" customHeight="1" x14ac:dyDescent="0.25">
      <c r="B361" s="116"/>
      <c r="I361" s="656"/>
      <c r="K361" s="116"/>
      <c r="X361" s="1"/>
      <c r="Y361" s="1"/>
      <c r="Z361" s="1"/>
      <c r="AA361" s="1"/>
      <c r="AB361" s="656"/>
      <c r="AC361" s="1"/>
      <c r="AD361" s="116"/>
      <c r="AL361" s="656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43"/>
      <c r="BL361" s="116"/>
      <c r="BU361" s="1"/>
      <c r="BV361" s="1"/>
      <c r="BW361" s="1"/>
      <c r="BX361" s="656"/>
      <c r="BZ361" s="657"/>
      <c r="CA361" s="1"/>
      <c r="CB361" s="1"/>
      <c r="CC361" s="1"/>
      <c r="CD361" s="1"/>
      <c r="CE361" s="1"/>
      <c r="CF361" s="1"/>
      <c r="CG361" s="1"/>
      <c r="CH361" s="1"/>
      <c r="CP361" s="305"/>
      <c r="CR361" s="116"/>
      <c r="CZ361" s="1"/>
      <c r="DA361" s="1"/>
      <c r="DB361" s="1"/>
      <c r="DC361" s="1"/>
      <c r="DD361" s="1"/>
      <c r="DE361" s="1"/>
      <c r="DF361" s="1"/>
      <c r="DG361" s="1"/>
      <c r="DH361" s="656"/>
      <c r="DJ361" s="116"/>
    </row>
    <row r="362" spans="2:114" ht="15.75" customHeight="1" x14ac:dyDescent="0.25">
      <c r="B362" s="116"/>
      <c r="I362" s="656"/>
      <c r="K362" s="116"/>
      <c r="X362" s="1"/>
      <c r="Y362" s="1"/>
      <c r="Z362" s="1"/>
      <c r="AA362" s="1"/>
      <c r="AB362" s="656"/>
      <c r="AC362" s="1"/>
      <c r="AD362" s="116"/>
      <c r="AL362" s="656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43"/>
      <c r="BL362" s="116"/>
      <c r="BU362" s="1"/>
      <c r="BV362" s="1"/>
      <c r="BW362" s="1"/>
      <c r="BX362" s="656"/>
      <c r="BZ362" s="657"/>
      <c r="CA362" s="1"/>
      <c r="CB362" s="1"/>
      <c r="CC362" s="1"/>
      <c r="CD362" s="1"/>
      <c r="CE362" s="1"/>
      <c r="CF362" s="1"/>
      <c r="CG362" s="1"/>
      <c r="CH362" s="1"/>
      <c r="CP362" s="305"/>
      <c r="CR362" s="116"/>
      <c r="CZ362" s="1"/>
      <c r="DA362" s="1"/>
      <c r="DB362" s="1"/>
      <c r="DC362" s="1"/>
      <c r="DD362" s="1"/>
      <c r="DE362" s="1"/>
      <c r="DF362" s="1"/>
      <c r="DG362" s="1"/>
      <c r="DH362" s="656"/>
      <c r="DJ362" s="116"/>
    </row>
    <row r="363" spans="2:114" ht="15.75" customHeight="1" x14ac:dyDescent="0.25">
      <c r="B363" s="116"/>
      <c r="I363" s="656"/>
      <c r="K363" s="116"/>
      <c r="X363" s="1"/>
      <c r="Y363" s="1"/>
      <c r="Z363" s="1"/>
      <c r="AA363" s="1"/>
      <c r="AB363" s="656"/>
      <c r="AC363" s="1"/>
      <c r="AD363" s="116"/>
      <c r="AL363" s="656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43"/>
      <c r="BL363" s="116"/>
      <c r="BU363" s="1"/>
      <c r="BV363" s="1"/>
      <c r="BW363" s="1"/>
      <c r="BX363" s="656"/>
      <c r="BZ363" s="657"/>
      <c r="CA363" s="1"/>
      <c r="CB363" s="1"/>
      <c r="CC363" s="1"/>
      <c r="CD363" s="1"/>
      <c r="CE363" s="1"/>
      <c r="CF363" s="1"/>
      <c r="CG363" s="1"/>
      <c r="CH363" s="1"/>
      <c r="CP363" s="305"/>
      <c r="CR363" s="116"/>
      <c r="CZ363" s="1"/>
      <c r="DA363" s="1"/>
      <c r="DB363" s="1"/>
      <c r="DC363" s="1"/>
      <c r="DD363" s="1"/>
      <c r="DE363" s="1"/>
      <c r="DF363" s="1"/>
      <c r="DG363" s="1"/>
      <c r="DH363" s="656"/>
      <c r="DJ363" s="116"/>
    </row>
    <row r="364" spans="2:114" ht="15.75" customHeight="1" x14ac:dyDescent="0.25">
      <c r="B364" s="116"/>
      <c r="I364" s="656"/>
      <c r="K364" s="116"/>
      <c r="X364" s="1"/>
      <c r="Y364" s="1"/>
      <c r="Z364" s="1"/>
      <c r="AA364" s="1"/>
      <c r="AB364" s="656"/>
      <c r="AC364" s="1"/>
      <c r="AD364" s="116"/>
      <c r="AL364" s="656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43"/>
      <c r="BL364" s="116"/>
      <c r="BU364" s="1"/>
      <c r="BV364" s="1"/>
      <c r="BW364" s="1"/>
      <c r="BX364" s="656"/>
      <c r="BZ364" s="657"/>
      <c r="CA364" s="1"/>
      <c r="CB364" s="1"/>
      <c r="CC364" s="1"/>
      <c r="CD364" s="1"/>
      <c r="CE364" s="1"/>
      <c r="CF364" s="1"/>
      <c r="CG364" s="1"/>
      <c r="CH364" s="1"/>
      <c r="CP364" s="305"/>
      <c r="CR364" s="116"/>
      <c r="CZ364" s="1"/>
      <c r="DA364" s="1"/>
      <c r="DB364" s="1"/>
      <c r="DC364" s="1"/>
      <c r="DD364" s="1"/>
      <c r="DE364" s="1"/>
      <c r="DF364" s="1"/>
      <c r="DG364" s="1"/>
      <c r="DH364" s="656"/>
      <c r="DJ364" s="116"/>
    </row>
    <row r="365" spans="2:114" ht="15.75" customHeight="1" x14ac:dyDescent="0.25">
      <c r="B365" s="116"/>
      <c r="I365" s="656"/>
      <c r="K365" s="116"/>
      <c r="X365" s="1"/>
      <c r="Y365" s="1"/>
      <c r="Z365" s="1"/>
      <c r="AA365" s="1"/>
      <c r="AB365" s="656"/>
      <c r="AC365" s="1"/>
      <c r="AD365" s="116"/>
      <c r="AL365" s="656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43"/>
      <c r="BL365" s="116"/>
      <c r="BU365" s="1"/>
      <c r="BV365" s="1"/>
      <c r="BW365" s="1"/>
      <c r="BX365" s="656"/>
      <c r="BZ365" s="657"/>
      <c r="CA365" s="1"/>
      <c r="CB365" s="1"/>
      <c r="CC365" s="1"/>
      <c r="CD365" s="1"/>
      <c r="CE365" s="1"/>
      <c r="CF365" s="1"/>
      <c r="CG365" s="1"/>
      <c r="CH365" s="1"/>
      <c r="CP365" s="305"/>
      <c r="CR365" s="116"/>
      <c r="CZ365" s="1"/>
      <c r="DA365" s="1"/>
      <c r="DB365" s="1"/>
      <c r="DC365" s="1"/>
      <c r="DD365" s="1"/>
      <c r="DE365" s="1"/>
      <c r="DF365" s="1"/>
      <c r="DG365" s="1"/>
      <c r="DH365" s="656"/>
      <c r="DJ365" s="116"/>
    </row>
    <row r="366" spans="2:114" ht="15.75" customHeight="1" x14ac:dyDescent="0.25">
      <c r="B366" s="116"/>
      <c r="I366" s="656"/>
      <c r="K366" s="116"/>
      <c r="X366" s="1"/>
      <c r="Y366" s="1"/>
      <c r="Z366" s="1"/>
      <c r="AA366" s="1"/>
      <c r="AB366" s="656"/>
      <c r="AC366" s="1"/>
      <c r="AD366" s="116"/>
      <c r="AL366" s="656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43"/>
      <c r="BL366" s="116"/>
      <c r="BU366" s="1"/>
      <c r="BV366" s="1"/>
      <c r="BW366" s="1"/>
      <c r="BX366" s="656"/>
      <c r="BZ366" s="657"/>
      <c r="CA366" s="1"/>
      <c r="CB366" s="1"/>
      <c r="CC366" s="1"/>
      <c r="CD366" s="1"/>
      <c r="CE366" s="1"/>
      <c r="CF366" s="1"/>
      <c r="CG366" s="1"/>
      <c r="CH366" s="1"/>
      <c r="CP366" s="305"/>
      <c r="CR366" s="116"/>
      <c r="CZ366" s="1"/>
      <c r="DA366" s="1"/>
      <c r="DB366" s="1"/>
      <c r="DC366" s="1"/>
      <c r="DD366" s="1"/>
      <c r="DE366" s="1"/>
      <c r="DF366" s="1"/>
      <c r="DG366" s="1"/>
      <c r="DH366" s="656"/>
      <c r="DJ366" s="116"/>
    </row>
    <row r="367" spans="2:114" ht="15.75" customHeight="1" x14ac:dyDescent="0.25">
      <c r="B367" s="116"/>
      <c r="I367" s="656"/>
      <c r="K367" s="116"/>
      <c r="X367" s="1"/>
      <c r="Y367" s="1"/>
      <c r="Z367" s="1"/>
      <c r="AA367" s="1"/>
      <c r="AB367" s="656"/>
      <c r="AC367" s="1"/>
      <c r="AD367" s="116"/>
      <c r="AL367" s="656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43"/>
      <c r="BL367" s="116"/>
      <c r="BU367" s="1"/>
      <c r="BV367" s="1"/>
      <c r="BW367" s="1"/>
      <c r="BX367" s="656"/>
      <c r="BZ367" s="657"/>
      <c r="CA367" s="1"/>
      <c r="CB367" s="1"/>
      <c r="CC367" s="1"/>
      <c r="CD367" s="1"/>
      <c r="CE367" s="1"/>
      <c r="CF367" s="1"/>
      <c r="CG367" s="1"/>
      <c r="CH367" s="1"/>
      <c r="CP367" s="305"/>
      <c r="CR367" s="116"/>
      <c r="CZ367" s="1"/>
      <c r="DA367" s="1"/>
      <c r="DB367" s="1"/>
      <c r="DC367" s="1"/>
      <c r="DD367" s="1"/>
      <c r="DE367" s="1"/>
      <c r="DF367" s="1"/>
      <c r="DG367" s="1"/>
      <c r="DH367" s="656"/>
      <c r="DJ367" s="116"/>
    </row>
    <row r="368" spans="2:114" ht="15.75" customHeight="1" x14ac:dyDescent="0.25">
      <c r="B368" s="116"/>
      <c r="I368" s="656"/>
      <c r="K368" s="116"/>
      <c r="X368" s="1"/>
      <c r="Y368" s="1"/>
      <c r="Z368" s="1"/>
      <c r="AA368" s="1"/>
      <c r="AB368" s="656"/>
      <c r="AC368" s="1"/>
      <c r="AD368" s="116"/>
      <c r="AL368" s="656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43"/>
      <c r="BL368" s="116"/>
      <c r="BU368" s="1"/>
      <c r="BV368" s="1"/>
      <c r="BW368" s="1"/>
      <c r="BX368" s="656"/>
      <c r="BZ368" s="657"/>
      <c r="CA368" s="1"/>
      <c r="CB368" s="1"/>
      <c r="CC368" s="1"/>
      <c r="CD368" s="1"/>
      <c r="CE368" s="1"/>
      <c r="CF368" s="1"/>
      <c r="CG368" s="1"/>
      <c r="CH368" s="1"/>
      <c r="CP368" s="305"/>
      <c r="CR368" s="116"/>
      <c r="CZ368" s="1"/>
      <c r="DA368" s="1"/>
      <c r="DB368" s="1"/>
      <c r="DC368" s="1"/>
      <c r="DD368" s="1"/>
      <c r="DE368" s="1"/>
      <c r="DF368" s="1"/>
      <c r="DG368" s="1"/>
      <c r="DH368" s="656"/>
      <c r="DJ368" s="116"/>
    </row>
    <row r="369" spans="2:114" ht="15.75" customHeight="1" x14ac:dyDescent="0.25">
      <c r="B369" s="116"/>
      <c r="I369" s="656"/>
      <c r="K369" s="116"/>
      <c r="X369" s="1"/>
      <c r="Y369" s="1"/>
      <c r="Z369" s="1"/>
      <c r="AA369" s="1"/>
      <c r="AB369" s="656"/>
      <c r="AC369" s="1"/>
      <c r="AD369" s="116"/>
      <c r="AL369" s="656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43"/>
      <c r="BL369" s="116"/>
      <c r="BU369" s="1"/>
      <c r="BV369" s="1"/>
      <c r="BW369" s="1"/>
      <c r="BX369" s="656"/>
      <c r="BZ369" s="657"/>
      <c r="CA369" s="1"/>
      <c r="CB369" s="1"/>
      <c r="CC369" s="1"/>
      <c r="CD369" s="1"/>
      <c r="CE369" s="1"/>
      <c r="CF369" s="1"/>
      <c r="CG369" s="1"/>
      <c r="CH369" s="1"/>
      <c r="CP369" s="305"/>
      <c r="CR369" s="116"/>
      <c r="CZ369" s="1"/>
      <c r="DA369" s="1"/>
      <c r="DB369" s="1"/>
      <c r="DC369" s="1"/>
      <c r="DD369" s="1"/>
      <c r="DE369" s="1"/>
      <c r="DF369" s="1"/>
      <c r="DG369" s="1"/>
      <c r="DH369" s="656"/>
      <c r="DJ369" s="116"/>
    </row>
    <row r="370" spans="2:114" ht="15.75" customHeight="1" x14ac:dyDescent="0.25">
      <c r="B370" s="116"/>
      <c r="I370" s="656"/>
      <c r="K370" s="116"/>
      <c r="X370" s="1"/>
      <c r="Y370" s="1"/>
      <c r="Z370" s="1"/>
      <c r="AA370" s="1"/>
      <c r="AB370" s="656"/>
      <c r="AC370" s="1"/>
      <c r="AD370" s="116"/>
      <c r="AL370" s="656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43"/>
      <c r="BL370" s="116"/>
      <c r="BU370" s="1"/>
      <c r="BV370" s="1"/>
      <c r="BW370" s="1"/>
      <c r="BX370" s="656"/>
      <c r="BZ370" s="657"/>
      <c r="CA370" s="1"/>
      <c r="CB370" s="1"/>
      <c r="CC370" s="1"/>
      <c r="CD370" s="1"/>
      <c r="CE370" s="1"/>
      <c r="CF370" s="1"/>
      <c r="CG370" s="1"/>
      <c r="CH370" s="1"/>
      <c r="CP370" s="305"/>
      <c r="CR370" s="116"/>
      <c r="CZ370" s="1"/>
      <c r="DA370" s="1"/>
      <c r="DB370" s="1"/>
      <c r="DC370" s="1"/>
      <c r="DD370" s="1"/>
      <c r="DE370" s="1"/>
      <c r="DF370" s="1"/>
      <c r="DG370" s="1"/>
      <c r="DH370" s="656"/>
      <c r="DJ370" s="116"/>
    </row>
    <row r="371" spans="2:114" ht="15.75" customHeight="1" x14ac:dyDescent="0.25">
      <c r="B371" s="116"/>
      <c r="I371" s="656"/>
      <c r="K371" s="116"/>
      <c r="X371" s="1"/>
      <c r="Y371" s="1"/>
      <c r="Z371" s="1"/>
      <c r="AA371" s="1"/>
      <c r="AB371" s="656"/>
      <c r="AC371" s="1"/>
      <c r="AD371" s="116"/>
      <c r="AL371" s="656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43"/>
      <c r="BL371" s="116"/>
      <c r="BU371" s="1"/>
      <c r="BV371" s="1"/>
      <c r="BW371" s="1"/>
      <c r="BX371" s="656"/>
      <c r="BZ371" s="657"/>
      <c r="CA371" s="1"/>
      <c r="CB371" s="1"/>
      <c r="CC371" s="1"/>
      <c r="CD371" s="1"/>
      <c r="CE371" s="1"/>
      <c r="CF371" s="1"/>
      <c r="CG371" s="1"/>
      <c r="CH371" s="1"/>
      <c r="CP371" s="305"/>
      <c r="CR371" s="116"/>
      <c r="CZ371" s="1"/>
      <c r="DA371" s="1"/>
      <c r="DB371" s="1"/>
      <c r="DC371" s="1"/>
      <c r="DD371" s="1"/>
      <c r="DE371" s="1"/>
      <c r="DF371" s="1"/>
      <c r="DG371" s="1"/>
      <c r="DH371" s="656"/>
      <c r="DJ371" s="116"/>
    </row>
    <row r="372" spans="2:114" ht="15.75" customHeight="1" x14ac:dyDescent="0.25">
      <c r="B372" s="116"/>
      <c r="I372" s="656"/>
      <c r="K372" s="116"/>
      <c r="X372" s="1"/>
      <c r="Y372" s="1"/>
      <c r="Z372" s="1"/>
      <c r="AA372" s="1"/>
      <c r="AB372" s="656"/>
      <c r="AC372" s="1"/>
      <c r="AD372" s="116"/>
      <c r="AL372" s="656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43"/>
      <c r="BL372" s="116"/>
      <c r="BU372" s="1"/>
      <c r="BV372" s="1"/>
      <c r="BW372" s="1"/>
      <c r="BX372" s="656"/>
      <c r="BZ372" s="657"/>
      <c r="CA372" s="1"/>
      <c r="CB372" s="1"/>
      <c r="CC372" s="1"/>
      <c r="CD372" s="1"/>
      <c r="CE372" s="1"/>
      <c r="CF372" s="1"/>
      <c r="CG372" s="1"/>
      <c r="CH372" s="1"/>
      <c r="CP372" s="305"/>
      <c r="CR372" s="116"/>
      <c r="CZ372" s="1"/>
      <c r="DA372" s="1"/>
      <c r="DB372" s="1"/>
      <c r="DC372" s="1"/>
      <c r="DD372" s="1"/>
      <c r="DE372" s="1"/>
      <c r="DF372" s="1"/>
      <c r="DG372" s="1"/>
      <c r="DH372" s="656"/>
      <c r="DJ372" s="116"/>
    </row>
    <row r="373" spans="2:114" ht="15.75" customHeight="1" x14ac:dyDescent="0.25">
      <c r="B373" s="116"/>
      <c r="I373" s="656"/>
      <c r="K373" s="116"/>
      <c r="X373" s="1"/>
      <c r="Y373" s="1"/>
      <c r="Z373" s="1"/>
      <c r="AA373" s="1"/>
      <c r="AB373" s="656"/>
      <c r="AC373" s="1"/>
      <c r="AD373" s="116"/>
      <c r="AL373" s="656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43"/>
      <c r="BL373" s="116"/>
      <c r="BU373" s="1"/>
      <c r="BV373" s="1"/>
      <c r="BW373" s="1"/>
      <c r="BX373" s="656"/>
      <c r="BZ373" s="657"/>
      <c r="CA373" s="1"/>
      <c r="CB373" s="1"/>
      <c r="CC373" s="1"/>
      <c r="CD373" s="1"/>
      <c r="CE373" s="1"/>
      <c r="CF373" s="1"/>
      <c r="CG373" s="1"/>
      <c r="CH373" s="1"/>
      <c r="CP373" s="305"/>
      <c r="CR373" s="116"/>
      <c r="CZ373" s="1"/>
      <c r="DA373" s="1"/>
      <c r="DB373" s="1"/>
      <c r="DC373" s="1"/>
      <c r="DD373" s="1"/>
      <c r="DE373" s="1"/>
      <c r="DF373" s="1"/>
      <c r="DG373" s="1"/>
      <c r="DH373" s="656"/>
      <c r="DJ373" s="116"/>
    </row>
    <row r="374" spans="2:114" ht="15.75" customHeight="1" x14ac:dyDescent="0.25">
      <c r="B374" s="116"/>
      <c r="I374" s="656"/>
      <c r="K374" s="116"/>
      <c r="X374" s="1"/>
      <c r="Y374" s="1"/>
      <c r="Z374" s="1"/>
      <c r="AA374" s="1"/>
      <c r="AB374" s="656"/>
      <c r="AC374" s="1"/>
      <c r="AD374" s="116"/>
      <c r="AL374" s="656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43"/>
      <c r="BL374" s="116"/>
      <c r="BU374" s="1"/>
      <c r="BV374" s="1"/>
      <c r="BW374" s="1"/>
      <c r="BX374" s="656"/>
      <c r="BZ374" s="657"/>
      <c r="CA374" s="1"/>
      <c r="CB374" s="1"/>
      <c r="CC374" s="1"/>
      <c r="CD374" s="1"/>
      <c r="CE374" s="1"/>
      <c r="CF374" s="1"/>
      <c r="CG374" s="1"/>
      <c r="CH374" s="1"/>
      <c r="CP374" s="305"/>
      <c r="CR374" s="116"/>
      <c r="CZ374" s="1"/>
      <c r="DA374" s="1"/>
      <c r="DB374" s="1"/>
      <c r="DC374" s="1"/>
      <c r="DD374" s="1"/>
      <c r="DE374" s="1"/>
      <c r="DF374" s="1"/>
      <c r="DG374" s="1"/>
      <c r="DH374" s="656"/>
      <c r="DJ374" s="116"/>
    </row>
    <row r="375" spans="2:114" ht="15.75" customHeight="1" x14ac:dyDescent="0.25">
      <c r="B375" s="116"/>
      <c r="I375" s="656"/>
      <c r="K375" s="116"/>
      <c r="X375" s="1"/>
      <c r="Y375" s="1"/>
      <c r="Z375" s="1"/>
      <c r="AA375" s="1"/>
      <c r="AB375" s="656"/>
      <c r="AC375" s="1"/>
      <c r="AD375" s="116"/>
      <c r="AL375" s="656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43"/>
      <c r="BL375" s="116"/>
      <c r="BU375" s="1"/>
      <c r="BV375" s="1"/>
      <c r="BW375" s="1"/>
      <c r="BX375" s="656"/>
      <c r="BZ375" s="657"/>
      <c r="CA375" s="1"/>
      <c r="CB375" s="1"/>
      <c r="CC375" s="1"/>
      <c r="CD375" s="1"/>
      <c r="CE375" s="1"/>
      <c r="CF375" s="1"/>
      <c r="CG375" s="1"/>
      <c r="CH375" s="1"/>
      <c r="CP375" s="305"/>
      <c r="CR375" s="116"/>
      <c r="CZ375" s="1"/>
      <c r="DA375" s="1"/>
      <c r="DB375" s="1"/>
      <c r="DC375" s="1"/>
      <c r="DD375" s="1"/>
      <c r="DE375" s="1"/>
      <c r="DF375" s="1"/>
      <c r="DG375" s="1"/>
      <c r="DH375" s="656"/>
      <c r="DJ375" s="116"/>
    </row>
    <row r="376" spans="2:114" ht="15.75" customHeight="1" x14ac:dyDescent="0.25">
      <c r="B376" s="116"/>
      <c r="I376" s="656"/>
      <c r="K376" s="116"/>
      <c r="X376" s="1"/>
      <c r="Y376" s="1"/>
      <c r="Z376" s="1"/>
      <c r="AA376" s="1"/>
      <c r="AB376" s="656"/>
      <c r="AC376" s="1"/>
      <c r="AD376" s="116"/>
      <c r="AL376" s="656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43"/>
      <c r="BL376" s="116"/>
      <c r="BU376" s="1"/>
      <c r="BV376" s="1"/>
      <c r="BW376" s="1"/>
      <c r="BX376" s="656"/>
      <c r="BZ376" s="657"/>
      <c r="CA376" s="1"/>
      <c r="CB376" s="1"/>
      <c r="CC376" s="1"/>
      <c r="CD376" s="1"/>
      <c r="CE376" s="1"/>
      <c r="CF376" s="1"/>
      <c r="CG376" s="1"/>
      <c r="CH376" s="1"/>
      <c r="CP376" s="305"/>
      <c r="CR376" s="116"/>
      <c r="CZ376" s="1"/>
      <c r="DA376" s="1"/>
      <c r="DB376" s="1"/>
      <c r="DC376" s="1"/>
      <c r="DD376" s="1"/>
      <c r="DE376" s="1"/>
      <c r="DF376" s="1"/>
      <c r="DG376" s="1"/>
      <c r="DH376" s="656"/>
      <c r="DJ376" s="116"/>
    </row>
    <row r="377" spans="2:114" ht="15.75" customHeight="1" x14ac:dyDescent="0.25">
      <c r="B377" s="116"/>
      <c r="I377" s="656"/>
      <c r="K377" s="116"/>
      <c r="X377" s="1"/>
      <c r="Y377" s="1"/>
      <c r="Z377" s="1"/>
      <c r="AA377" s="1"/>
      <c r="AB377" s="656"/>
      <c r="AC377" s="1"/>
      <c r="AD377" s="116"/>
      <c r="AL377" s="656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43"/>
      <c r="BL377" s="116"/>
      <c r="BU377" s="1"/>
      <c r="BV377" s="1"/>
      <c r="BW377" s="1"/>
      <c r="BX377" s="656"/>
      <c r="BZ377" s="657"/>
      <c r="CA377" s="1"/>
      <c r="CB377" s="1"/>
      <c r="CC377" s="1"/>
      <c r="CD377" s="1"/>
      <c r="CE377" s="1"/>
      <c r="CF377" s="1"/>
      <c r="CG377" s="1"/>
      <c r="CH377" s="1"/>
      <c r="CP377" s="305"/>
      <c r="CR377" s="116"/>
      <c r="CZ377" s="1"/>
      <c r="DA377" s="1"/>
      <c r="DB377" s="1"/>
      <c r="DC377" s="1"/>
      <c r="DD377" s="1"/>
      <c r="DE377" s="1"/>
      <c r="DF377" s="1"/>
      <c r="DG377" s="1"/>
      <c r="DH377" s="656"/>
      <c r="DJ377" s="116"/>
    </row>
    <row r="378" spans="2:114" ht="15.75" customHeight="1" x14ac:dyDescent="0.25">
      <c r="B378" s="116"/>
      <c r="I378" s="656"/>
      <c r="K378" s="116"/>
      <c r="X378" s="1"/>
      <c r="Y378" s="1"/>
      <c r="Z378" s="1"/>
      <c r="AA378" s="1"/>
      <c r="AB378" s="656"/>
      <c r="AC378" s="1"/>
      <c r="AD378" s="116"/>
      <c r="AL378" s="656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43"/>
      <c r="BL378" s="116"/>
      <c r="BU378" s="1"/>
      <c r="BV378" s="1"/>
      <c r="BW378" s="1"/>
      <c r="BX378" s="656"/>
      <c r="BZ378" s="657"/>
      <c r="CA378" s="1"/>
      <c r="CB378" s="1"/>
      <c r="CC378" s="1"/>
      <c r="CD378" s="1"/>
      <c r="CE378" s="1"/>
      <c r="CF378" s="1"/>
      <c r="CG378" s="1"/>
      <c r="CH378" s="1"/>
      <c r="CP378" s="305"/>
      <c r="CR378" s="116"/>
      <c r="CZ378" s="1"/>
      <c r="DA378" s="1"/>
      <c r="DB378" s="1"/>
      <c r="DC378" s="1"/>
      <c r="DD378" s="1"/>
      <c r="DE378" s="1"/>
      <c r="DF378" s="1"/>
      <c r="DG378" s="1"/>
      <c r="DH378" s="656"/>
      <c r="DJ378" s="116"/>
    </row>
    <row r="379" spans="2:114" ht="15.75" customHeight="1" x14ac:dyDescent="0.25">
      <c r="B379" s="116"/>
      <c r="I379" s="656"/>
      <c r="K379" s="116"/>
      <c r="X379" s="1"/>
      <c r="Y379" s="1"/>
      <c r="Z379" s="1"/>
      <c r="AA379" s="1"/>
      <c r="AB379" s="656"/>
      <c r="AC379" s="1"/>
      <c r="AD379" s="116"/>
      <c r="AL379" s="656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43"/>
      <c r="BL379" s="116"/>
      <c r="BU379" s="1"/>
      <c r="BV379" s="1"/>
      <c r="BW379" s="1"/>
      <c r="BX379" s="656"/>
      <c r="BZ379" s="657"/>
      <c r="CA379" s="1"/>
      <c r="CB379" s="1"/>
      <c r="CC379" s="1"/>
      <c r="CD379" s="1"/>
      <c r="CE379" s="1"/>
      <c r="CF379" s="1"/>
      <c r="CG379" s="1"/>
      <c r="CH379" s="1"/>
      <c r="CP379" s="305"/>
      <c r="CR379" s="116"/>
      <c r="CZ379" s="1"/>
      <c r="DA379" s="1"/>
      <c r="DB379" s="1"/>
      <c r="DC379" s="1"/>
      <c r="DD379" s="1"/>
      <c r="DE379" s="1"/>
      <c r="DF379" s="1"/>
      <c r="DG379" s="1"/>
      <c r="DH379" s="656"/>
      <c r="DJ379" s="116"/>
    </row>
    <row r="380" spans="2:114" ht="15.75" customHeight="1" x14ac:dyDescent="0.25">
      <c r="B380" s="116"/>
      <c r="I380" s="656"/>
      <c r="K380" s="116"/>
      <c r="X380" s="1"/>
      <c r="Y380" s="1"/>
      <c r="Z380" s="1"/>
      <c r="AA380" s="1"/>
      <c r="AB380" s="656"/>
      <c r="AC380" s="1"/>
      <c r="AD380" s="116"/>
      <c r="AL380" s="656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43"/>
      <c r="BL380" s="116"/>
      <c r="BU380" s="1"/>
      <c r="BV380" s="1"/>
      <c r="BW380" s="1"/>
      <c r="BX380" s="656"/>
      <c r="BZ380" s="657"/>
      <c r="CA380" s="1"/>
      <c r="CB380" s="1"/>
      <c r="CC380" s="1"/>
      <c r="CD380" s="1"/>
      <c r="CE380" s="1"/>
      <c r="CF380" s="1"/>
      <c r="CG380" s="1"/>
      <c r="CH380" s="1"/>
      <c r="CP380" s="305"/>
      <c r="CR380" s="116"/>
      <c r="CZ380" s="1"/>
      <c r="DA380" s="1"/>
      <c r="DB380" s="1"/>
      <c r="DC380" s="1"/>
      <c r="DD380" s="1"/>
      <c r="DE380" s="1"/>
      <c r="DF380" s="1"/>
      <c r="DG380" s="1"/>
      <c r="DH380" s="656"/>
      <c r="DJ380" s="116"/>
    </row>
    <row r="381" spans="2:114" ht="15.75" customHeight="1" x14ac:dyDescent="0.25">
      <c r="B381" s="116"/>
      <c r="I381" s="656"/>
      <c r="K381" s="116"/>
      <c r="X381" s="1"/>
      <c r="Y381" s="1"/>
      <c r="Z381" s="1"/>
      <c r="AA381" s="1"/>
      <c r="AB381" s="656"/>
      <c r="AC381" s="1"/>
      <c r="AD381" s="116"/>
      <c r="AL381" s="656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43"/>
      <c r="BL381" s="116"/>
      <c r="BU381" s="1"/>
      <c r="BV381" s="1"/>
      <c r="BW381" s="1"/>
      <c r="BX381" s="656"/>
      <c r="BZ381" s="657"/>
      <c r="CA381" s="1"/>
      <c r="CB381" s="1"/>
      <c r="CC381" s="1"/>
      <c r="CD381" s="1"/>
      <c r="CE381" s="1"/>
      <c r="CF381" s="1"/>
      <c r="CG381" s="1"/>
      <c r="CH381" s="1"/>
      <c r="CP381" s="305"/>
      <c r="CR381" s="116"/>
      <c r="CZ381" s="1"/>
      <c r="DA381" s="1"/>
      <c r="DB381" s="1"/>
      <c r="DC381" s="1"/>
      <c r="DD381" s="1"/>
      <c r="DE381" s="1"/>
      <c r="DF381" s="1"/>
      <c r="DG381" s="1"/>
      <c r="DH381" s="656"/>
      <c r="DJ381" s="116"/>
    </row>
    <row r="382" spans="2:114" ht="15.75" customHeight="1" x14ac:dyDescent="0.25">
      <c r="B382" s="116"/>
      <c r="I382" s="656"/>
      <c r="K382" s="116"/>
      <c r="X382" s="1"/>
      <c r="Y382" s="1"/>
      <c r="Z382" s="1"/>
      <c r="AA382" s="1"/>
      <c r="AB382" s="656"/>
      <c r="AC382" s="1"/>
      <c r="AD382" s="116"/>
      <c r="AL382" s="656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43"/>
      <c r="BL382" s="116"/>
      <c r="BU382" s="1"/>
      <c r="BV382" s="1"/>
      <c r="BW382" s="1"/>
      <c r="BX382" s="656"/>
      <c r="BZ382" s="657"/>
      <c r="CA382" s="1"/>
      <c r="CB382" s="1"/>
      <c r="CC382" s="1"/>
      <c r="CD382" s="1"/>
      <c r="CE382" s="1"/>
      <c r="CF382" s="1"/>
      <c r="CG382" s="1"/>
      <c r="CH382" s="1"/>
      <c r="CP382" s="305"/>
      <c r="CR382" s="116"/>
      <c r="CZ382" s="1"/>
      <c r="DA382" s="1"/>
      <c r="DB382" s="1"/>
      <c r="DC382" s="1"/>
      <c r="DD382" s="1"/>
      <c r="DE382" s="1"/>
      <c r="DF382" s="1"/>
      <c r="DG382" s="1"/>
      <c r="DH382" s="656"/>
      <c r="DJ382" s="116"/>
    </row>
    <row r="383" spans="2:114" ht="15.75" customHeight="1" x14ac:dyDescent="0.25">
      <c r="B383" s="116"/>
      <c r="I383" s="656"/>
      <c r="K383" s="116"/>
      <c r="X383" s="1"/>
      <c r="Y383" s="1"/>
      <c r="Z383" s="1"/>
      <c r="AA383" s="1"/>
      <c r="AB383" s="656"/>
      <c r="AC383" s="1"/>
      <c r="AD383" s="116"/>
      <c r="AL383" s="656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43"/>
      <c r="BL383" s="116"/>
      <c r="BU383" s="1"/>
      <c r="BV383" s="1"/>
      <c r="BW383" s="1"/>
      <c r="BX383" s="656"/>
      <c r="BZ383" s="657"/>
      <c r="CA383" s="1"/>
      <c r="CB383" s="1"/>
      <c r="CC383" s="1"/>
      <c r="CD383" s="1"/>
      <c r="CE383" s="1"/>
      <c r="CF383" s="1"/>
      <c r="CG383" s="1"/>
      <c r="CH383" s="1"/>
      <c r="CP383" s="305"/>
      <c r="CR383" s="116"/>
      <c r="CZ383" s="1"/>
      <c r="DA383" s="1"/>
      <c r="DB383" s="1"/>
      <c r="DC383" s="1"/>
      <c r="DD383" s="1"/>
      <c r="DE383" s="1"/>
      <c r="DF383" s="1"/>
      <c r="DG383" s="1"/>
      <c r="DH383" s="656"/>
      <c r="DJ383" s="116"/>
    </row>
    <row r="384" spans="2:114" ht="15.75" customHeight="1" x14ac:dyDescent="0.25">
      <c r="B384" s="116"/>
      <c r="I384" s="656"/>
      <c r="K384" s="116"/>
      <c r="X384" s="1"/>
      <c r="Y384" s="1"/>
      <c r="Z384" s="1"/>
      <c r="AA384" s="1"/>
      <c r="AB384" s="656"/>
      <c r="AC384" s="1"/>
      <c r="AD384" s="116"/>
      <c r="AL384" s="656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43"/>
      <c r="BL384" s="116"/>
      <c r="BU384" s="1"/>
      <c r="BV384" s="1"/>
      <c r="BW384" s="1"/>
      <c r="BX384" s="656"/>
      <c r="BZ384" s="657"/>
      <c r="CA384" s="1"/>
      <c r="CB384" s="1"/>
      <c r="CC384" s="1"/>
      <c r="CD384" s="1"/>
      <c r="CE384" s="1"/>
      <c r="CF384" s="1"/>
      <c r="CG384" s="1"/>
      <c r="CH384" s="1"/>
      <c r="CP384" s="305"/>
      <c r="CR384" s="116"/>
      <c r="CZ384" s="1"/>
      <c r="DA384" s="1"/>
      <c r="DB384" s="1"/>
      <c r="DC384" s="1"/>
      <c r="DD384" s="1"/>
      <c r="DE384" s="1"/>
      <c r="DF384" s="1"/>
      <c r="DG384" s="1"/>
      <c r="DH384" s="656"/>
      <c r="DJ384" s="116"/>
    </row>
    <row r="385" spans="2:114" ht="15.75" customHeight="1" x14ac:dyDescent="0.25">
      <c r="B385" s="116"/>
      <c r="I385" s="656"/>
      <c r="K385" s="116"/>
      <c r="X385" s="1"/>
      <c r="Y385" s="1"/>
      <c r="Z385" s="1"/>
      <c r="AA385" s="1"/>
      <c r="AB385" s="656"/>
      <c r="AC385" s="1"/>
      <c r="AD385" s="116"/>
      <c r="AL385" s="656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43"/>
      <c r="BL385" s="116"/>
      <c r="BU385" s="1"/>
      <c r="BV385" s="1"/>
      <c r="BW385" s="1"/>
      <c r="BX385" s="656"/>
      <c r="BZ385" s="657"/>
      <c r="CA385" s="1"/>
      <c r="CB385" s="1"/>
      <c r="CC385" s="1"/>
      <c r="CD385" s="1"/>
      <c r="CE385" s="1"/>
      <c r="CF385" s="1"/>
      <c r="CG385" s="1"/>
      <c r="CH385" s="1"/>
      <c r="CP385" s="305"/>
      <c r="CR385" s="116"/>
      <c r="CZ385" s="1"/>
      <c r="DA385" s="1"/>
      <c r="DB385" s="1"/>
      <c r="DC385" s="1"/>
      <c r="DD385" s="1"/>
      <c r="DE385" s="1"/>
      <c r="DF385" s="1"/>
      <c r="DG385" s="1"/>
      <c r="DH385" s="656"/>
      <c r="DJ385" s="116"/>
    </row>
    <row r="386" spans="2:114" ht="15.75" customHeight="1" x14ac:dyDescent="0.25">
      <c r="B386" s="116"/>
      <c r="I386" s="656"/>
      <c r="K386" s="116"/>
      <c r="X386" s="1"/>
      <c r="Y386" s="1"/>
      <c r="Z386" s="1"/>
      <c r="AA386" s="1"/>
      <c r="AB386" s="656"/>
      <c r="AC386" s="1"/>
      <c r="AD386" s="116"/>
      <c r="AL386" s="656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43"/>
      <c r="BL386" s="116"/>
      <c r="BU386" s="1"/>
      <c r="BV386" s="1"/>
      <c r="BW386" s="1"/>
      <c r="BX386" s="656"/>
      <c r="BZ386" s="657"/>
      <c r="CA386" s="1"/>
      <c r="CB386" s="1"/>
      <c r="CC386" s="1"/>
      <c r="CD386" s="1"/>
      <c r="CE386" s="1"/>
      <c r="CF386" s="1"/>
      <c r="CG386" s="1"/>
      <c r="CH386" s="1"/>
      <c r="CP386" s="305"/>
      <c r="CR386" s="116"/>
      <c r="CZ386" s="1"/>
      <c r="DA386" s="1"/>
      <c r="DB386" s="1"/>
      <c r="DC386" s="1"/>
      <c r="DD386" s="1"/>
      <c r="DE386" s="1"/>
      <c r="DF386" s="1"/>
      <c r="DG386" s="1"/>
      <c r="DH386" s="656"/>
      <c r="DJ386" s="116"/>
    </row>
    <row r="387" spans="2:114" ht="15.75" customHeight="1" x14ac:dyDescent="0.25">
      <c r="B387" s="116"/>
      <c r="I387" s="656"/>
      <c r="K387" s="116"/>
      <c r="X387" s="1"/>
      <c r="Y387" s="1"/>
      <c r="Z387" s="1"/>
      <c r="AA387" s="1"/>
      <c r="AB387" s="656"/>
      <c r="AC387" s="1"/>
      <c r="AD387" s="116"/>
      <c r="AL387" s="656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43"/>
      <c r="BL387" s="116"/>
      <c r="BU387" s="1"/>
      <c r="BV387" s="1"/>
      <c r="BW387" s="1"/>
      <c r="BX387" s="656"/>
      <c r="BZ387" s="657"/>
      <c r="CA387" s="1"/>
      <c r="CB387" s="1"/>
      <c r="CC387" s="1"/>
      <c r="CD387" s="1"/>
      <c r="CE387" s="1"/>
      <c r="CF387" s="1"/>
      <c r="CG387" s="1"/>
      <c r="CH387" s="1"/>
      <c r="CP387" s="305"/>
      <c r="CR387" s="116"/>
      <c r="CZ387" s="1"/>
      <c r="DA387" s="1"/>
      <c r="DB387" s="1"/>
      <c r="DC387" s="1"/>
      <c r="DD387" s="1"/>
      <c r="DE387" s="1"/>
      <c r="DF387" s="1"/>
      <c r="DG387" s="1"/>
      <c r="DH387" s="656"/>
      <c r="DJ387" s="116"/>
    </row>
    <row r="388" spans="2:114" ht="15.75" customHeight="1" x14ac:dyDescent="0.25">
      <c r="B388" s="116"/>
      <c r="I388" s="656"/>
      <c r="K388" s="116"/>
      <c r="X388" s="1"/>
      <c r="Y388" s="1"/>
      <c r="Z388" s="1"/>
      <c r="AA388" s="1"/>
      <c r="AB388" s="656"/>
      <c r="AC388" s="1"/>
      <c r="AD388" s="116"/>
      <c r="AL388" s="656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43"/>
      <c r="BL388" s="116"/>
      <c r="BU388" s="1"/>
      <c r="BV388" s="1"/>
      <c r="BW388" s="1"/>
      <c r="BX388" s="656"/>
      <c r="BZ388" s="657"/>
      <c r="CA388" s="1"/>
      <c r="CB388" s="1"/>
      <c r="CC388" s="1"/>
      <c r="CD388" s="1"/>
      <c r="CE388" s="1"/>
      <c r="CF388" s="1"/>
      <c r="CG388" s="1"/>
      <c r="CH388" s="1"/>
      <c r="CP388" s="305"/>
      <c r="CR388" s="116"/>
      <c r="CZ388" s="1"/>
      <c r="DA388" s="1"/>
      <c r="DB388" s="1"/>
      <c r="DC388" s="1"/>
      <c r="DD388" s="1"/>
      <c r="DE388" s="1"/>
      <c r="DF388" s="1"/>
      <c r="DG388" s="1"/>
      <c r="DH388" s="656"/>
      <c r="DJ388" s="116"/>
    </row>
    <row r="389" spans="2:114" ht="15.75" customHeight="1" x14ac:dyDescent="0.25">
      <c r="B389" s="116"/>
      <c r="I389" s="656"/>
      <c r="K389" s="116"/>
      <c r="X389" s="1"/>
      <c r="Y389" s="1"/>
      <c r="Z389" s="1"/>
      <c r="AA389" s="1"/>
      <c r="AB389" s="656"/>
      <c r="AC389" s="1"/>
      <c r="AD389" s="116"/>
      <c r="AL389" s="656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43"/>
      <c r="BL389" s="116"/>
      <c r="BU389" s="1"/>
      <c r="BV389" s="1"/>
      <c r="BW389" s="1"/>
      <c r="BX389" s="656"/>
      <c r="BZ389" s="657"/>
      <c r="CA389" s="1"/>
      <c r="CB389" s="1"/>
      <c r="CC389" s="1"/>
      <c r="CD389" s="1"/>
      <c r="CE389" s="1"/>
      <c r="CF389" s="1"/>
      <c r="CG389" s="1"/>
      <c r="CH389" s="1"/>
      <c r="CP389" s="305"/>
      <c r="CR389" s="116"/>
      <c r="CZ389" s="1"/>
      <c r="DA389" s="1"/>
      <c r="DB389" s="1"/>
      <c r="DC389" s="1"/>
      <c r="DD389" s="1"/>
      <c r="DE389" s="1"/>
      <c r="DF389" s="1"/>
      <c r="DG389" s="1"/>
      <c r="DH389" s="656"/>
      <c r="DJ389" s="116"/>
    </row>
    <row r="390" spans="2:114" ht="15.75" customHeight="1" x14ac:dyDescent="0.25">
      <c r="B390" s="116"/>
      <c r="I390" s="656"/>
      <c r="K390" s="116"/>
      <c r="X390" s="1"/>
      <c r="Y390" s="1"/>
      <c r="Z390" s="1"/>
      <c r="AA390" s="1"/>
      <c r="AB390" s="656"/>
      <c r="AC390" s="1"/>
      <c r="AD390" s="116"/>
      <c r="AL390" s="656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43"/>
      <c r="BL390" s="116"/>
      <c r="BU390" s="1"/>
      <c r="BV390" s="1"/>
      <c r="BW390" s="1"/>
      <c r="BX390" s="656"/>
      <c r="BZ390" s="657"/>
      <c r="CA390" s="1"/>
      <c r="CB390" s="1"/>
      <c r="CC390" s="1"/>
      <c r="CD390" s="1"/>
      <c r="CE390" s="1"/>
      <c r="CF390" s="1"/>
      <c r="CG390" s="1"/>
      <c r="CH390" s="1"/>
      <c r="CP390" s="305"/>
      <c r="CR390" s="116"/>
      <c r="CZ390" s="1"/>
      <c r="DA390" s="1"/>
      <c r="DB390" s="1"/>
      <c r="DC390" s="1"/>
      <c r="DD390" s="1"/>
      <c r="DE390" s="1"/>
      <c r="DF390" s="1"/>
      <c r="DG390" s="1"/>
      <c r="DH390" s="656"/>
      <c r="DJ390" s="116"/>
    </row>
    <row r="391" spans="2:114" ht="15.75" customHeight="1" x14ac:dyDescent="0.25">
      <c r="B391" s="116"/>
      <c r="I391" s="656"/>
      <c r="K391" s="116"/>
      <c r="X391" s="1"/>
      <c r="Y391" s="1"/>
      <c r="Z391" s="1"/>
      <c r="AA391" s="1"/>
      <c r="AB391" s="656"/>
      <c r="AC391" s="1"/>
      <c r="AD391" s="116"/>
      <c r="AL391" s="656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43"/>
      <c r="BL391" s="116"/>
      <c r="BU391" s="1"/>
      <c r="BV391" s="1"/>
      <c r="BW391" s="1"/>
      <c r="BX391" s="656"/>
      <c r="BZ391" s="657"/>
      <c r="CA391" s="1"/>
      <c r="CB391" s="1"/>
      <c r="CC391" s="1"/>
      <c r="CD391" s="1"/>
      <c r="CE391" s="1"/>
      <c r="CF391" s="1"/>
      <c r="CG391" s="1"/>
      <c r="CH391" s="1"/>
      <c r="CP391" s="305"/>
      <c r="CR391" s="116"/>
      <c r="CZ391" s="1"/>
      <c r="DA391" s="1"/>
      <c r="DB391" s="1"/>
      <c r="DC391" s="1"/>
      <c r="DD391" s="1"/>
      <c r="DE391" s="1"/>
      <c r="DF391" s="1"/>
      <c r="DG391" s="1"/>
      <c r="DH391" s="656"/>
      <c r="DJ391" s="116"/>
    </row>
    <row r="392" spans="2:114" ht="15.75" customHeight="1" x14ac:dyDescent="0.25">
      <c r="B392" s="116"/>
      <c r="I392" s="656"/>
      <c r="K392" s="116"/>
      <c r="X392" s="1"/>
      <c r="Y392" s="1"/>
      <c r="Z392" s="1"/>
      <c r="AA392" s="1"/>
      <c r="AB392" s="656"/>
      <c r="AC392" s="1"/>
      <c r="AD392" s="116"/>
      <c r="AL392" s="656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43"/>
      <c r="BL392" s="116"/>
      <c r="BU392" s="1"/>
      <c r="BV392" s="1"/>
      <c r="BW392" s="1"/>
      <c r="BX392" s="656"/>
      <c r="BZ392" s="657"/>
      <c r="CA392" s="1"/>
      <c r="CB392" s="1"/>
      <c r="CC392" s="1"/>
      <c r="CD392" s="1"/>
      <c r="CE392" s="1"/>
      <c r="CF392" s="1"/>
      <c r="CG392" s="1"/>
      <c r="CH392" s="1"/>
      <c r="CP392" s="305"/>
      <c r="CR392" s="116"/>
      <c r="CZ392" s="1"/>
      <c r="DA392" s="1"/>
      <c r="DB392" s="1"/>
      <c r="DC392" s="1"/>
      <c r="DD392" s="1"/>
      <c r="DE392" s="1"/>
      <c r="DF392" s="1"/>
      <c r="DG392" s="1"/>
      <c r="DH392" s="656"/>
      <c r="DJ392" s="116"/>
    </row>
    <row r="393" spans="2:114" ht="15.75" customHeight="1" x14ac:dyDescent="0.25">
      <c r="B393" s="116"/>
      <c r="I393" s="656"/>
      <c r="K393" s="116"/>
      <c r="X393" s="1"/>
      <c r="Y393" s="1"/>
      <c r="Z393" s="1"/>
      <c r="AA393" s="1"/>
      <c r="AB393" s="656"/>
      <c r="AC393" s="1"/>
      <c r="AD393" s="116"/>
      <c r="AL393" s="656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43"/>
      <c r="BL393" s="116"/>
      <c r="BU393" s="1"/>
      <c r="BV393" s="1"/>
      <c r="BW393" s="1"/>
      <c r="BX393" s="656"/>
      <c r="BZ393" s="657"/>
      <c r="CA393" s="1"/>
      <c r="CB393" s="1"/>
      <c r="CC393" s="1"/>
      <c r="CD393" s="1"/>
      <c r="CE393" s="1"/>
      <c r="CF393" s="1"/>
      <c r="CG393" s="1"/>
      <c r="CH393" s="1"/>
      <c r="CP393" s="305"/>
      <c r="CR393" s="116"/>
      <c r="CZ393" s="1"/>
      <c r="DA393" s="1"/>
      <c r="DB393" s="1"/>
      <c r="DC393" s="1"/>
      <c r="DD393" s="1"/>
      <c r="DE393" s="1"/>
      <c r="DF393" s="1"/>
      <c r="DG393" s="1"/>
      <c r="DH393" s="656"/>
      <c r="DJ393" s="116"/>
    </row>
    <row r="394" spans="2:114" ht="15.75" customHeight="1" x14ac:dyDescent="0.25">
      <c r="B394" s="116"/>
      <c r="I394" s="656"/>
      <c r="K394" s="116"/>
      <c r="X394" s="1"/>
      <c r="Y394" s="1"/>
      <c r="Z394" s="1"/>
      <c r="AA394" s="1"/>
      <c r="AB394" s="656"/>
      <c r="AC394" s="1"/>
      <c r="AD394" s="116"/>
      <c r="AL394" s="656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43"/>
      <c r="BL394" s="116"/>
      <c r="BU394" s="1"/>
      <c r="BV394" s="1"/>
      <c r="BW394" s="1"/>
      <c r="BX394" s="656"/>
      <c r="BZ394" s="657"/>
      <c r="CA394" s="1"/>
      <c r="CB394" s="1"/>
      <c r="CC394" s="1"/>
      <c r="CD394" s="1"/>
      <c r="CE394" s="1"/>
      <c r="CF394" s="1"/>
      <c r="CG394" s="1"/>
      <c r="CH394" s="1"/>
      <c r="CP394" s="305"/>
      <c r="CR394" s="116"/>
      <c r="CZ394" s="1"/>
      <c r="DA394" s="1"/>
      <c r="DB394" s="1"/>
      <c r="DC394" s="1"/>
      <c r="DD394" s="1"/>
      <c r="DE394" s="1"/>
      <c r="DF394" s="1"/>
      <c r="DG394" s="1"/>
      <c r="DH394" s="656"/>
      <c r="DJ394" s="116"/>
    </row>
    <row r="395" spans="2:114" ht="15.75" customHeight="1" x14ac:dyDescent="0.25">
      <c r="B395" s="116"/>
      <c r="I395" s="656"/>
      <c r="K395" s="116"/>
      <c r="X395" s="1"/>
      <c r="Y395" s="1"/>
      <c r="Z395" s="1"/>
      <c r="AA395" s="1"/>
      <c r="AB395" s="656"/>
      <c r="AC395" s="1"/>
      <c r="AD395" s="116"/>
      <c r="AL395" s="656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43"/>
      <c r="BL395" s="116"/>
      <c r="BU395" s="1"/>
      <c r="BV395" s="1"/>
      <c r="BW395" s="1"/>
      <c r="BX395" s="656"/>
      <c r="BZ395" s="657"/>
      <c r="CA395" s="1"/>
      <c r="CB395" s="1"/>
      <c r="CC395" s="1"/>
      <c r="CD395" s="1"/>
      <c r="CE395" s="1"/>
      <c r="CF395" s="1"/>
      <c r="CG395" s="1"/>
      <c r="CH395" s="1"/>
      <c r="CP395" s="305"/>
      <c r="CR395" s="116"/>
      <c r="CZ395" s="1"/>
      <c r="DA395" s="1"/>
      <c r="DB395" s="1"/>
      <c r="DC395" s="1"/>
      <c r="DD395" s="1"/>
      <c r="DE395" s="1"/>
      <c r="DF395" s="1"/>
      <c r="DG395" s="1"/>
      <c r="DH395" s="656"/>
      <c r="DJ395" s="116"/>
    </row>
    <row r="396" spans="2:114" ht="15.75" customHeight="1" x14ac:dyDescent="0.25">
      <c r="B396" s="116"/>
      <c r="I396" s="656"/>
      <c r="K396" s="116"/>
      <c r="X396" s="1"/>
      <c r="Y396" s="1"/>
      <c r="Z396" s="1"/>
      <c r="AA396" s="1"/>
      <c r="AB396" s="656"/>
      <c r="AC396" s="1"/>
      <c r="AD396" s="116"/>
      <c r="AL396" s="656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43"/>
      <c r="BL396" s="116"/>
      <c r="BU396" s="1"/>
      <c r="BV396" s="1"/>
      <c r="BW396" s="1"/>
      <c r="BX396" s="656"/>
      <c r="BZ396" s="657"/>
      <c r="CA396" s="1"/>
      <c r="CB396" s="1"/>
      <c r="CC396" s="1"/>
      <c r="CD396" s="1"/>
      <c r="CE396" s="1"/>
      <c r="CF396" s="1"/>
      <c r="CG396" s="1"/>
      <c r="CH396" s="1"/>
      <c r="CP396" s="305"/>
      <c r="CR396" s="116"/>
      <c r="CZ396" s="1"/>
      <c r="DA396" s="1"/>
      <c r="DB396" s="1"/>
      <c r="DC396" s="1"/>
      <c r="DD396" s="1"/>
      <c r="DE396" s="1"/>
      <c r="DF396" s="1"/>
      <c r="DG396" s="1"/>
      <c r="DH396" s="656"/>
      <c r="DJ396" s="116"/>
    </row>
    <row r="397" spans="2:114" ht="15.75" customHeight="1" x14ac:dyDescent="0.25">
      <c r="B397" s="116"/>
      <c r="I397" s="656"/>
      <c r="K397" s="116"/>
      <c r="X397" s="1"/>
      <c r="Y397" s="1"/>
      <c r="Z397" s="1"/>
      <c r="AA397" s="1"/>
      <c r="AB397" s="656"/>
      <c r="AC397" s="1"/>
      <c r="AD397" s="116"/>
      <c r="AL397" s="656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43"/>
      <c r="BL397" s="116"/>
      <c r="BU397" s="1"/>
      <c r="BV397" s="1"/>
      <c r="BW397" s="1"/>
      <c r="BX397" s="656"/>
      <c r="BZ397" s="657"/>
      <c r="CA397" s="1"/>
      <c r="CB397" s="1"/>
      <c r="CC397" s="1"/>
      <c r="CD397" s="1"/>
      <c r="CE397" s="1"/>
      <c r="CF397" s="1"/>
      <c r="CG397" s="1"/>
      <c r="CH397" s="1"/>
      <c r="CP397" s="305"/>
      <c r="CR397" s="116"/>
      <c r="CZ397" s="1"/>
      <c r="DA397" s="1"/>
      <c r="DB397" s="1"/>
      <c r="DC397" s="1"/>
      <c r="DD397" s="1"/>
      <c r="DE397" s="1"/>
      <c r="DF397" s="1"/>
      <c r="DG397" s="1"/>
      <c r="DH397" s="656"/>
      <c r="DJ397" s="116"/>
    </row>
    <row r="398" spans="2:114" ht="15.75" customHeight="1" x14ac:dyDescent="0.25">
      <c r="B398" s="116"/>
      <c r="I398" s="656"/>
      <c r="K398" s="116"/>
      <c r="X398" s="1"/>
      <c r="Y398" s="1"/>
      <c r="Z398" s="1"/>
      <c r="AA398" s="1"/>
      <c r="AB398" s="656"/>
      <c r="AC398" s="1"/>
      <c r="AD398" s="116"/>
      <c r="AL398" s="656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43"/>
      <c r="BL398" s="116"/>
      <c r="BU398" s="1"/>
      <c r="BV398" s="1"/>
      <c r="BW398" s="1"/>
      <c r="BX398" s="656"/>
      <c r="BZ398" s="657"/>
      <c r="CA398" s="1"/>
      <c r="CB398" s="1"/>
      <c r="CC398" s="1"/>
      <c r="CD398" s="1"/>
      <c r="CE398" s="1"/>
      <c r="CF398" s="1"/>
      <c r="CG398" s="1"/>
      <c r="CH398" s="1"/>
      <c r="CP398" s="305"/>
      <c r="CR398" s="116"/>
      <c r="CZ398" s="1"/>
      <c r="DA398" s="1"/>
      <c r="DB398" s="1"/>
      <c r="DC398" s="1"/>
      <c r="DD398" s="1"/>
      <c r="DE398" s="1"/>
      <c r="DF398" s="1"/>
      <c r="DG398" s="1"/>
      <c r="DH398" s="656"/>
      <c r="DJ398" s="116"/>
    </row>
    <row r="399" spans="2:114" ht="15.75" customHeight="1" x14ac:dyDescent="0.25">
      <c r="B399" s="116"/>
      <c r="I399" s="656"/>
      <c r="K399" s="116"/>
      <c r="X399" s="1"/>
      <c r="Y399" s="1"/>
      <c r="Z399" s="1"/>
      <c r="AA399" s="1"/>
      <c r="AB399" s="656"/>
      <c r="AC399" s="1"/>
      <c r="AD399" s="116"/>
      <c r="AL399" s="656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43"/>
      <c r="BL399" s="116"/>
      <c r="BU399" s="1"/>
      <c r="BV399" s="1"/>
      <c r="BW399" s="1"/>
      <c r="BX399" s="656"/>
      <c r="BZ399" s="657"/>
      <c r="CA399" s="1"/>
      <c r="CB399" s="1"/>
      <c r="CC399" s="1"/>
      <c r="CD399" s="1"/>
      <c r="CE399" s="1"/>
      <c r="CF399" s="1"/>
      <c r="CG399" s="1"/>
      <c r="CH399" s="1"/>
      <c r="CP399" s="305"/>
      <c r="CR399" s="116"/>
      <c r="CZ399" s="1"/>
      <c r="DA399" s="1"/>
      <c r="DB399" s="1"/>
      <c r="DC399" s="1"/>
      <c r="DD399" s="1"/>
      <c r="DE399" s="1"/>
      <c r="DF399" s="1"/>
      <c r="DG399" s="1"/>
      <c r="DH399" s="656"/>
      <c r="DJ399" s="116"/>
    </row>
    <row r="400" spans="2:114" ht="15.75" customHeight="1" x14ac:dyDescent="0.25">
      <c r="B400" s="116"/>
      <c r="I400" s="656"/>
      <c r="K400" s="116"/>
      <c r="X400" s="1"/>
      <c r="Y400" s="1"/>
      <c r="Z400" s="1"/>
      <c r="AA400" s="1"/>
      <c r="AB400" s="656"/>
      <c r="AC400" s="1"/>
      <c r="AD400" s="116"/>
      <c r="AL400" s="656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43"/>
      <c r="BL400" s="116"/>
      <c r="BU400" s="1"/>
      <c r="BV400" s="1"/>
      <c r="BW400" s="1"/>
      <c r="BX400" s="656"/>
      <c r="BZ400" s="657"/>
      <c r="CA400" s="1"/>
      <c r="CB400" s="1"/>
      <c r="CC400" s="1"/>
      <c r="CD400" s="1"/>
      <c r="CE400" s="1"/>
      <c r="CF400" s="1"/>
      <c r="CG400" s="1"/>
      <c r="CH400" s="1"/>
      <c r="CP400" s="305"/>
      <c r="CR400" s="116"/>
      <c r="CZ400" s="1"/>
      <c r="DA400" s="1"/>
      <c r="DB400" s="1"/>
      <c r="DC400" s="1"/>
      <c r="DD400" s="1"/>
      <c r="DE400" s="1"/>
      <c r="DF400" s="1"/>
      <c r="DG400" s="1"/>
      <c r="DH400" s="656"/>
      <c r="DJ400" s="116"/>
    </row>
    <row r="401" spans="2:114" ht="15.75" customHeight="1" x14ac:dyDescent="0.25">
      <c r="B401" s="116"/>
      <c r="I401" s="656"/>
      <c r="K401" s="116"/>
      <c r="X401" s="1"/>
      <c r="Y401" s="1"/>
      <c r="Z401" s="1"/>
      <c r="AA401" s="1"/>
      <c r="AB401" s="656"/>
      <c r="AC401" s="1"/>
      <c r="AD401" s="116"/>
      <c r="AL401" s="656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43"/>
      <c r="BL401" s="116"/>
      <c r="BU401" s="1"/>
      <c r="BV401" s="1"/>
      <c r="BW401" s="1"/>
      <c r="BX401" s="656"/>
      <c r="BZ401" s="657"/>
      <c r="CA401" s="1"/>
      <c r="CB401" s="1"/>
      <c r="CC401" s="1"/>
      <c r="CD401" s="1"/>
      <c r="CE401" s="1"/>
      <c r="CF401" s="1"/>
      <c r="CG401" s="1"/>
      <c r="CH401" s="1"/>
      <c r="CP401" s="305"/>
      <c r="CR401" s="116"/>
      <c r="CZ401" s="1"/>
      <c r="DA401" s="1"/>
      <c r="DB401" s="1"/>
      <c r="DC401" s="1"/>
      <c r="DD401" s="1"/>
      <c r="DE401" s="1"/>
      <c r="DF401" s="1"/>
      <c r="DG401" s="1"/>
      <c r="DH401" s="656"/>
      <c r="DJ401" s="116"/>
    </row>
    <row r="402" spans="2:114" ht="15.75" customHeight="1" x14ac:dyDescent="0.25">
      <c r="B402" s="116"/>
      <c r="I402" s="656"/>
      <c r="K402" s="116"/>
      <c r="X402" s="1"/>
      <c r="Y402" s="1"/>
      <c r="Z402" s="1"/>
      <c r="AA402" s="1"/>
      <c r="AB402" s="656"/>
      <c r="AC402" s="1"/>
      <c r="AD402" s="116"/>
      <c r="AL402" s="656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43"/>
      <c r="BL402" s="116"/>
      <c r="BU402" s="1"/>
      <c r="BV402" s="1"/>
      <c r="BW402" s="1"/>
      <c r="BX402" s="656"/>
      <c r="BZ402" s="657"/>
      <c r="CA402" s="1"/>
      <c r="CB402" s="1"/>
      <c r="CC402" s="1"/>
      <c r="CD402" s="1"/>
      <c r="CE402" s="1"/>
      <c r="CF402" s="1"/>
      <c r="CG402" s="1"/>
      <c r="CH402" s="1"/>
      <c r="CP402" s="305"/>
      <c r="CR402" s="116"/>
      <c r="CZ402" s="1"/>
      <c r="DA402" s="1"/>
      <c r="DB402" s="1"/>
      <c r="DC402" s="1"/>
      <c r="DD402" s="1"/>
      <c r="DE402" s="1"/>
      <c r="DF402" s="1"/>
      <c r="DG402" s="1"/>
      <c r="DH402" s="656"/>
      <c r="DJ402" s="116"/>
    </row>
    <row r="403" spans="2:114" ht="15.75" customHeight="1" x14ac:dyDescent="0.25">
      <c r="B403" s="116"/>
      <c r="I403" s="656"/>
      <c r="K403" s="116"/>
      <c r="X403" s="1"/>
      <c r="Y403" s="1"/>
      <c r="Z403" s="1"/>
      <c r="AA403" s="1"/>
      <c r="AB403" s="656"/>
      <c r="AC403" s="1"/>
      <c r="AD403" s="116"/>
      <c r="AL403" s="656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43"/>
      <c r="BL403" s="116"/>
      <c r="BU403" s="1"/>
      <c r="BV403" s="1"/>
      <c r="BW403" s="1"/>
      <c r="BX403" s="656"/>
      <c r="BZ403" s="657"/>
      <c r="CA403" s="1"/>
      <c r="CB403" s="1"/>
      <c r="CC403" s="1"/>
      <c r="CD403" s="1"/>
      <c r="CE403" s="1"/>
      <c r="CF403" s="1"/>
      <c r="CG403" s="1"/>
      <c r="CH403" s="1"/>
      <c r="CP403" s="305"/>
      <c r="CR403" s="116"/>
      <c r="CZ403" s="1"/>
      <c r="DA403" s="1"/>
      <c r="DB403" s="1"/>
      <c r="DC403" s="1"/>
      <c r="DD403" s="1"/>
      <c r="DE403" s="1"/>
      <c r="DF403" s="1"/>
      <c r="DG403" s="1"/>
      <c r="DH403" s="656"/>
      <c r="DJ403" s="116"/>
    </row>
    <row r="404" spans="2:114" ht="15.75" customHeight="1" x14ac:dyDescent="0.25">
      <c r="B404" s="116"/>
      <c r="I404" s="656"/>
      <c r="K404" s="116"/>
      <c r="X404" s="1"/>
      <c r="Y404" s="1"/>
      <c r="Z404" s="1"/>
      <c r="AA404" s="1"/>
      <c r="AB404" s="656"/>
      <c r="AC404" s="1"/>
      <c r="AD404" s="116"/>
      <c r="AL404" s="656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43"/>
      <c r="BL404" s="116"/>
      <c r="BU404" s="1"/>
      <c r="BV404" s="1"/>
      <c r="BW404" s="1"/>
      <c r="BX404" s="656"/>
      <c r="BZ404" s="657"/>
      <c r="CA404" s="1"/>
      <c r="CB404" s="1"/>
      <c r="CC404" s="1"/>
      <c r="CD404" s="1"/>
      <c r="CE404" s="1"/>
      <c r="CF404" s="1"/>
      <c r="CG404" s="1"/>
      <c r="CH404" s="1"/>
      <c r="CP404" s="305"/>
      <c r="CR404" s="116"/>
      <c r="CZ404" s="1"/>
      <c r="DA404" s="1"/>
      <c r="DB404" s="1"/>
      <c r="DC404" s="1"/>
      <c r="DD404" s="1"/>
      <c r="DE404" s="1"/>
      <c r="DF404" s="1"/>
      <c r="DG404" s="1"/>
      <c r="DH404" s="656"/>
      <c r="DJ404" s="116"/>
    </row>
    <row r="405" spans="2:114" ht="15.75" customHeight="1" x14ac:dyDescent="0.25">
      <c r="B405" s="116"/>
      <c r="I405" s="656"/>
      <c r="K405" s="116"/>
      <c r="X405" s="1"/>
      <c r="Y405" s="1"/>
      <c r="Z405" s="1"/>
      <c r="AA405" s="1"/>
      <c r="AB405" s="656"/>
      <c r="AC405" s="1"/>
      <c r="AD405" s="116"/>
      <c r="AL405" s="656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43"/>
      <c r="BL405" s="116"/>
      <c r="BU405" s="1"/>
      <c r="BV405" s="1"/>
      <c r="BW405" s="1"/>
      <c r="BX405" s="656"/>
      <c r="BZ405" s="657"/>
      <c r="CA405" s="1"/>
      <c r="CB405" s="1"/>
      <c r="CC405" s="1"/>
      <c r="CD405" s="1"/>
      <c r="CE405" s="1"/>
      <c r="CF405" s="1"/>
      <c r="CG405" s="1"/>
      <c r="CH405" s="1"/>
      <c r="CP405" s="305"/>
      <c r="CR405" s="116"/>
      <c r="CZ405" s="1"/>
      <c r="DA405" s="1"/>
      <c r="DB405" s="1"/>
      <c r="DC405" s="1"/>
      <c r="DD405" s="1"/>
      <c r="DE405" s="1"/>
      <c r="DF405" s="1"/>
      <c r="DG405" s="1"/>
      <c r="DH405" s="656"/>
      <c r="DJ405" s="116"/>
    </row>
    <row r="406" spans="2:114" ht="15.75" customHeight="1" x14ac:dyDescent="0.25">
      <c r="B406" s="116"/>
      <c r="I406" s="656"/>
      <c r="K406" s="116"/>
      <c r="X406" s="1"/>
      <c r="Y406" s="1"/>
      <c r="Z406" s="1"/>
      <c r="AA406" s="1"/>
      <c r="AB406" s="656"/>
      <c r="AC406" s="1"/>
      <c r="AD406" s="116"/>
      <c r="AL406" s="656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43"/>
      <c r="BL406" s="116"/>
      <c r="BU406" s="1"/>
      <c r="BV406" s="1"/>
      <c r="BW406" s="1"/>
      <c r="BX406" s="656"/>
      <c r="BZ406" s="657"/>
      <c r="CA406" s="1"/>
      <c r="CB406" s="1"/>
      <c r="CC406" s="1"/>
      <c r="CD406" s="1"/>
      <c r="CE406" s="1"/>
      <c r="CF406" s="1"/>
      <c r="CG406" s="1"/>
      <c r="CH406" s="1"/>
      <c r="CP406" s="305"/>
      <c r="CR406" s="116"/>
      <c r="CZ406" s="1"/>
      <c r="DA406" s="1"/>
      <c r="DB406" s="1"/>
      <c r="DC406" s="1"/>
      <c r="DD406" s="1"/>
      <c r="DE406" s="1"/>
      <c r="DF406" s="1"/>
      <c r="DG406" s="1"/>
      <c r="DH406" s="656"/>
      <c r="DJ406" s="116"/>
    </row>
    <row r="407" spans="2:114" ht="15.75" customHeight="1" x14ac:dyDescent="0.25">
      <c r="B407" s="116"/>
      <c r="I407" s="656"/>
      <c r="K407" s="116"/>
      <c r="X407" s="1"/>
      <c r="Y407" s="1"/>
      <c r="Z407" s="1"/>
      <c r="AA407" s="1"/>
      <c r="AB407" s="656"/>
      <c r="AC407" s="1"/>
      <c r="AD407" s="116"/>
      <c r="AL407" s="656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43"/>
      <c r="BL407" s="116"/>
      <c r="BU407" s="1"/>
      <c r="BV407" s="1"/>
      <c r="BW407" s="1"/>
      <c r="BX407" s="656"/>
      <c r="BZ407" s="657"/>
      <c r="CA407" s="1"/>
      <c r="CB407" s="1"/>
      <c r="CC407" s="1"/>
      <c r="CD407" s="1"/>
      <c r="CE407" s="1"/>
      <c r="CF407" s="1"/>
      <c r="CG407" s="1"/>
      <c r="CH407" s="1"/>
      <c r="CP407" s="305"/>
      <c r="CR407" s="116"/>
      <c r="CZ407" s="1"/>
      <c r="DA407" s="1"/>
      <c r="DB407" s="1"/>
      <c r="DC407" s="1"/>
      <c r="DD407" s="1"/>
      <c r="DE407" s="1"/>
      <c r="DF407" s="1"/>
      <c r="DG407" s="1"/>
      <c r="DH407" s="656"/>
      <c r="DJ407" s="116"/>
    </row>
    <row r="408" spans="2:114" ht="15.75" customHeight="1" x14ac:dyDescent="0.25">
      <c r="B408" s="116"/>
      <c r="I408" s="656"/>
      <c r="K408" s="116"/>
      <c r="X408" s="1"/>
      <c r="Y408" s="1"/>
      <c r="Z408" s="1"/>
      <c r="AA408" s="1"/>
      <c r="AB408" s="656"/>
      <c r="AC408" s="1"/>
      <c r="AD408" s="116"/>
      <c r="AL408" s="656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43"/>
      <c r="BL408" s="116"/>
      <c r="BU408" s="1"/>
      <c r="BV408" s="1"/>
      <c r="BW408" s="1"/>
      <c r="BX408" s="656"/>
      <c r="BZ408" s="657"/>
      <c r="CA408" s="1"/>
      <c r="CB408" s="1"/>
      <c r="CC408" s="1"/>
      <c r="CD408" s="1"/>
      <c r="CE408" s="1"/>
      <c r="CF408" s="1"/>
      <c r="CG408" s="1"/>
      <c r="CH408" s="1"/>
      <c r="CP408" s="305"/>
      <c r="CR408" s="116"/>
      <c r="CZ408" s="1"/>
      <c r="DA408" s="1"/>
      <c r="DB408" s="1"/>
      <c r="DC408" s="1"/>
      <c r="DD408" s="1"/>
      <c r="DE408" s="1"/>
      <c r="DF408" s="1"/>
      <c r="DG408" s="1"/>
      <c r="DH408" s="656"/>
      <c r="DJ408" s="116"/>
    </row>
    <row r="409" spans="2:114" ht="15.75" customHeight="1" x14ac:dyDescent="0.25">
      <c r="B409" s="116"/>
      <c r="I409" s="656"/>
      <c r="K409" s="116"/>
      <c r="X409" s="1"/>
      <c r="Y409" s="1"/>
      <c r="Z409" s="1"/>
      <c r="AA409" s="1"/>
      <c r="AB409" s="656"/>
      <c r="AC409" s="1"/>
      <c r="AD409" s="116"/>
      <c r="AL409" s="656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43"/>
      <c r="BL409" s="116"/>
      <c r="BU409" s="1"/>
      <c r="BV409" s="1"/>
      <c r="BW409" s="1"/>
      <c r="BX409" s="656"/>
      <c r="BZ409" s="657"/>
      <c r="CA409" s="1"/>
      <c r="CB409" s="1"/>
      <c r="CC409" s="1"/>
      <c r="CD409" s="1"/>
      <c r="CE409" s="1"/>
      <c r="CF409" s="1"/>
      <c r="CG409" s="1"/>
      <c r="CH409" s="1"/>
      <c r="CP409" s="305"/>
      <c r="CR409" s="116"/>
      <c r="CZ409" s="1"/>
      <c r="DA409" s="1"/>
      <c r="DB409" s="1"/>
      <c r="DC409" s="1"/>
      <c r="DD409" s="1"/>
      <c r="DE409" s="1"/>
      <c r="DF409" s="1"/>
      <c r="DG409" s="1"/>
      <c r="DH409" s="656"/>
      <c r="DJ409" s="116"/>
    </row>
    <row r="410" spans="2:114" ht="15.75" customHeight="1" x14ac:dyDescent="0.25">
      <c r="B410" s="116"/>
      <c r="I410" s="656"/>
      <c r="K410" s="116"/>
      <c r="X410" s="1"/>
      <c r="Y410" s="1"/>
      <c r="Z410" s="1"/>
      <c r="AA410" s="1"/>
      <c r="AB410" s="656"/>
      <c r="AC410" s="1"/>
      <c r="AD410" s="116"/>
      <c r="AL410" s="656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43"/>
      <c r="BL410" s="116"/>
      <c r="BU410" s="1"/>
      <c r="BV410" s="1"/>
      <c r="BW410" s="1"/>
      <c r="BX410" s="656"/>
      <c r="BZ410" s="657"/>
      <c r="CA410" s="1"/>
      <c r="CB410" s="1"/>
      <c r="CC410" s="1"/>
      <c r="CD410" s="1"/>
      <c r="CE410" s="1"/>
      <c r="CF410" s="1"/>
      <c r="CG410" s="1"/>
      <c r="CH410" s="1"/>
      <c r="CP410" s="305"/>
      <c r="CR410" s="116"/>
      <c r="CZ410" s="1"/>
      <c r="DA410" s="1"/>
      <c r="DB410" s="1"/>
      <c r="DC410" s="1"/>
      <c r="DD410" s="1"/>
      <c r="DE410" s="1"/>
      <c r="DF410" s="1"/>
      <c r="DG410" s="1"/>
      <c r="DH410" s="656"/>
      <c r="DJ410" s="116"/>
    </row>
    <row r="411" spans="2:114" ht="15.75" customHeight="1" x14ac:dyDescent="0.25">
      <c r="B411" s="116"/>
      <c r="I411" s="656"/>
      <c r="K411" s="116"/>
      <c r="X411" s="1"/>
      <c r="Y411" s="1"/>
      <c r="Z411" s="1"/>
      <c r="AA411" s="1"/>
      <c r="AB411" s="656"/>
      <c r="AC411" s="1"/>
      <c r="AD411" s="116"/>
      <c r="AL411" s="656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43"/>
      <c r="BL411" s="116"/>
      <c r="BU411" s="1"/>
      <c r="BV411" s="1"/>
      <c r="BW411" s="1"/>
      <c r="BX411" s="656"/>
      <c r="BZ411" s="657"/>
      <c r="CA411" s="1"/>
      <c r="CB411" s="1"/>
      <c r="CC411" s="1"/>
      <c r="CD411" s="1"/>
      <c r="CE411" s="1"/>
      <c r="CF411" s="1"/>
      <c r="CG411" s="1"/>
      <c r="CH411" s="1"/>
      <c r="CP411" s="305"/>
      <c r="CR411" s="116"/>
      <c r="CZ411" s="1"/>
      <c r="DA411" s="1"/>
      <c r="DB411" s="1"/>
      <c r="DC411" s="1"/>
      <c r="DD411" s="1"/>
      <c r="DE411" s="1"/>
      <c r="DF411" s="1"/>
      <c r="DG411" s="1"/>
      <c r="DH411" s="656"/>
      <c r="DJ411" s="116"/>
    </row>
    <row r="412" spans="2:114" ht="15.75" customHeight="1" x14ac:dyDescent="0.25">
      <c r="B412" s="116"/>
      <c r="I412" s="656"/>
      <c r="K412" s="116"/>
      <c r="X412" s="1"/>
      <c r="Y412" s="1"/>
      <c r="Z412" s="1"/>
      <c r="AA412" s="1"/>
      <c r="AB412" s="656"/>
      <c r="AC412" s="1"/>
      <c r="AD412" s="116"/>
      <c r="AL412" s="656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43"/>
      <c r="BL412" s="116"/>
      <c r="BU412" s="1"/>
      <c r="BV412" s="1"/>
      <c r="BW412" s="1"/>
      <c r="BX412" s="656"/>
      <c r="BZ412" s="657"/>
      <c r="CA412" s="1"/>
      <c r="CB412" s="1"/>
      <c r="CC412" s="1"/>
      <c r="CD412" s="1"/>
      <c r="CE412" s="1"/>
      <c r="CF412" s="1"/>
      <c r="CG412" s="1"/>
      <c r="CH412" s="1"/>
      <c r="CP412" s="305"/>
      <c r="CR412" s="116"/>
      <c r="CZ412" s="1"/>
      <c r="DA412" s="1"/>
      <c r="DB412" s="1"/>
      <c r="DC412" s="1"/>
      <c r="DD412" s="1"/>
      <c r="DE412" s="1"/>
      <c r="DF412" s="1"/>
      <c r="DG412" s="1"/>
      <c r="DH412" s="656"/>
      <c r="DJ412" s="116"/>
    </row>
    <row r="413" spans="2:114" ht="15.75" customHeight="1" x14ac:dyDescent="0.25">
      <c r="B413" s="116"/>
      <c r="I413" s="656"/>
      <c r="K413" s="116"/>
      <c r="X413" s="1"/>
      <c r="Y413" s="1"/>
      <c r="Z413" s="1"/>
      <c r="AA413" s="1"/>
      <c r="AB413" s="656"/>
      <c r="AC413" s="1"/>
      <c r="AD413" s="116"/>
      <c r="AL413" s="656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43"/>
      <c r="BL413" s="116"/>
      <c r="BU413" s="1"/>
      <c r="BV413" s="1"/>
      <c r="BW413" s="1"/>
      <c r="BX413" s="656"/>
      <c r="BZ413" s="657"/>
      <c r="CA413" s="1"/>
      <c r="CB413" s="1"/>
      <c r="CC413" s="1"/>
      <c r="CD413" s="1"/>
      <c r="CE413" s="1"/>
      <c r="CF413" s="1"/>
      <c r="CG413" s="1"/>
      <c r="CH413" s="1"/>
      <c r="CP413" s="305"/>
      <c r="CR413" s="116"/>
      <c r="CZ413" s="1"/>
      <c r="DA413" s="1"/>
      <c r="DB413" s="1"/>
      <c r="DC413" s="1"/>
      <c r="DD413" s="1"/>
      <c r="DE413" s="1"/>
      <c r="DF413" s="1"/>
      <c r="DG413" s="1"/>
      <c r="DH413" s="656"/>
      <c r="DJ413" s="116"/>
    </row>
    <row r="414" spans="2:114" ht="15.75" customHeight="1" x14ac:dyDescent="0.25">
      <c r="B414" s="116"/>
      <c r="I414" s="656"/>
      <c r="K414" s="116"/>
      <c r="X414" s="1"/>
      <c r="Y414" s="1"/>
      <c r="Z414" s="1"/>
      <c r="AA414" s="1"/>
      <c r="AB414" s="656"/>
      <c r="AC414" s="1"/>
      <c r="AD414" s="116"/>
      <c r="AL414" s="656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43"/>
      <c r="BL414" s="116"/>
      <c r="BU414" s="1"/>
      <c r="BV414" s="1"/>
      <c r="BW414" s="1"/>
      <c r="BX414" s="656"/>
      <c r="BZ414" s="657"/>
      <c r="CA414" s="1"/>
      <c r="CB414" s="1"/>
      <c r="CC414" s="1"/>
      <c r="CD414" s="1"/>
      <c r="CE414" s="1"/>
      <c r="CF414" s="1"/>
      <c r="CG414" s="1"/>
      <c r="CH414" s="1"/>
      <c r="CP414" s="305"/>
      <c r="CR414" s="116"/>
      <c r="CZ414" s="1"/>
      <c r="DA414" s="1"/>
      <c r="DB414" s="1"/>
      <c r="DC414" s="1"/>
      <c r="DD414" s="1"/>
      <c r="DE414" s="1"/>
      <c r="DF414" s="1"/>
      <c r="DG414" s="1"/>
      <c r="DH414" s="656"/>
      <c r="DJ414" s="116"/>
    </row>
    <row r="415" spans="2:114" ht="15.75" customHeight="1" x14ac:dyDescent="0.25">
      <c r="B415" s="116"/>
      <c r="I415" s="656"/>
      <c r="K415" s="116"/>
      <c r="X415" s="1"/>
      <c r="Y415" s="1"/>
      <c r="Z415" s="1"/>
      <c r="AA415" s="1"/>
      <c r="AB415" s="656"/>
      <c r="AC415" s="1"/>
      <c r="AD415" s="116"/>
      <c r="AL415" s="656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43"/>
      <c r="BL415" s="116"/>
      <c r="BU415" s="1"/>
      <c r="BV415" s="1"/>
      <c r="BW415" s="1"/>
      <c r="BX415" s="656"/>
      <c r="BZ415" s="657"/>
      <c r="CA415" s="1"/>
      <c r="CB415" s="1"/>
      <c r="CC415" s="1"/>
      <c r="CD415" s="1"/>
      <c r="CE415" s="1"/>
      <c r="CF415" s="1"/>
      <c r="CG415" s="1"/>
      <c r="CH415" s="1"/>
      <c r="CP415" s="305"/>
      <c r="CR415" s="116"/>
      <c r="CZ415" s="1"/>
      <c r="DA415" s="1"/>
      <c r="DB415" s="1"/>
      <c r="DC415" s="1"/>
      <c r="DD415" s="1"/>
      <c r="DE415" s="1"/>
      <c r="DF415" s="1"/>
      <c r="DG415" s="1"/>
      <c r="DH415" s="656"/>
      <c r="DJ415" s="116"/>
    </row>
    <row r="416" spans="2:114" ht="15.75" customHeight="1" x14ac:dyDescent="0.25">
      <c r="B416" s="116"/>
      <c r="I416" s="656"/>
      <c r="K416" s="116"/>
      <c r="X416" s="1"/>
      <c r="Y416" s="1"/>
      <c r="Z416" s="1"/>
      <c r="AA416" s="1"/>
      <c r="AB416" s="656"/>
      <c r="AC416" s="1"/>
      <c r="AD416" s="116"/>
      <c r="AL416" s="656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43"/>
      <c r="BL416" s="116"/>
      <c r="BU416" s="1"/>
      <c r="BV416" s="1"/>
      <c r="BW416" s="1"/>
      <c r="BX416" s="656"/>
      <c r="BZ416" s="657"/>
      <c r="CA416" s="1"/>
      <c r="CB416" s="1"/>
      <c r="CC416" s="1"/>
      <c r="CD416" s="1"/>
      <c r="CE416" s="1"/>
      <c r="CF416" s="1"/>
      <c r="CG416" s="1"/>
      <c r="CH416" s="1"/>
      <c r="CP416" s="305"/>
      <c r="CR416" s="116"/>
      <c r="CZ416" s="1"/>
      <c r="DA416" s="1"/>
      <c r="DB416" s="1"/>
      <c r="DC416" s="1"/>
      <c r="DD416" s="1"/>
      <c r="DE416" s="1"/>
      <c r="DF416" s="1"/>
      <c r="DG416" s="1"/>
      <c r="DH416" s="656"/>
      <c r="DJ416" s="116"/>
    </row>
    <row r="417" spans="2:114" ht="15.75" customHeight="1" x14ac:dyDescent="0.25">
      <c r="B417" s="116"/>
      <c r="I417" s="656"/>
      <c r="K417" s="116"/>
      <c r="X417" s="1"/>
      <c r="Y417" s="1"/>
      <c r="Z417" s="1"/>
      <c r="AA417" s="1"/>
      <c r="AB417" s="656"/>
      <c r="AC417" s="1"/>
      <c r="AD417" s="116"/>
      <c r="AL417" s="656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43"/>
      <c r="BL417" s="116"/>
      <c r="BU417" s="1"/>
      <c r="BV417" s="1"/>
      <c r="BW417" s="1"/>
      <c r="BX417" s="656"/>
      <c r="BZ417" s="657"/>
      <c r="CA417" s="1"/>
      <c r="CB417" s="1"/>
      <c r="CC417" s="1"/>
      <c r="CD417" s="1"/>
      <c r="CE417" s="1"/>
      <c r="CF417" s="1"/>
      <c r="CG417" s="1"/>
      <c r="CH417" s="1"/>
      <c r="CP417" s="305"/>
      <c r="CR417" s="116"/>
      <c r="CZ417" s="1"/>
      <c r="DA417" s="1"/>
      <c r="DB417" s="1"/>
      <c r="DC417" s="1"/>
      <c r="DD417" s="1"/>
      <c r="DE417" s="1"/>
      <c r="DF417" s="1"/>
      <c r="DG417" s="1"/>
      <c r="DH417" s="656"/>
      <c r="DJ417" s="116"/>
    </row>
    <row r="418" spans="2:114" ht="15.75" customHeight="1" x14ac:dyDescent="0.25">
      <c r="B418" s="116"/>
      <c r="I418" s="656"/>
      <c r="K418" s="116"/>
      <c r="X418" s="1"/>
      <c r="Y418" s="1"/>
      <c r="Z418" s="1"/>
      <c r="AA418" s="1"/>
      <c r="AB418" s="656"/>
      <c r="AC418" s="1"/>
      <c r="AD418" s="116"/>
      <c r="AL418" s="656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43"/>
      <c r="BL418" s="116"/>
      <c r="BU418" s="1"/>
      <c r="BV418" s="1"/>
      <c r="BW418" s="1"/>
      <c r="BX418" s="656"/>
      <c r="BZ418" s="657"/>
      <c r="CA418" s="1"/>
      <c r="CB418" s="1"/>
      <c r="CC418" s="1"/>
      <c r="CD418" s="1"/>
      <c r="CE418" s="1"/>
      <c r="CF418" s="1"/>
      <c r="CG418" s="1"/>
      <c r="CH418" s="1"/>
      <c r="CP418" s="305"/>
      <c r="CR418" s="116"/>
      <c r="CZ418" s="1"/>
      <c r="DA418" s="1"/>
      <c r="DB418" s="1"/>
      <c r="DC418" s="1"/>
      <c r="DD418" s="1"/>
      <c r="DE418" s="1"/>
      <c r="DF418" s="1"/>
      <c r="DG418" s="1"/>
      <c r="DH418" s="656"/>
      <c r="DJ418" s="116"/>
    </row>
    <row r="419" spans="2:114" ht="15.75" customHeight="1" x14ac:dyDescent="0.25">
      <c r="B419" s="116"/>
      <c r="I419" s="656"/>
      <c r="K419" s="116"/>
      <c r="X419" s="1"/>
      <c r="Y419" s="1"/>
      <c r="Z419" s="1"/>
      <c r="AA419" s="1"/>
      <c r="AB419" s="656"/>
      <c r="AC419" s="1"/>
      <c r="AD419" s="116"/>
      <c r="AL419" s="656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43"/>
      <c r="BL419" s="116"/>
      <c r="BU419" s="1"/>
      <c r="BV419" s="1"/>
      <c r="BW419" s="1"/>
      <c r="BX419" s="656"/>
      <c r="BZ419" s="657"/>
      <c r="CA419" s="1"/>
      <c r="CB419" s="1"/>
      <c r="CC419" s="1"/>
      <c r="CD419" s="1"/>
      <c r="CE419" s="1"/>
      <c r="CF419" s="1"/>
      <c r="CG419" s="1"/>
      <c r="CH419" s="1"/>
      <c r="CP419" s="305"/>
      <c r="CR419" s="116"/>
      <c r="CZ419" s="1"/>
      <c r="DA419" s="1"/>
      <c r="DB419" s="1"/>
      <c r="DC419" s="1"/>
      <c r="DD419" s="1"/>
      <c r="DE419" s="1"/>
      <c r="DF419" s="1"/>
      <c r="DG419" s="1"/>
      <c r="DH419" s="656"/>
      <c r="DJ419" s="116"/>
    </row>
    <row r="420" spans="2:114" ht="15.75" customHeight="1" x14ac:dyDescent="0.25">
      <c r="B420" s="116"/>
      <c r="I420" s="656"/>
      <c r="K420" s="116"/>
      <c r="X420" s="1"/>
      <c r="Y420" s="1"/>
      <c r="Z420" s="1"/>
      <c r="AA420" s="1"/>
      <c r="AB420" s="656"/>
      <c r="AC420" s="1"/>
      <c r="AD420" s="116"/>
      <c r="AL420" s="656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43"/>
      <c r="BL420" s="116"/>
      <c r="BU420" s="1"/>
      <c r="BV420" s="1"/>
      <c r="BW420" s="1"/>
      <c r="BX420" s="656"/>
      <c r="BZ420" s="657"/>
      <c r="CA420" s="1"/>
      <c r="CB420" s="1"/>
      <c r="CC420" s="1"/>
      <c r="CD420" s="1"/>
      <c r="CE420" s="1"/>
      <c r="CF420" s="1"/>
      <c r="CG420" s="1"/>
      <c r="CH420" s="1"/>
      <c r="CP420" s="305"/>
      <c r="CR420" s="116"/>
      <c r="CZ420" s="1"/>
      <c r="DA420" s="1"/>
      <c r="DB420" s="1"/>
      <c r="DC420" s="1"/>
      <c r="DD420" s="1"/>
      <c r="DE420" s="1"/>
      <c r="DF420" s="1"/>
      <c r="DG420" s="1"/>
      <c r="DH420" s="656"/>
      <c r="DJ420" s="116"/>
    </row>
    <row r="421" spans="2:114" ht="15.75" customHeight="1" x14ac:dyDescent="0.25">
      <c r="B421" s="116"/>
      <c r="I421" s="656"/>
      <c r="K421" s="116"/>
      <c r="X421" s="1"/>
      <c r="Y421" s="1"/>
      <c r="Z421" s="1"/>
      <c r="AA421" s="1"/>
      <c r="AB421" s="656"/>
      <c r="AC421" s="1"/>
      <c r="AD421" s="116"/>
      <c r="AL421" s="656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43"/>
      <c r="BL421" s="116"/>
      <c r="BU421" s="1"/>
      <c r="BV421" s="1"/>
      <c r="BW421" s="1"/>
      <c r="BX421" s="656"/>
      <c r="BZ421" s="657"/>
      <c r="CA421" s="1"/>
      <c r="CB421" s="1"/>
      <c r="CC421" s="1"/>
      <c r="CD421" s="1"/>
      <c r="CE421" s="1"/>
      <c r="CF421" s="1"/>
      <c r="CG421" s="1"/>
      <c r="CH421" s="1"/>
      <c r="CP421" s="305"/>
      <c r="CR421" s="116"/>
      <c r="CZ421" s="1"/>
      <c r="DA421" s="1"/>
      <c r="DB421" s="1"/>
      <c r="DC421" s="1"/>
      <c r="DD421" s="1"/>
      <c r="DE421" s="1"/>
      <c r="DF421" s="1"/>
      <c r="DG421" s="1"/>
      <c r="DH421" s="656"/>
      <c r="DJ421" s="116"/>
    </row>
    <row r="422" spans="2:114" ht="15.75" customHeight="1" x14ac:dyDescent="0.25">
      <c r="B422" s="116"/>
      <c r="I422" s="656"/>
      <c r="K422" s="116"/>
      <c r="X422" s="1"/>
      <c r="Y422" s="1"/>
      <c r="Z422" s="1"/>
      <c r="AA422" s="1"/>
      <c r="AB422" s="656"/>
      <c r="AC422" s="1"/>
      <c r="AD422" s="116"/>
      <c r="AL422" s="656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43"/>
      <c r="BL422" s="116"/>
      <c r="BU422" s="1"/>
      <c r="BV422" s="1"/>
      <c r="BW422" s="1"/>
      <c r="BX422" s="656"/>
      <c r="BZ422" s="657"/>
      <c r="CA422" s="1"/>
      <c r="CB422" s="1"/>
      <c r="CC422" s="1"/>
      <c r="CD422" s="1"/>
      <c r="CE422" s="1"/>
      <c r="CF422" s="1"/>
      <c r="CG422" s="1"/>
      <c r="CH422" s="1"/>
      <c r="CP422" s="305"/>
      <c r="CR422" s="116"/>
      <c r="CZ422" s="1"/>
      <c r="DA422" s="1"/>
      <c r="DB422" s="1"/>
      <c r="DC422" s="1"/>
      <c r="DD422" s="1"/>
      <c r="DE422" s="1"/>
      <c r="DF422" s="1"/>
      <c r="DG422" s="1"/>
      <c r="DH422" s="656"/>
      <c r="DJ422" s="116"/>
    </row>
    <row r="423" spans="2:114" ht="15.75" customHeight="1" x14ac:dyDescent="0.25">
      <c r="B423" s="116"/>
      <c r="I423" s="656"/>
      <c r="K423" s="116"/>
      <c r="X423" s="1"/>
      <c r="Y423" s="1"/>
      <c r="Z423" s="1"/>
      <c r="AA423" s="1"/>
      <c r="AB423" s="656"/>
      <c r="AC423" s="1"/>
      <c r="AD423" s="116"/>
      <c r="AL423" s="656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43"/>
      <c r="BL423" s="116"/>
      <c r="BU423" s="1"/>
      <c r="BV423" s="1"/>
      <c r="BW423" s="1"/>
      <c r="BX423" s="656"/>
      <c r="BZ423" s="657"/>
      <c r="CA423" s="1"/>
      <c r="CB423" s="1"/>
      <c r="CC423" s="1"/>
      <c r="CD423" s="1"/>
      <c r="CE423" s="1"/>
      <c r="CF423" s="1"/>
      <c r="CG423" s="1"/>
      <c r="CH423" s="1"/>
      <c r="CP423" s="305"/>
      <c r="CR423" s="116"/>
      <c r="CZ423" s="1"/>
      <c r="DA423" s="1"/>
      <c r="DB423" s="1"/>
      <c r="DC423" s="1"/>
      <c r="DD423" s="1"/>
      <c r="DE423" s="1"/>
      <c r="DF423" s="1"/>
      <c r="DG423" s="1"/>
      <c r="DH423" s="656"/>
      <c r="DJ423" s="116"/>
    </row>
    <row r="424" spans="2:114" ht="15.75" customHeight="1" x14ac:dyDescent="0.25">
      <c r="B424" s="116"/>
      <c r="I424" s="656"/>
      <c r="K424" s="116"/>
      <c r="X424" s="1"/>
      <c r="Y424" s="1"/>
      <c r="Z424" s="1"/>
      <c r="AA424" s="1"/>
      <c r="AB424" s="656"/>
      <c r="AC424" s="1"/>
      <c r="AD424" s="116"/>
      <c r="AL424" s="656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43"/>
      <c r="BL424" s="116"/>
      <c r="BU424" s="1"/>
      <c r="BV424" s="1"/>
      <c r="BW424" s="1"/>
      <c r="BX424" s="656"/>
      <c r="BZ424" s="657"/>
      <c r="CA424" s="1"/>
      <c r="CB424" s="1"/>
      <c r="CC424" s="1"/>
      <c r="CD424" s="1"/>
      <c r="CE424" s="1"/>
      <c r="CF424" s="1"/>
      <c r="CG424" s="1"/>
      <c r="CH424" s="1"/>
      <c r="CP424" s="305"/>
      <c r="CR424" s="116"/>
      <c r="CZ424" s="1"/>
      <c r="DA424" s="1"/>
      <c r="DB424" s="1"/>
      <c r="DC424" s="1"/>
      <c r="DD424" s="1"/>
      <c r="DE424" s="1"/>
      <c r="DF424" s="1"/>
      <c r="DG424" s="1"/>
      <c r="DH424" s="656"/>
      <c r="DJ424" s="116"/>
    </row>
    <row r="425" spans="2:114" ht="15.75" customHeight="1" x14ac:dyDescent="0.25">
      <c r="B425" s="116"/>
      <c r="I425" s="656"/>
      <c r="K425" s="116"/>
      <c r="X425" s="1"/>
      <c r="Y425" s="1"/>
      <c r="Z425" s="1"/>
      <c r="AA425" s="1"/>
      <c r="AB425" s="656"/>
      <c r="AC425" s="1"/>
      <c r="AD425" s="116"/>
      <c r="AL425" s="656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43"/>
      <c r="BL425" s="116"/>
      <c r="BU425" s="1"/>
      <c r="BV425" s="1"/>
      <c r="BW425" s="1"/>
      <c r="BX425" s="656"/>
      <c r="BZ425" s="657"/>
      <c r="CA425" s="1"/>
      <c r="CB425" s="1"/>
      <c r="CC425" s="1"/>
      <c r="CD425" s="1"/>
      <c r="CE425" s="1"/>
      <c r="CF425" s="1"/>
      <c r="CG425" s="1"/>
      <c r="CH425" s="1"/>
      <c r="CP425" s="305"/>
      <c r="CR425" s="116"/>
      <c r="CZ425" s="1"/>
      <c r="DA425" s="1"/>
      <c r="DB425" s="1"/>
      <c r="DC425" s="1"/>
      <c r="DD425" s="1"/>
      <c r="DE425" s="1"/>
      <c r="DF425" s="1"/>
      <c r="DG425" s="1"/>
      <c r="DH425" s="656"/>
      <c r="DJ425" s="116"/>
    </row>
    <row r="426" spans="2:114" ht="15.75" customHeight="1" x14ac:dyDescent="0.25">
      <c r="B426" s="116"/>
      <c r="I426" s="656"/>
      <c r="K426" s="116"/>
      <c r="X426" s="1"/>
      <c r="Y426" s="1"/>
      <c r="Z426" s="1"/>
      <c r="AA426" s="1"/>
      <c r="AB426" s="656"/>
      <c r="AC426" s="1"/>
      <c r="AD426" s="116"/>
      <c r="AL426" s="656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43"/>
      <c r="BL426" s="116"/>
      <c r="BU426" s="1"/>
      <c r="BV426" s="1"/>
      <c r="BW426" s="1"/>
      <c r="BX426" s="656"/>
      <c r="BZ426" s="657"/>
      <c r="CA426" s="1"/>
      <c r="CB426" s="1"/>
      <c r="CC426" s="1"/>
      <c r="CD426" s="1"/>
      <c r="CE426" s="1"/>
      <c r="CF426" s="1"/>
      <c r="CG426" s="1"/>
      <c r="CH426" s="1"/>
      <c r="CP426" s="305"/>
      <c r="CR426" s="116"/>
      <c r="CZ426" s="1"/>
      <c r="DA426" s="1"/>
      <c r="DB426" s="1"/>
      <c r="DC426" s="1"/>
      <c r="DD426" s="1"/>
      <c r="DE426" s="1"/>
      <c r="DF426" s="1"/>
      <c r="DG426" s="1"/>
      <c r="DH426" s="656"/>
      <c r="DJ426" s="116"/>
    </row>
    <row r="427" spans="2:114" ht="15.75" customHeight="1" x14ac:dyDescent="0.25">
      <c r="B427" s="116"/>
      <c r="I427" s="656"/>
      <c r="K427" s="116"/>
      <c r="X427" s="1"/>
      <c r="Y427" s="1"/>
      <c r="Z427" s="1"/>
      <c r="AA427" s="1"/>
      <c r="AB427" s="656"/>
      <c r="AC427" s="1"/>
      <c r="AD427" s="116"/>
      <c r="AL427" s="656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43"/>
      <c r="BL427" s="116"/>
      <c r="BU427" s="1"/>
      <c r="BV427" s="1"/>
      <c r="BW427" s="1"/>
      <c r="BX427" s="656"/>
      <c r="BZ427" s="657"/>
      <c r="CA427" s="1"/>
      <c r="CB427" s="1"/>
      <c r="CC427" s="1"/>
      <c r="CD427" s="1"/>
      <c r="CE427" s="1"/>
      <c r="CF427" s="1"/>
      <c r="CG427" s="1"/>
      <c r="CH427" s="1"/>
      <c r="CP427" s="305"/>
      <c r="CR427" s="116"/>
      <c r="CZ427" s="1"/>
      <c r="DA427" s="1"/>
      <c r="DB427" s="1"/>
      <c r="DC427" s="1"/>
      <c r="DD427" s="1"/>
      <c r="DE427" s="1"/>
      <c r="DF427" s="1"/>
      <c r="DG427" s="1"/>
      <c r="DH427" s="656"/>
      <c r="DJ427" s="116"/>
    </row>
    <row r="428" spans="2:114" ht="15.75" customHeight="1" x14ac:dyDescent="0.25">
      <c r="B428" s="116"/>
      <c r="I428" s="656"/>
      <c r="K428" s="116"/>
      <c r="X428" s="1"/>
      <c r="Y428" s="1"/>
      <c r="Z428" s="1"/>
      <c r="AA428" s="1"/>
      <c r="AB428" s="656"/>
      <c r="AC428" s="1"/>
      <c r="AD428" s="116"/>
      <c r="AL428" s="656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43"/>
      <c r="BL428" s="116"/>
      <c r="BU428" s="1"/>
      <c r="BV428" s="1"/>
      <c r="BW428" s="1"/>
      <c r="BX428" s="656"/>
      <c r="BZ428" s="657"/>
      <c r="CA428" s="1"/>
      <c r="CB428" s="1"/>
      <c r="CC428" s="1"/>
      <c r="CD428" s="1"/>
      <c r="CE428" s="1"/>
      <c r="CF428" s="1"/>
      <c r="CG428" s="1"/>
      <c r="CH428" s="1"/>
      <c r="CP428" s="305"/>
      <c r="CR428" s="116"/>
      <c r="CZ428" s="1"/>
      <c r="DA428" s="1"/>
      <c r="DB428" s="1"/>
      <c r="DC428" s="1"/>
      <c r="DD428" s="1"/>
      <c r="DE428" s="1"/>
      <c r="DF428" s="1"/>
      <c r="DG428" s="1"/>
      <c r="DH428" s="656"/>
      <c r="DJ428" s="116"/>
    </row>
    <row r="429" spans="2:114" ht="15.75" customHeight="1" x14ac:dyDescent="0.25">
      <c r="B429" s="116"/>
      <c r="I429" s="656"/>
      <c r="K429" s="116"/>
      <c r="X429" s="1"/>
      <c r="Y429" s="1"/>
      <c r="Z429" s="1"/>
      <c r="AA429" s="1"/>
      <c r="AB429" s="656"/>
      <c r="AC429" s="1"/>
      <c r="AD429" s="116"/>
      <c r="AL429" s="656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43"/>
      <c r="BL429" s="116"/>
      <c r="BU429" s="1"/>
      <c r="BV429" s="1"/>
      <c r="BW429" s="1"/>
      <c r="BX429" s="656"/>
      <c r="BZ429" s="657"/>
      <c r="CA429" s="1"/>
      <c r="CB429" s="1"/>
      <c r="CC429" s="1"/>
      <c r="CD429" s="1"/>
      <c r="CE429" s="1"/>
      <c r="CF429" s="1"/>
      <c r="CG429" s="1"/>
      <c r="CH429" s="1"/>
      <c r="CP429" s="305"/>
      <c r="CR429" s="116"/>
      <c r="CZ429" s="1"/>
      <c r="DA429" s="1"/>
      <c r="DB429" s="1"/>
      <c r="DC429" s="1"/>
      <c r="DD429" s="1"/>
      <c r="DE429" s="1"/>
      <c r="DF429" s="1"/>
      <c r="DG429" s="1"/>
      <c r="DH429" s="656"/>
      <c r="DJ429" s="116"/>
    </row>
    <row r="430" spans="2:114" ht="15.75" customHeight="1" x14ac:dyDescent="0.25">
      <c r="B430" s="116"/>
      <c r="I430" s="656"/>
      <c r="K430" s="116"/>
      <c r="X430" s="1"/>
      <c r="Y430" s="1"/>
      <c r="Z430" s="1"/>
      <c r="AA430" s="1"/>
      <c r="AB430" s="656"/>
      <c r="AC430" s="1"/>
      <c r="AD430" s="116"/>
      <c r="AL430" s="656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43"/>
      <c r="BL430" s="116"/>
      <c r="BU430" s="1"/>
      <c r="BV430" s="1"/>
      <c r="BW430" s="1"/>
      <c r="BX430" s="656"/>
      <c r="BZ430" s="657"/>
      <c r="CA430" s="1"/>
      <c r="CB430" s="1"/>
      <c r="CC430" s="1"/>
      <c r="CD430" s="1"/>
      <c r="CE430" s="1"/>
      <c r="CF430" s="1"/>
      <c r="CG430" s="1"/>
      <c r="CH430" s="1"/>
      <c r="CP430" s="305"/>
      <c r="CR430" s="116"/>
      <c r="CZ430" s="1"/>
      <c r="DA430" s="1"/>
      <c r="DB430" s="1"/>
      <c r="DC430" s="1"/>
      <c r="DD430" s="1"/>
      <c r="DE430" s="1"/>
      <c r="DF430" s="1"/>
      <c r="DG430" s="1"/>
      <c r="DH430" s="656"/>
      <c r="DJ430" s="116"/>
    </row>
    <row r="431" spans="2:114" ht="15.75" customHeight="1" x14ac:dyDescent="0.25">
      <c r="B431" s="116"/>
      <c r="I431" s="656"/>
      <c r="K431" s="116"/>
      <c r="X431" s="1"/>
      <c r="Y431" s="1"/>
      <c r="Z431" s="1"/>
      <c r="AA431" s="1"/>
      <c r="AB431" s="656"/>
      <c r="AC431" s="1"/>
      <c r="AD431" s="116"/>
      <c r="AL431" s="656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43"/>
      <c r="BL431" s="116"/>
      <c r="BU431" s="1"/>
      <c r="BV431" s="1"/>
      <c r="BW431" s="1"/>
      <c r="BX431" s="656"/>
      <c r="BZ431" s="657"/>
      <c r="CA431" s="1"/>
      <c r="CB431" s="1"/>
      <c r="CC431" s="1"/>
      <c r="CD431" s="1"/>
      <c r="CE431" s="1"/>
      <c r="CF431" s="1"/>
      <c r="CG431" s="1"/>
      <c r="CH431" s="1"/>
      <c r="CP431" s="305"/>
      <c r="CR431" s="116"/>
      <c r="CZ431" s="1"/>
      <c r="DA431" s="1"/>
      <c r="DB431" s="1"/>
      <c r="DC431" s="1"/>
      <c r="DD431" s="1"/>
      <c r="DE431" s="1"/>
      <c r="DF431" s="1"/>
      <c r="DG431" s="1"/>
      <c r="DH431" s="656"/>
      <c r="DJ431" s="116"/>
    </row>
    <row r="432" spans="2:114" ht="15.75" customHeight="1" x14ac:dyDescent="0.25">
      <c r="B432" s="116"/>
      <c r="I432" s="656"/>
      <c r="K432" s="116"/>
      <c r="X432" s="1"/>
      <c r="Y432" s="1"/>
      <c r="Z432" s="1"/>
      <c r="AA432" s="1"/>
      <c r="AB432" s="656"/>
      <c r="AC432" s="1"/>
      <c r="AD432" s="116"/>
      <c r="AL432" s="656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43"/>
      <c r="BL432" s="116"/>
      <c r="BU432" s="1"/>
      <c r="BV432" s="1"/>
      <c r="BW432" s="1"/>
      <c r="BX432" s="656"/>
      <c r="BZ432" s="657"/>
      <c r="CA432" s="1"/>
      <c r="CB432" s="1"/>
      <c r="CC432" s="1"/>
      <c r="CD432" s="1"/>
      <c r="CE432" s="1"/>
      <c r="CF432" s="1"/>
      <c r="CG432" s="1"/>
      <c r="CH432" s="1"/>
      <c r="CP432" s="305"/>
      <c r="CR432" s="116"/>
      <c r="CZ432" s="1"/>
      <c r="DA432" s="1"/>
      <c r="DB432" s="1"/>
      <c r="DC432" s="1"/>
      <c r="DD432" s="1"/>
      <c r="DE432" s="1"/>
      <c r="DF432" s="1"/>
      <c r="DG432" s="1"/>
      <c r="DH432" s="656"/>
      <c r="DJ432" s="116"/>
    </row>
    <row r="433" spans="2:114" ht="15.75" customHeight="1" x14ac:dyDescent="0.25">
      <c r="B433" s="116"/>
      <c r="I433" s="656"/>
      <c r="K433" s="116"/>
      <c r="X433" s="1"/>
      <c r="Y433" s="1"/>
      <c r="Z433" s="1"/>
      <c r="AA433" s="1"/>
      <c r="AB433" s="656"/>
      <c r="AC433" s="1"/>
      <c r="AD433" s="116"/>
      <c r="AL433" s="656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43"/>
      <c r="BL433" s="116"/>
      <c r="BU433" s="1"/>
      <c r="BV433" s="1"/>
      <c r="BW433" s="1"/>
      <c r="BX433" s="656"/>
      <c r="BZ433" s="657"/>
      <c r="CA433" s="1"/>
      <c r="CB433" s="1"/>
      <c r="CC433" s="1"/>
      <c r="CD433" s="1"/>
      <c r="CE433" s="1"/>
      <c r="CF433" s="1"/>
      <c r="CG433" s="1"/>
      <c r="CH433" s="1"/>
      <c r="CP433" s="305"/>
      <c r="CR433" s="116"/>
      <c r="CZ433" s="1"/>
      <c r="DA433" s="1"/>
      <c r="DB433" s="1"/>
      <c r="DC433" s="1"/>
      <c r="DD433" s="1"/>
      <c r="DE433" s="1"/>
      <c r="DF433" s="1"/>
      <c r="DG433" s="1"/>
      <c r="DH433" s="656"/>
      <c r="DJ433" s="116"/>
    </row>
    <row r="434" spans="2:114" ht="15.75" customHeight="1" x14ac:dyDescent="0.25">
      <c r="B434" s="116"/>
      <c r="I434" s="656"/>
      <c r="K434" s="116"/>
      <c r="X434" s="1"/>
      <c r="Y434" s="1"/>
      <c r="Z434" s="1"/>
      <c r="AA434" s="1"/>
      <c r="AB434" s="656"/>
      <c r="AC434" s="1"/>
      <c r="AD434" s="116"/>
      <c r="AL434" s="656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43"/>
      <c r="BL434" s="116"/>
      <c r="BU434" s="1"/>
      <c r="BV434" s="1"/>
      <c r="BW434" s="1"/>
      <c r="BX434" s="656"/>
      <c r="BZ434" s="657"/>
      <c r="CA434" s="1"/>
      <c r="CB434" s="1"/>
      <c r="CC434" s="1"/>
      <c r="CD434" s="1"/>
      <c r="CE434" s="1"/>
      <c r="CF434" s="1"/>
      <c r="CG434" s="1"/>
      <c r="CH434" s="1"/>
      <c r="CP434" s="305"/>
      <c r="CR434" s="116"/>
      <c r="CZ434" s="1"/>
      <c r="DA434" s="1"/>
      <c r="DB434" s="1"/>
      <c r="DC434" s="1"/>
      <c r="DD434" s="1"/>
      <c r="DE434" s="1"/>
      <c r="DF434" s="1"/>
      <c r="DG434" s="1"/>
      <c r="DH434" s="656"/>
      <c r="DJ434" s="116"/>
    </row>
    <row r="435" spans="2:114" ht="15.75" customHeight="1" x14ac:dyDescent="0.25">
      <c r="B435" s="116"/>
      <c r="I435" s="656"/>
      <c r="K435" s="116"/>
      <c r="X435" s="1"/>
      <c r="Y435" s="1"/>
      <c r="Z435" s="1"/>
      <c r="AA435" s="1"/>
      <c r="AB435" s="656"/>
      <c r="AC435" s="1"/>
      <c r="AD435" s="116"/>
      <c r="AL435" s="656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43"/>
      <c r="BL435" s="116"/>
      <c r="BU435" s="1"/>
      <c r="BV435" s="1"/>
      <c r="BW435" s="1"/>
      <c r="BX435" s="656"/>
      <c r="BZ435" s="657"/>
      <c r="CA435" s="1"/>
      <c r="CB435" s="1"/>
      <c r="CC435" s="1"/>
      <c r="CD435" s="1"/>
      <c r="CE435" s="1"/>
      <c r="CF435" s="1"/>
      <c r="CG435" s="1"/>
      <c r="CH435" s="1"/>
      <c r="CP435" s="305"/>
      <c r="CR435" s="116"/>
      <c r="CZ435" s="1"/>
      <c r="DA435" s="1"/>
      <c r="DB435" s="1"/>
      <c r="DC435" s="1"/>
      <c r="DD435" s="1"/>
      <c r="DE435" s="1"/>
      <c r="DF435" s="1"/>
      <c r="DG435" s="1"/>
      <c r="DH435" s="656"/>
      <c r="DJ435" s="116"/>
    </row>
    <row r="436" spans="2:114" ht="15.75" customHeight="1" x14ac:dyDescent="0.25">
      <c r="B436" s="116"/>
      <c r="I436" s="656"/>
      <c r="K436" s="116"/>
      <c r="X436" s="1"/>
      <c r="Y436" s="1"/>
      <c r="Z436" s="1"/>
      <c r="AA436" s="1"/>
      <c r="AB436" s="656"/>
      <c r="AC436" s="1"/>
      <c r="AD436" s="116"/>
      <c r="AL436" s="656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43"/>
      <c r="BL436" s="116"/>
      <c r="BU436" s="1"/>
      <c r="BV436" s="1"/>
      <c r="BW436" s="1"/>
      <c r="BX436" s="656"/>
      <c r="BZ436" s="657"/>
      <c r="CA436" s="1"/>
      <c r="CB436" s="1"/>
      <c r="CC436" s="1"/>
      <c r="CD436" s="1"/>
      <c r="CE436" s="1"/>
      <c r="CF436" s="1"/>
      <c r="CG436" s="1"/>
      <c r="CH436" s="1"/>
      <c r="CP436" s="305"/>
      <c r="CR436" s="116"/>
      <c r="CZ436" s="1"/>
      <c r="DA436" s="1"/>
      <c r="DB436" s="1"/>
      <c r="DC436" s="1"/>
      <c r="DD436" s="1"/>
      <c r="DE436" s="1"/>
      <c r="DF436" s="1"/>
      <c r="DG436" s="1"/>
      <c r="DH436" s="656"/>
      <c r="DJ436" s="116"/>
    </row>
    <row r="437" spans="2:114" ht="15.75" customHeight="1" x14ac:dyDescent="0.25">
      <c r="B437" s="116"/>
      <c r="I437" s="656"/>
      <c r="K437" s="116"/>
      <c r="X437" s="1"/>
      <c r="Y437" s="1"/>
      <c r="Z437" s="1"/>
      <c r="AA437" s="1"/>
      <c r="AB437" s="656"/>
      <c r="AC437" s="1"/>
      <c r="AD437" s="116"/>
      <c r="AL437" s="656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43"/>
      <c r="BL437" s="116"/>
      <c r="BU437" s="1"/>
      <c r="BV437" s="1"/>
      <c r="BW437" s="1"/>
      <c r="BX437" s="656"/>
      <c r="BZ437" s="657"/>
      <c r="CA437" s="1"/>
      <c r="CB437" s="1"/>
      <c r="CC437" s="1"/>
      <c r="CD437" s="1"/>
      <c r="CE437" s="1"/>
      <c r="CF437" s="1"/>
      <c r="CG437" s="1"/>
      <c r="CH437" s="1"/>
      <c r="CP437" s="305"/>
      <c r="CR437" s="116"/>
      <c r="CZ437" s="1"/>
      <c r="DA437" s="1"/>
      <c r="DB437" s="1"/>
      <c r="DC437" s="1"/>
      <c r="DD437" s="1"/>
      <c r="DE437" s="1"/>
      <c r="DF437" s="1"/>
      <c r="DG437" s="1"/>
      <c r="DH437" s="656"/>
      <c r="DJ437" s="116"/>
    </row>
    <row r="438" spans="2:114" ht="15.75" customHeight="1" x14ac:dyDescent="0.25">
      <c r="B438" s="116"/>
      <c r="I438" s="656"/>
      <c r="K438" s="116"/>
      <c r="X438" s="1"/>
      <c r="Y438" s="1"/>
      <c r="Z438" s="1"/>
      <c r="AA438" s="1"/>
      <c r="AB438" s="656"/>
      <c r="AC438" s="1"/>
      <c r="AD438" s="116"/>
      <c r="AL438" s="656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43"/>
      <c r="BL438" s="116"/>
      <c r="BU438" s="1"/>
      <c r="BV438" s="1"/>
      <c r="BW438" s="1"/>
      <c r="BX438" s="656"/>
      <c r="BZ438" s="657"/>
      <c r="CA438" s="1"/>
      <c r="CB438" s="1"/>
      <c r="CC438" s="1"/>
      <c r="CD438" s="1"/>
      <c r="CE438" s="1"/>
      <c r="CF438" s="1"/>
      <c r="CG438" s="1"/>
      <c r="CH438" s="1"/>
      <c r="CP438" s="305"/>
      <c r="CR438" s="116"/>
      <c r="CZ438" s="1"/>
      <c r="DA438" s="1"/>
      <c r="DB438" s="1"/>
      <c r="DC438" s="1"/>
      <c r="DD438" s="1"/>
      <c r="DE438" s="1"/>
      <c r="DF438" s="1"/>
      <c r="DG438" s="1"/>
      <c r="DH438" s="656"/>
      <c r="DJ438" s="116"/>
    </row>
    <row r="439" spans="2:114" ht="15.75" customHeight="1" x14ac:dyDescent="0.25">
      <c r="B439" s="116"/>
      <c r="I439" s="656"/>
      <c r="K439" s="116"/>
      <c r="X439" s="1"/>
      <c r="Y439" s="1"/>
      <c r="Z439" s="1"/>
      <c r="AA439" s="1"/>
      <c r="AB439" s="656"/>
      <c r="AC439" s="1"/>
      <c r="AD439" s="116"/>
      <c r="AL439" s="656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43"/>
      <c r="BL439" s="116"/>
      <c r="BU439" s="1"/>
      <c r="BV439" s="1"/>
      <c r="BW439" s="1"/>
      <c r="BX439" s="656"/>
      <c r="BZ439" s="657"/>
      <c r="CA439" s="1"/>
      <c r="CB439" s="1"/>
      <c r="CC439" s="1"/>
      <c r="CD439" s="1"/>
      <c r="CE439" s="1"/>
      <c r="CF439" s="1"/>
      <c r="CG439" s="1"/>
      <c r="CH439" s="1"/>
      <c r="CP439" s="305"/>
      <c r="CR439" s="116"/>
      <c r="CZ439" s="1"/>
      <c r="DA439" s="1"/>
      <c r="DB439" s="1"/>
      <c r="DC439" s="1"/>
      <c r="DD439" s="1"/>
      <c r="DE439" s="1"/>
      <c r="DF439" s="1"/>
      <c r="DG439" s="1"/>
      <c r="DH439" s="656"/>
      <c r="DJ439" s="116"/>
    </row>
    <row r="440" spans="2:114" ht="15.75" customHeight="1" x14ac:dyDescent="0.25">
      <c r="B440" s="116"/>
      <c r="I440" s="656"/>
      <c r="K440" s="116"/>
      <c r="X440" s="1"/>
      <c r="Y440" s="1"/>
      <c r="Z440" s="1"/>
      <c r="AA440" s="1"/>
      <c r="AB440" s="656"/>
      <c r="AC440" s="1"/>
      <c r="AD440" s="116"/>
      <c r="AL440" s="656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43"/>
      <c r="BL440" s="116"/>
      <c r="BU440" s="1"/>
      <c r="BV440" s="1"/>
      <c r="BW440" s="1"/>
      <c r="BX440" s="656"/>
      <c r="BZ440" s="657"/>
      <c r="CA440" s="1"/>
      <c r="CB440" s="1"/>
      <c r="CC440" s="1"/>
      <c r="CD440" s="1"/>
      <c r="CE440" s="1"/>
      <c r="CF440" s="1"/>
      <c r="CG440" s="1"/>
      <c r="CH440" s="1"/>
      <c r="CP440" s="305"/>
      <c r="CR440" s="116"/>
      <c r="CZ440" s="1"/>
      <c r="DA440" s="1"/>
      <c r="DB440" s="1"/>
      <c r="DC440" s="1"/>
      <c r="DD440" s="1"/>
      <c r="DE440" s="1"/>
      <c r="DF440" s="1"/>
      <c r="DG440" s="1"/>
      <c r="DH440" s="656"/>
      <c r="DJ440" s="116"/>
    </row>
    <row r="441" spans="2:114" ht="15.75" customHeight="1" x14ac:dyDescent="0.25">
      <c r="B441" s="116"/>
      <c r="I441" s="656"/>
      <c r="K441" s="116"/>
      <c r="X441" s="1"/>
      <c r="Y441" s="1"/>
      <c r="Z441" s="1"/>
      <c r="AA441" s="1"/>
      <c r="AB441" s="656"/>
      <c r="AC441" s="1"/>
      <c r="AD441" s="116"/>
      <c r="AL441" s="656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43"/>
      <c r="BL441" s="116"/>
      <c r="BU441" s="1"/>
      <c r="BV441" s="1"/>
      <c r="BW441" s="1"/>
      <c r="BX441" s="656"/>
      <c r="BZ441" s="657"/>
      <c r="CA441" s="1"/>
      <c r="CB441" s="1"/>
      <c r="CC441" s="1"/>
      <c r="CD441" s="1"/>
      <c r="CE441" s="1"/>
      <c r="CF441" s="1"/>
      <c r="CG441" s="1"/>
      <c r="CH441" s="1"/>
      <c r="CP441" s="305"/>
      <c r="CR441" s="116"/>
      <c r="CZ441" s="1"/>
      <c r="DA441" s="1"/>
      <c r="DB441" s="1"/>
      <c r="DC441" s="1"/>
      <c r="DD441" s="1"/>
      <c r="DE441" s="1"/>
      <c r="DF441" s="1"/>
      <c r="DG441" s="1"/>
      <c r="DH441" s="656"/>
      <c r="DJ441" s="116"/>
    </row>
    <row r="442" spans="2:114" ht="15.75" customHeight="1" x14ac:dyDescent="0.25">
      <c r="B442" s="116"/>
      <c r="I442" s="656"/>
      <c r="K442" s="116"/>
      <c r="X442" s="1"/>
      <c r="Y442" s="1"/>
      <c r="Z442" s="1"/>
      <c r="AA442" s="1"/>
      <c r="AB442" s="656"/>
      <c r="AC442" s="1"/>
      <c r="AD442" s="116"/>
      <c r="AL442" s="656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43"/>
      <c r="BL442" s="116"/>
      <c r="BU442" s="1"/>
      <c r="BV442" s="1"/>
      <c r="BW442" s="1"/>
      <c r="BX442" s="656"/>
      <c r="BZ442" s="657"/>
      <c r="CA442" s="1"/>
      <c r="CB442" s="1"/>
      <c r="CC442" s="1"/>
      <c r="CD442" s="1"/>
      <c r="CE442" s="1"/>
      <c r="CF442" s="1"/>
      <c r="CG442" s="1"/>
      <c r="CH442" s="1"/>
      <c r="CP442" s="305"/>
      <c r="CR442" s="116"/>
      <c r="CZ442" s="1"/>
      <c r="DA442" s="1"/>
      <c r="DB442" s="1"/>
      <c r="DC442" s="1"/>
      <c r="DD442" s="1"/>
      <c r="DE442" s="1"/>
      <c r="DF442" s="1"/>
      <c r="DG442" s="1"/>
      <c r="DH442" s="656"/>
      <c r="DJ442" s="116"/>
    </row>
    <row r="443" spans="2:114" ht="15.75" customHeight="1" x14ac:dyDescent="0.25">
      <c r="B443" s="116"/>
      <c r="I443" s="656"/>
      <c r="K443" s="116"/>
      <c r="X443" s="1"/>
      <c r="Y443" s="1"/>
      <c r="Z443" s="1"/>
      <c r="AA443" s="1"/>
      <c r="AB443" s="656"/>
      <c r="AC443" s="1"/>
      <c r="AD443" s="116"/>
      <c r="AL443" s="656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43"/>
      <c r="BL443" s="116"/>
      <c r="BU443" s="1"/>
      <c r="BV443" s="1"/>
      <c r="BW443" s="1"/>
      <c r="BX443" s="656"/>
      <c r="BZ443" s="657"/>
      <c r="CA443" s="1"/>
      <c r="CB443" s="1"/>
      <c r="CC443" s="1"/>
      <c r="CD443" s="1"/>
      <c r="CE443" s="1"/>
      <c r="CF443" s="1"/>
      <c r="CG443" s="1"/>
      <c r="CH443" s="1"/>
      <c r="CP443" s="305"/>
      <c r="CR443" s="116"/>
      <c r="CZ443" s="1"/>
      <c r="DA443" s="1"/>
      <c r="DB443" s="1"/>
      <c r="DC443" s="1"/>
      <c r="DD443" s="1"/>
      <c r="DE443" s="1"/>
      <c r="DF443" s="1"/>
      <c r="DG443" s="1"/>
      <c r="DH443" s="656"/>
      <c r="DJ443" s="116"/>
    </row>
    <row r="444" spans="2:114" ht="15.75" customHeight="1" x14ac:dyDescent="0.25">
      <c r="B444" s="116"/>
      <c r="I444" s="656"/>
      <c r="K444" s="116"/>
      <c r="X444" s="1"/>
      <c r="Y444" s="1"/>
      <c r="Z444" s="1"/>
      <c r="AA444" s="1"/>
      <c r="AB444" s="656"/>
      <c r="AC444" s="1"/>
      <c r="AD444" s="116"/>
      <c r="AL444" s="656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43"/>
      <c r="BL444" s="116"/>
      <c r="BU444" s="1"/>
      <c r="BV444" s="1"/>
      <c r="BW444" s="1"/>
      <c r="BX444" s="656"/>
      <c r="BZ444" s="657"/>
      <c r="CA444" s="1"/>
      <c r="CB444" s="1"/>
      <c r="CC444" s="1"/>
      <c r="CD444" s="1"/>
      <c r="CE444" s="1"/>
      <c r="CF444" s="1"/>
      <c r="CG444" s="1"/>
      <c r="CH444" s="1"/>
      <c r="CP444" s="305"/>
      <c r="CR444" s="116"/>
      <c r="CZ444" s="1"/>
      <c r="DA444" s="1"/>
      <c r="DB444" s="1"/>
      <c r="DC444" s="1"/>
      <c r="DD444" s="1"/>
      <c r="DE444" s="1"/>
      <c r="DF444" s="1"/>
      <c r="DG444" s="1"/>
      <c r="DH444" s="656"/>
      <c r="DJ444" s="116"/>
    </row>
    <row r="445" spans="2:114" ht="15.75" customHeight="1" x14ac:dyDescent="0.25">
      <c r="B445" s="116"/>
      <c r="I445" s="656"/>
      <c r="K445" s="116"/>
      <c r="X445" s="1"/>
      <c r="Y445" s="1"/>
      <c r="Z445" s="1"/>
      <c r="AA445" s="1"/>
      <c r="AB445" s="656"/>
      <c r="AC445" s="1"/>
      <c r="AD445" s="116"/>
      <c r="AL445" s="656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43"/>
      <c r="BL445" s="116"/>
      <c r="BU445" s="1"/>
      <c r="BV445" s="1"/>
      <c r="BW445" s="1"/>
      <c r="BX445" s="656"/>
      <c r="BZ445" s="657"/>
      <c r="CA445" s="1"/>
      <c r="CB445" s="1"/>
      <c r="CC445" s="1"/>
      <c r="CD445" s="1"/>
      <c r="CE445" s="1"/>
      <c r="CF445" s="1"/>
      <c r="CG445" s="1"/>
      <c r="CH445" s="1"/>
      <c r="CP445" s="305"/>
      <c r="CR445" s="116"/>
      <c r="CZ445" s="1"/>
      <c r="DA445" s="1"/>
      <c r="DB445" s="1"/>
      <c r="DC445" s="1"/>
      <c r="DD445" s="1"/>
      <c r="DE445" s="1"/>
      <c r="DF445" s="1"/>
      <c r="DG445" s="1"/>
      <c r="DH445" s="656"/>
      <c r="DJ445" s="116"/>
    </row>
    <row r="446" spans="2:114" ht="15.75" customHeight="1" x14ac:dyDescent="0.25">
      <c r="B446" s="116"/>
      <c r="I446" s="656"/>
      <c r="K446" s="116"/>
      <c r="X446" s="1"/>
      <c r="Y446" s="1"/>
      <c r="Z446" s="1"/>
      <c r="AA446" s="1"/>
      <c r="AB446" s="656"/>
      <c r="AC446" s="1"/>
      <c r="AD446" s="116"/>
      <c r="AL446" s="656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43"/>
      <c r="BL446" s="116"/>
      <c r="BU446" s="1"/>
      <c r="BV446" s="1"/>
      <c r="BW446" s="1"/>
      <c r="BX446" s="656"/>
      <c r="BZ446" s="657"/>
      <c r="CA446" s="1"/>
      <c r="CB446" s="1"/>
      <c r="CC446" s="1"/>
      <c r="CD446" s="1"/>
      <c r="CE446" s="1"/>
      <c r="CF446" s="1"/>
      <c r="CG446" s="1"/>
      <c r="CH446" s="1"/>
      <c r="CP446" s="305"/>
      <c r="CR446" s="116"/>
      <c r="CZ446" s="1"/>
      <c r="DA446" s="1"/>
      <c r="DB446" s="1"/>
      <c r="DC446" s="1"/>
      <c r="DD446" s="1"/>
      <c r="DE446" s="1"/>
      <c r="DF446" s="1"/>
      <c r="DG446" s="1"/>
      <c r="DH446" s="656"/>
      <c r="DJ446" s="116"/>
    </row>
    <row r="447" spans="2:114" ht="15.75" customHeight="1" x14ac:dyDescent="0.25">
      <c r="B447" s="116"/>
      <c r="I447" s="656"/>
      <c r="K447" s="116"/>
      <c r="X447" s="1"/>
      <c r="Y447" s="1"/>
      <c r="Z447" s="1"/>
      <c r="AA447" s="1"/>
      <c r="AB447" s="656"/>
      <c r="AC447" s="1"/>
      <c r="AD447" s="116"/>
      <c r="AL447" s="656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43"/>
      <c r="BL447" s="116"/>
      <c r="BU447" s="1"/>
      <c r="BV447" s="1"/>
      <c r="BW447" s="1"/>
      <c r="BX447" s="656"/>
      <c r="BZ447" s="657"/>
      <c r="CA447" s="1"/>
      <c r="CB447" s="1"/>
      <c r="CC447" s="1"/>
      <c r="CD447" s="1"/>
      <c r="CE447" s="1"/>
      <c r="CF447" s="1"/>
      <c r="CG447" s="1"/>
      <c r="CH447" s="1"/>
      <c r="CP447" s="305"/>
      <c r="CR447" s="116"/>
      <c r="CZ447" s="1"/>
      <c r="DA447" s="1"/>
      <c r="DB447" s="1"/>
      <c r="DC447" s="1"/>
      <c r="DD447" s="1"/>
      <c r="DE447" s="1"/>
      <c r="DF447" s="1"/>
      <c r="DG447" s="1"/>
      <c r="DH447" s="656"/>
      <c r="DJ447" s="116"/>
    </row>
    <row r="448" spans="2:114" ht="15.75" customHeight="1" x14ac:dyDescent="0.25">
      <c r="B448" s="116"/>
      <c r="I448" s="656"/>
      <c r="K448" s="116"/>
      <c r="X448" s="1"/>
      <c r="Y448" s="1"/>
      <c r="Z448" s="1"/>
      <c r="AA448" s="1"/>
      <c r="AB448" s="656"/>
      <c r="AC448" s="1"/>
      <c r="AD448" s="116"/>
      <c r="AL448" s="656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43"/>
      <c r="BL448" s="116"/>
      <c r="BU448" s="1"/>
      <c r="BV448" s="1"/>
      <c r="BW448" s="1"/>
      <c r="BX448" s="656"/>
      <c r="BZ448" s="657"/>
      <c r="CA448" s="1"/>
      <c r="CB448" s="1"/>
      <c r="CC448" s="1"/>
      <c r="CD448" s="1"/>
      <c r="CE448" s="1"/>
      <c r="CF448" s="1"/>
      <c r="CG448" s="1"/>
      <c r="CH448" s="1"/>
      <c r="CP448" s="305"/>
      <c r="CR448" s="116"/>
      <c r="CZ448" s="1"/>
      <c r="DA448" s="1"/>
      <c r="DB448" s="1"/>
      <c r="DC448" s="1"/>
      <c r="DD448" s="1"/>
      <c r="DE448" s="1"/>
      <c r="DF448" s="1"/>
      <c r="DG448" s="1"/>
      <c r="DH448" s="656"/>
      <c r="DJ448" s="116"/>
    </row>
    <row r="449" spans="2:114" ht="15.75" customHeight="1" x14ac:dyDescent="0.25">
      <c r="B449" s="116"/>
      <c r="I449" s="656"/>
      <c r="K449" s="116"/>
      <c r="X449" s="1"/>
      <c r="Y449" s="1"/>
      <c r="Z449" s="1"/>
      <c r="AA449" s="1"/>
      <c r="AB449" s="656"/>
      <c r="AC449" s="1"/>
      <c r="AD449" s="116"/>
      <c r="AL449" s="656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43"/>
      <c r="BL449" s="116"/>
      <c r="BU449" s="1"/>
      <c r="BV449" s="1"/>
      <c r="BW449" s="1"/>
      <c r="BX449" s="656"/>
      <c r="BZ449" s="657"/>
      <c r="CA449" s="1"/>
      <c r="CB449" s="1"/>
      <c r="CC449" s="1"/>
      <c r="CD449" s="1"/>
      <c r="CE449" s="1"/>
      <c r="CF449" s="1"/>
      <c r="CG449" s="1"/>
      <c r="CH449" s="1"/>
      <c r="CP449" s="305"/>
      <c r="CR449" s="116"/>
      <c r="CZ449" s="1"/>
      <c r="DA449" s="1"/>
      <c r="DB449" s="1"/>
      <c r="DC449" s="1"/>
      <c r="DD449" s="1"/>
      <c r="DE449" s="1"/>
      <c r="DF449" s="1"/>
      <c r="DG449" s="1"/>
      <c r="DH449" s="656"/>
      <c r="DJ449" s="116"/>
    </row>
    <row r="450" spans="2:114" ht="15.75" customHeight="1" x14ac:dyDescent="0.25">
      <c r="B450" s="116"/>
      <c r="I450" s="656"/>
      <c r="K450" s="116"/>
      <c r="X450" s="1"/>
      <c r="Y450" s="1"/>
      <c r="Z450" s="1"/>
      <c r="AA450" s="1"/>
      <c r="AB450" s="656"/>
      <c r="AC450" s="1"/>
      <c r="AD450" s="116"/>
      <c r="AL450" s="656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43"/>
      <c r="BL450" s="116"/>
      <c r="BU450" s="1"/>
      <c r="BV450" s="1"/>
      <c r="BW450" s="1"/>
      <c r="BX450" s="656"/>
      <c r="BZ450" s="657"/>
      <c r="CA450" s="1"/>
      <c r="CB450" s="1"/>
      <c r="CC450" s="1"/>
      <c r="CD450" s="1"/>
      <c r="CE450" s="1"/>
      <c r="CF450" s="1"/>
      <c r="CG450" s="1"/>
      <c r="CH450" s="1"/>
      <c r="CP450" s="305"/>
      <c r="CR450" s="116"/>
      <c r="CZ450" s="1"/>
      <c r="DA450" s="1"/>
      <c r="DB450" s="1"/>
      <c r="DC450" s="1"/>
      <c r="DD450" s="1"/>
      <c r="DE450" s="1"/>
      <c r="DF450" s="1"/>
      <c r="DG450" s="1"/>
      <c r="DH450" s="656"/>
      <c r="DJ450" s="116"/>
    </row>
    <row r="451" spans="2:114" ht="15.75" customHeight="1" x14ac:dyDescent="0.25">
      <c r="B451" s="116"/>
      <c r="I451" s="656"/>
      <c r="K451" s="116"/>
      <c r="X451" s="1"/>
      <c r="Y451" s="1"/>
      <c r="Z451" s="1"/>
      <c r="AA451" s="1"/>
      <c r="AB451" s="656"/>
      <c r="AC451" s="1"/>
      <c r="AD451" s="116"/>
      <c r="AL451" s="656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43"/>
      <c r="BL451" s="116"/>
      <c r="BU451" s="1"/>
      <c r="BV451" s="1"/>
      <c r="BW451" s="1"/>
      <c r="BX451" s="656"/>
      <c r="BZ451" s="657"/>
      <c r="CA451" s="1"/>
      <c r="CB451" s="1"/>
      <c r="CC451" s="1"/>
      <c r="CD451" s="1"/>
      <c r="CE451" s="1"/>
      <c r="CF451" s="1"/>
      <c r="CG451" s="1"/>
      <c r="CH451" s="1"/>
      <c r="CP451" s="305"/>
      <c r="CR451" s="116"/>
      <c r="CZ451" s="1"/>
      <c r="DA451" s="1"/>
      <c r="DB451" s="1"/>
      <c r="DC451" s="1"/>
      <c r="DD451" s="1"/>
      <c r="DE451" s="1"/>
      <c r="DF451" s="1"/>
      <c r="DG451" s="1"/>
      <c r="DH451" s="656"/>
      <c r="DJ451" s="116"/>
    </row>
    <row r="452" spans="2:114" ht="15.75" customHeight="1" x14ac:dyDescent="0.25">
      <c r="B452" s="116"/>
      <c r="I452" s="656"/>
      <c r="K452" s="116"/>
      <c r="X452" s="1"/>
      <c r="Y452" s="1"/>
      <c r="Z452" s="1"/>
      <c r="AA452" s="1"/>
      <c r="AB452" s="656"/>
      <c r="AC452" s="1"/>
      <c r="AD452" s="116"/>
      <c r="AL452" s="656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43"/>
      <c r="BL452" s="116"/>
      <c r="BU452" s="1"/>
      <c r="BV452" s="1"/>
      <c r="BW452" s="1"/>
      <c r="BX452" s="656"/>
      <c r="BZ452" s="657"/>
      <c r="CA452" s="1"/>
      <c r="CB452" s="1"/>
      <c r="CC452" s="1"/>
      <c r="CD452" s="1"/>
      <c r="CE452" s="1"/>
      <c r="CF452" s="1"/>
      <c r="CG452" s="1"/>
      <c r="CH452" s="1"/>
      <c r="CP452" s="305"/>
      <c r="CR452" s="116"/>
      <c r="CZ452" s="1"/>
      <c r="DA452" s="1"/>
      <c r="DB452" s="1"/>
      <c r="DC452" s="1"/>
      <c r="DD452" s="1"/>
      <c r="DE452" s="1"/>
      <c r="DF452" s="1"/>
      <c r="DG452" s="1"/>
      <c r="DH452" s="656"/>
      <c r="DJ452" s="116"/>
    </row>
    <row r="453" spans="2:114" ht="15.75" customHeight="1" x14ac:dyDescent="0.25">
      <c r="B453" s="116"/>
      <c r="I453" s="656"/>
      <c r="K453" s="116"/>
      <c r="X453" s="1"/>
      <c r="Y453" s="1"/>
      <c r="Z453" s="1"/>
      <c r="AA453" s="1"/>
      <c r="AB453" s="656"/>
      <c r="AC453" s="1"/>
      <c r="AD453" s="116"/>
      <c r="AL453" s="656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43"/>
      <c r="BL453" s="116"/>
      <c r="BU453" s="1"/>
      <c r="BV453" s="1"/>
      <c r="BW453" s="1"/>
      <c r="BX453" s="656"/>
      <c r="BZ453" s="657"/>
      <c r="CA453" s="1"/>
      <c r="CB453" s="1"/>
      <c r="CC453" s="1"/>
      <c r="CD453" s="1"/>
      <c r="CE453" s="1"/>
      <c r="CF453" s="1"/>
      <c r="CG453" s="1"/>
      <c r="CH453" s="1"/>
      <c r="CP453" s="305"/>
      <c r="CR453" s="116"/>
      <c r="CZ453" s="1"/>
      <c r="DA453" s="1"/>
      <c r="DB453" s="1"/>
      <c r="DC453" s="1"/>
      <c r="DD453" s="1"/>
      <c r="DE453" s="1"/>
      <c r="DF453" s="1"/>
      <c r="DG453" s="1"/>
      <c r="DH453" s="656"/>
      <c r="DJ453" s="116"/>
    </row>
    <row r="454" spans="2:114" ht="15.75" customHeight="1" x14ac:dyDescent="0.25">
      <c r="B454" s="116"/>
      <c r="I454" s="656"/>
      <c r="K454" s="116"/>
      <c r="X454" s="1"/>
      <c r="Y454" s="1"/>
      <c r="Z454" s="1"/>
      <c r="AA454" s="1"/>
      <c r="AB454" s="656"/>
      <c r="AC454" s="1"/>
      <c r="AD454" s="116"/>
      <c r="AL454" s="656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43"/>
      <c r="BL454" s="116"/>
      <c r="BU454" s="1"/>
      <c r="BV454" s="1"/>
      <c r="BW454" s="1"/>
      <c r="BX454" s="656"/>
      <c r="BZ454" s="657"/>
      <c r="CA454" s="1"/>
      <c r="CB454" s="1"/>
      <c r="CC454" s="1"/>
      <c r="CD454" s="1"/>
      <c r="CE454" s="1"/>
      <c r="CF454" s="1"/>
      <c r="CG454" s="1"/>
      <c r="CH454" s="1"/>
      <c r="CP454" s="305"/>
      <c r="CR454" s="116"/>
      <c r="CZ454" s="1"/>
      <c r="DA454" s="1"/>
      <c r="DB454" s="1"/>
      <c r="DC454" s="1"/>
      <c r="DD454" s="1"/>
      <c r="DE454" s="1"/>
      <c r="DF454" s="1"/>
      <c r="DG454" s="1"/>
      <c r="DH454" s="656"/>
      <c r="DJ454" s="116"/>
    </row>
    <row r="455" spans="2:114" ht="15.75" customHeight="1" x14ac:dyDescent="0.25">
      <c r="B455" s="116"/>
      <c r="I455" s="656"/>
      <c r="K455" s="116"/>
      <c r="X455" s="1"/>
      <c r="Y455" s="1"/>
      <c r="Z455" s="1"/>
      <c r="AA455" s="1"/>
      <c r="AB455" s="656"/>
      <c r="AC455" s="1"/>
      <c r="AD455" s="116"/>
      <c r="AL455" s="656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43"/>
      <c r="BL455" s="116"/>
      <c r="BU455" s="1"/>
      <c r="BV455" s="1"/>
      <c r="BW455" s="1"/>
      <c r="BX455" s="656"/>
      <c r="BZ455" s="657"/>
      <c r="CA455" s="1"/>
      <c r="CB455" s="1"/>
      <c r="CC455" s="1"/>
      <c r="CD455" s="1"/>
      <c r="CE455" s="1"/>
      <c r="CF455" s="1"/>
      <c r="CG455" s="1"/>
      <c r="CH455" s="1"/>
      <c r="CP455" s="305"/>
      <c r="CR455" s="116"/>
      <c r="CZ455" s="1"/>
      <c r="DA455" s="1"/>
      <c r="DB455" s="1"/>
      <c r="DC455" s="1"/>
      <c r="DD455" s="1"/>
      <c r="DE455" s="1"/>
      <c r="DF455" s="1"/>
      <c r="DG455" s="1"/>
      <c r="DH455" s="656"/>
      <c r="DJ455" s="116"/>
    </row>
    <row r="456" spans="2:114" ht="15.75" customHeight="1" x14ac:dyDescent="0.25">
      <c r="B456" s="116"/>
      <c r="I456" s="656"/>
      <c r="K456" s="116"/>
      <c r="X456" s="1"/>
      <c r="Y456" s="1"/>
      <c r="Z456" s="1"/>
      <c r="AA456" s="1"/>
      <c r="AB456" s="656"/>
      <c r="AC456" s="1"/>
      <c r="AD456" s="116"/>
      <c r="AL456" s="656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43"/>
      <c r="BL456" s="116"/>
      <c r="BU456" s="1"/>
      <c r="BV456" s="1"/>
      <c r="BW456" s="1"/>
      <c r="BX456" s="656"/>
      <c r="BZ456" s="657"/>
      <c r="CA456" s="1"/>
      <c r="CB456" s="1"/>
      <c r="CC456" s="1"/>
      <c r="CD456" s="1"/>
      <c r="CE456" s="1"/>
      <c r="CF456" s="1"/>
      <c r="CG456" s="1"/>
      <c r="CH456" s="1"/>
      <c r="CP456" s="305"/>
      <c r="CR456" s="116"/>
      <c r="CZ456" s="1"/>
      <c r="DA456" s="1"/>
      <c r="DB456" s="1"/>
      <c r="DC456" s="1"/>
      <c r="DD456" s="1"/>
      <c r="DE456" s="1"/>
      <c r="DF456" s="1"/>
      <c r="DG456" s="1"/>
      <c r="DH456" s="656"/>
      <c r="DJ456" s="116"/>
    </row>
    <row r="457" spans="2:114" ht="15.75" customHeight="1" x14ac:dyDescent="0.25">
      <c r="B457" s="116"/>
      <c r="I457" s="656"/>
      <c r="K457" s="116"/>
      <c r="X457" s="1"/>
      <c r="Y457" s="1"/>
      <c r="Z457" s="1"/>
      <c r="AA457" s="1"/>
      <c r="AB457" s="656"/>
      <c r="AC457" s="1"/>
      <c r="AD457" s="116"/>
      <c r="AL457" s="656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43"/>
      <c r="BL457" s="116"/>
      <c r="BU457" s="1"/>
      <c r="BV457" s="1"/>
      <c r="BW457" s="1"/>
      <c r="BX457" s="656"/>
      <c r="BZ457" s="657"/>
      <c r="CA457" s="1"/>
      <c r="CB457" s="1"/>
      <c r="CC457" s="1"/>
      <c r="CD457" s="1"/>
      <c r="CE457" s="1"/>
      <c r="CF457" s="1"/>
      <c r="CG457" s="1"/>
      <c r="CH457" s="1"/>
      <c r="CP457" s="305"/>
      <c r="CR457" s="116"/>
      <c r="CZ457" s="1"/>
      <c r="DA457" s="1"/>
      <c r="DB457" s="1"/>
      <c r="DC457" s="1"/>
      <c r="DD457" s="1"/>
      <c r="DE457" s="1"/>
      <c r="DF457" s="1"/>
      <c r="DG457" s="1"/>
      <c r="DH457" s="656"/>
      <c r="DJ457" s="116"/>
    </row>
    <row r="458" spans="2:114" ht="15.75" customHeight="1" x14ac:dyDescent="0.25">
      <c r="B458" s="116"/>
      <c r="I458" s="656"/>
      <c r="K458" s="116"/>
      <c r="X458" s="1"/>
      <c r="Y458" s="1"/>
      <c r="Z458" s="1"/>
      <c r="AA458" s="1"/>
      <c r="AB458" s="656"/>
      <c r="AC458" s="1"/>
      <c r="AD458" s="116"/>
      <c r="AL458" s="656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43"/>
      <c r="BL458" s="116"/>
      <c r="BU458" s="1"/>
      <c r="BV458" s="1"/>
      <c r="BW458" s="1"/>
      <c r="BX458" s="656"/>
      <c r="BZ458" s="657"/>
      <c r="CA458" s="1"/>
      <c r="CB458" s="1"/>
      <c r="CC458" s="1"/>
      <c r="CD458" s="1"/>
      <c r="CE458" s="1"/>
      <c r="CF458" s="1"/>
      <c r="CG458" s="1"/>
      <c r="CH458" s="1"/>
      <c r="CP458" s="305"/>
      <c r="CR458" s="116"/>
      <c r="CZ458" s="1"/>
      <c r="DA458" s="1"/>
      <c r="DB458" s="1"/>
      <c r="DC458" s="1"/>
      <c r="DD458" s="1"/>
      <c r="DE458" s="1"/>
      <c r="DF458" s="1"/>
      <c r="DG458" s="1"/>
      <c r="DH458" s="656"/>
      <c r="DJ458" s="116"/>
    </row>
    <row r="459" spans="2:114" ht="15.75" customHeight="1" x14ac:dyDescent="0.25">
      <c r="B459" s="116"/>
      <c r="I459" s="656"/>
      <c r="K459" s="116"/>
      <c r="X459" s="1"/>
      <c r="Y459" s="1"/>
      <c r="Z459" s="1"/>
      <c r="AA459" s="1"/>
      <c r="AB459" s="656"/>
      <c r="AC459" s="1"/>
      <c r="AD459" s="116"/>
      <c r="AL459" s="656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43"/>
      <c r="BL459" s="116"/>
      <c r="BU459" s="1"/>
      <c r="BV459" s="1"/>
      <c r="BW459" s="1"/>
      <c r="BX459" s="656"/>
      <c r="BZ459" s="657"/>
      <c r="CA459" s="1"/>
      <c r="CB459" s="1"/>
      <c r="CC459" s="1"/>
      <c r="CD459" s="1"/>
      <c r="CE459" s="1"/>
      <c r="CF459" s="1"/>
      <c r="CG459" s="1"/>
      <c r="CH459" s="1"/>
      <c r="CP459" s="305"/>
      <c r="CR459" s="116"/>
      <c r="CZ459" s="1"/>
      <c r="DA459" s="1"/>
      <c r="DB459" s="1"/>
      <c r="DC459" s="1"/>
      <c r="DD459" s="1"/>
      <c r="DE459" s="1"/>
      <c r="DF459" s="1"/>
      <c r="DG459" s="1"/>
      <c r="DH459" s="656"/>
      <c r="DJ459" s="116"/>
    </row>
    <row r="460" spans="2:114" ht="15.75" customHeight="1" x14ac:dyDescent="0.25">
      <c r="B460" s="116"/>
      <c r="I460" s="656"/>
      <c r="K460" s="116"/>
      <c r="X460" s="1"/>
      <c r="Y460" s="1"/>
      <c r="Z460" s="1"/>
      <c r="AA460" s="1"/>
      <c r="AB460" s="656"/>
      <c r="AC460" s="1"/>
      <c r="AD460" s="116"/>
      <c r="AL460" s="656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43"/>
      <c r="BL460" s="116"/>
      <c r="BU460" s="1"/>
      <c r="BV460" s="1"/>
      <c r="BW460" s="1"/>
      <c r="BX460" s="656"/>
      <c r="BZ460" s="657"/>
      <c r="CA460" s="1"/>
      <c r="CB460" s="1"/>
      <c r="CC460" s="1"/>
      <c r="CD460" s="1"/>
      <c r="CE460" s="1"/>
      <c r="CF460" s="1"/>
      <c r="CG460" s="1"/>
      <c r="CH460" s="1"/>
      <c r="CP460" s="305"/>
      <c r="CR460" s="116"/>
      <c r="CZ460" s="1"/>
      <c r="DA460" s="1"/>
      <c r="DB460" s="1"/>
      <c r="DC460" s="1"/>
      <c r="DD460" s="1"/>
      <c r="DE460" s="1"/>
      <c r="DF460" s="1"/>
      <c r="DG460" s="1"/>
      <c r="DH460" s="656"/>
      <c r="DJ460" s="116"/>
    </row>
    <row r="461" spans="2:114" ht="15.75" customHeight="1" x14ac:dyDescent="0.25">
      <c r="B461" s="116"/>
      <c r="I461" s="656"/>
      <c r="K461" s="116"/>
      <c r="X461" s="1"/>
      <c r="Y461" s="1"/>
      <c r="Z461" s="1"/>
      <c r="AA461" s="1"/>
      <c r="AB461" s="656"/>
      <c r="AC461" s="1"/>
      <c r="AD461" s="116"/>
      <c r="AL461" s="656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43"/>
      <c r="BL461" s="116"/>
      <c r="BU461" s="1"/>
      <c r="BV461" s="1"/>
      <c r="BW461" s="1"/>
      <c r="BX461" s="656"/>
      <c r="BZ461" s="657"/>
      <c r="CA461" s="1"/>
      <c r="CB461" s="1"/>
      <c r="CC461" s="1"/>
      <c r="CD461" s="1"/>
      <c r="CE461" s="1"/>
      <c r="CF461" s="1"/>
      <c r="CG461" s="1"/>
      <c r="CH461" s="1"/>
      <c r="CP461" s="305"/>
      <c r="CR461" s="116"/>
      <c r="CZ461" s="1"/>
      <c r="DA461" s="1"/>
      <c r="DB461" s="1"/>
      <c r="DC461" s="1"/>
      <c r="DD461" s="1"/>
      <c r="DE461" s="1"/>
      <c r="DF461" s="1"/>
      <c r="DG461" s="1"/>
      <c r="DH461" s="656"/>
      <c r="DJ461" s="116"/>
    </row>
    <row r="462" spans="2:114" ht="15.75" customHeight="1" x14ac:dyDescent="0.25">
      <c r="B462" s="116"/>
      <c r="I462" s="656"/>
      <c r="K462" s="116"/>
      <c r="X462" s="1"/>
      <c r="Y462" s="1"/>
      <c r="Z462" s="1"/>
      <c r="AA462" s="1"/>
      <c r="AB462" s="656"/>
      <c r="AC462" s="1"/>
      <c r="AD462" s="116"/>
      <c r="AL462" s="656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43"/>
      <c r="BL462" s="116"/>
      <c r="BU462" s="1"/>
      <c r="BV462" s="1"/>
      <c r="BW462" s="1"/>
      <c r="BX462" s="656"/>
      <c r="BZ462" s="657"/>
      <c r="CA462" s="1"/>
      <c r="CB462" s="1"/>
      <c r="CC462" s="1"/>
      <c r="CD462" s="1"/>
      <c r="CE462" s="1"/>
      <c r="CF462" s="1"/>
      <c r="CG462" s="1"/>
      <c r="CH462" s="1"/>
      <c r="CP462" s="305"/>
      <c r="CR462" s="116"/>
      <c r="CZ462" s="1"/>
      <c r="DA462" s="1"/>
      <c r="DB462" s="1"/>
      <c r="DC462" s="1"/>
      <c r="DD462" s="1"/>
      <c r="DE462" s="1"/>
      <c r="DF462" s="1"/>
      <c r="DG462" s="1"/>
      <c r="DH462" s="656"/>
      <c r="DJ462" s="116"/>
    </row>
    <row r="463" spans="2:114" ht="15.75" customHeight="1" x14ac:dyDescent="0.25">
      <c r="B463" s="116"/>
      <c r="I463" s="656"/>
      <c r="K463" s="116"/>
      <c r="X463" s="1"/>
      <c r="Y463" s="1"/>
      <c r="Z463" s="1"/>
      <c r="AA463" s="1"/>
      <c r="AB463" s="656"/>
      <c r="AC463" s="1"/>
      <c r="AD463" s="116"/>
      <c r="AL463" s="656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43"/>
      <c r="BL463" s="116"/>
      <c r="BU463" s="1"/>
      <c r="BV463" s="1"/>
      <c r="BW463" s="1"/>
      <c r="BX463" s="656"/>
      <c r="BZ463" s="657"/>
      <c r="CA463" s="1"/>
      <c r="CB463" s="1"/>
      <c r="CC463" s="1"/>
      <c r="CD463" s="1"/>
      <c r="CE463" s="1"/>
      <c r="CF463" s="1"/>
      <c r="CG463" s="1"/>
      <c r="CH463" s="1"/>
      <c r="CP463" s="305"/>
      <c r="CR463" s="116"/>
      <c r="CZ463" s="1"/>
      <c r="DA463" s="1"/>
      <c r="DB463" s="1"/>
      <c r="DC463" s="1"/>
      <c r="DD463" s="1"/>
      <c r="DE463" s="1"/>
      <c r="DF463" s="1"/>
      <c r="DG463" s="1"/>
      <c r="DH463" s="656"/>
      <c r="DJ463" s="116"/>
    </row>
    <row r="464" spans="2:114" ht="15.75" customHeight="1" x14ac:dyDescent="0.25">
      <c r="B464" s="116"/>
      <c r="I464" s="656"/>
      <c r="K464" s="116"/>
      <c r="X464" s="1"/>
      <c r="Y464" s="1"/>
      <c r="Z464" s="1"/>
      <c r="AA464" s="1"/>
      <c r="AB464" s="656"/>
      <c r="AC464" s="1"/>
      <c r="AD464" s="116"/>
      <c r="AL464" s="656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43"/>
      <c r="BL464" s="116"/>
      <c r="BU464" s="1"/>
      <c r="BV464" s="1"/>
      <c r="BW464" s="1"/>
      <c r="BX464" s="656"/>
      <c r="BZ464" s="657"/>
      <c r="CA464" s="1"/>
      <c r="CB464" s="1"/>
      <c r="CC464" s="1"/>
      <c r="CD464" s="1"/>
      <c r="CE464" s="1"/>
      <c r="CF464" s="1"/>
      <c r="CG464" s="1"/>
      <c r="CH464" s="1"/>
      <c r="CP464" s="305"/>
      <c r="CR464" s="116"/>
      <c r="CZ464" s="1"/>
      <c r="DA464" s="1"/>
      <c r="DB464" s="1"/>
      <c r="DC464" s="1"/>
      <c r="DD464" s="1"/>
      <c r="DE464" s="1"/>
      <c r="DF464" s="1"/>
      <c r="DG464" s="1"/>
      <c r="DH464" s="656"/>
      <c r="DJ464" s="116"/>
    </row>
    <row r="465" spans="2:114" ht="15.75" customHeight="1" x14ac:dyDescent="0.25">
      <c r="B465" s="116"/>
      <c r="I465" s="656"/>
      <c r="K465" s="116"/>
      <c r="X465" s="1"/>
      <c r="Y465" s="1"/>
      <c r="Z465" s="1"/>
      <c r="AA465" s="1"/>
      <c r="AB465" s="656"/>
      <c r="AC465" s="1"/>
      <c r="AD465" s="116"/>
      <c r="AL465" s="656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43"/>
      <c r="BL465" s="116"/>
      <c r="BU465" s="1"/>
      <c r="BV465" s="1"/>
      <c r="BW465" s="1"/>
      <c r="BX465" s="656"/>
      <c r="BZ465" s="657"/>
      <c r="CA465" s="1"/>
      <c r="CB465" s="1"/>
      <c r="CC465" s="1"/>
      <c r="CD465" s="1"/>
      <c r="CE465" s="1"/>
      <c r="CF465" s="1"/>
      <c r="CG465" s="1"/>
      <c r="CH465" s="1"/>
      <c r="CP465" s="305"/>
      <c r="CR465" s="116"/>
      <c r="CZ465" s="1"/>
      <c r="DA465" s="1"/>
      <c r="DB465" s="1"/>
      <c r="DC465" s="1"/>
      <c r="DD465" s="1"/>
      <c r="DE465" s="1"/>
      <c r="DF465" s="1"/>
      <c r="DG465" s="1"/>
      <c r="DH465" s="656"/>
      <c r="DJ465" s="116"/>
    </row>
    <row r="466" spans="2:114" ht="15.75" customHeight="1" x14ac:dyDescent="0.25">
      <c r="B466" s="116"/>
      <c r="I466" s="656"/>
      <c r="K466" s="116"/>
      <c r="X466" s="1"/>
      <c r="Y466" s="1"/>
      <c r="Z466" s="1"/>
      <c r="AA466" s="1"/>
      <c r="AB466" s="656"/>
      <c r="AC466" s="1"/>
      <c r="AD466" s="116"/>
      <c r="AL466" s="656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43"/>
      <c r="BL466" s="116"/>
      <c r="BU466" s="1"/>
      <c r="BV466" s="1"/>
      <c r="BW466" s="1"/>
      <c r="BX466" s="656"/>
      <c r="BZ466" s="657"/>
      <c r="CA466" s="1"/>
      <c r="CB466" s="1"/>
      <c r="CC466" s="1"/>
      <c r="CD466" s="1"/>
      <c r="CE466" s="1"/>
      <c r="CF466" s="1"/>
      <c r="CG466" s="1"/>
      <c r="CH466" s="1"/>
      <c r="CP466" s="305"/>
      <c r="CR466" s="116"/>
      <c r="CZ466" s="1"/>
      <c r="DA466" s="1"/>
      <c r="DB466" s="1"/>
      <c r="DC466" s="1"/>
      <c r="DD466" s="1"/>
      <c r="DE466" s="1"/>
      <c r="DF466" s="1"/>
      <c r="DG466" s="1"/>
      <c r="DH466" s="656"/>
      <c r="DJ466" s="116"/>
    </row>
    <row r="467" spans="2:114" ht="15.75" customHeight="1" x14ac:dyDescent="0.25">
      <c r="B467" s="116"/>
      <c r="I467" s="656"/>
      <c r="K467" s="116"/>
      <c r="X467" s="1"/>
      <c r="Y467" s="1"/>
      <c r="Z467" s="1"/>
      <c r="AA467" s="1"/>
      <c r="AB467" s="656"/>
      <c r="AC467" s="1"/>
      <c r="AD467" s="116"/>
      <c r="AL467" s="656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43"/>
      <c r="BL467" s="116"/>
      <c r="BU467" s="1"/>
      <c r="BV467" s="1"/>
      <c r="BW467" s="1"/>
      <c r="BX467" s="656"/>
      <c r="BZ467" s="657"/>
      <c r="CA467" s="1"/>
      <c r="CB467" s="1"/>
      <c r="CC467" s="1"/>
      <c r="CD467" s="1"/>
      <c r="CE467" s="1"/>
      <c r="CF467" s="1"/>
      <c r="CG467" s="1"/>
      <c r="CH467" s="1"/>
      <c r="CP467" s="305"/>
      <c r="CR467" s="116"/>
      <c r="CZ467" s="1"/>
      <c r="DA467" s="1"/>
      <c r="DB467" s="1"/>
      <c r="DC467" s="1"/>
      <c r="DD467" s="1"/>
      <c r="DE467" s="1"/>
      <c r="DF467" s="1"/>
      <c r="DG467" s="1"/>
      <c r="DH467" s="656"/>
      <c r="DJ467" s="116"/>
    </row>
    <row r="468" spans="2:114" ht="15.75" customHeight="1" x14ac:dyDescent="0.25">
      <c r="B468" s="116"/>
      <c r="I468" s="656"/>
      <c r="K468" s="116"/>
      <c r="X468" s="1"/>
      <c r="Y468" s="1"/>
      <c r="Z468" s="1"/>
      <c r="AA468" s="1"/>
      <c r="AB468" s="656"/>
      <c r="AC468" s="1"/>
      <c r="AD468" s="116"/>
      <c r="AL468" s="656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43"/>
      <c r="BL468" s="116"/>
      <c r="BU468" s="1"/>
      <c r="BV468" s="1"/>
      <c r="BW468" s="1"/>
      <c r="BX468" s="656"/>
      <c r="BZ468" s="657"/>
      <c r="CA468" s="1"/>
      <c r="CB468" s="1"/>
      <c r="CC468" s="1"/>
      <c r="CD468" s="1"/>
      <c r="CE468" s="1"/>
      <c r="CF468" s="1"/>
      <c r="CG468" s="1"/>
      <c r="CH468" s="1"/>
      <c r="CP468" s="305"/>
      <c r="CR468" s="116"/>
      <c r="CZ468" s="1"/>
      <c r="DA468" s="1"/>
      <c r="DB468" s="1"/>
      <c r="DC468" s="1"/>
      <c r="DD468" s="1"/>
      <c r="DE468" s="1"/>
      <c r="DF468" s="1"/>
      <c r="DG468" s="1"/>
      <c r="DH468" s="656"/>
      <c r="DJ468" s="116"/>
    </row>
    <row r="469" spans="2:114" ht="15.75" customHeight="1" x14ac:dyDescent="0.25">
      <c r="B469" s="116"/>
      <c r="I469" s="656"/>
      <c r="K469" s="116"/>
      <c r="X469" s="1"/>
      <c r="Y469" s="1"/>
      <c r="Z469" s="1"/>
      <c r="AA469" s="1"/>
      <c r="AB469" s="656"/>
      <c r="AC469" s="1"/>
      <c r="AD469" s="116"/>
      <c r="AL469" s="656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43"/>
      <c r="BL469" s="116"/>
      <c r="BU469" s="1"/>
      <c r="BV469" s="1"/>
      <c r="BW469" s="1"/>
      <c r="BX469" s="656"/>
      <c r="BZ469" s="657"/>
      <c r="CA469" s="1"/>
      <c r="CB469" s="1"/>
      <c r="CC469" s="1"/>
      <c r="CD469" s="1"/>
      <c r="CE469" s="1"/>
      <c r="CF469" s="1"/>
      <c r="CG469" s="1"/>
      <c r="CH469" s="1"/>
      <c r="CP469" s="305"/>
      <c r="CR469" s="116"/>
      <c r="CZ469" s="1"/>
      <c r="DA469" s="1"/>
      <c r="DB469" s="1"/>
      <c r="DC469" s="1"/>
      <c r="DD469" s="1"/>
      <c r="DE469" s="1"/>
      <c r="DF469" s="1"/>
      <c r="DG469" s="1"/>
      <c r="DH469" s="656"/>
      <c r="DJ469" s="116"/>
    </row>
    <row r="470" spans="2:114" ht="15.75" customHeight="1" x14ac:dyDescent="0.25">
      <c r="B470" s="116"/>
      <c r="I470" s="656"/>
      <c r="K470" s="116"/>
      <c r="X470" s="1"/>
      <c r="Y470" s="1"/>
      <c r="Z470" s="1"/>
      <c r="AA470" s="1"/>
      <c r="AB470" s="656"/>
      <c r="AC470" s="1"/>
      <c r="AD470" s="116"/>
      <c r="AL470" s="656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43"/>
      <c r="BL470" s="116"/>
      <c r="BU470" s="1"/>
      <c r="BV470" s="1"/>
      <c r="BW470" s="1"/>
      <c r="BX470" s="656"/>
      <c r="BZ470" s="657"/>
      <c r="CA470" s="1"/>
      <c r="CB470" s="1"/>
      <c r="CC470" s="1"/>
      <c r="CD470" s="1"/>
      <c r="CE470" s="1"/>
      <c r="CF470" s="1"/>
      <c r="CG470" s="1"/>
      <c r="CH470" s="1"/>
      <c r="CP470" s="305"/>
      <c r="CR470" s="116"/>
      <c r="CZ470" s="1"/>
      <c r="DA470" s="1"/>
      <c r="DB470" s="1"/>
      <c r="DC470" s="1"/>
      <c r="DD470" s="1"/>
      <c r="DE470" s="1"/>
      <c r="DF470" s="1"/>
      <c r="DG470" s="1"/>
      <c r="DH470" s="656"/>
      <c r="DJ470" s="116"/>
    </row>
    <row r="471" spans="2:114" ht="15.75" customHeight="1" x14ac:dyDescent="0.25">
      <c r="B471" s="116"/>
      <c r="I471" s="656"/>
      <c r="K471" s="116"/>
      <c r="X471" s="1"/>
      <c r="Y471" s="1"/>
      <c r="Z471" s="1"/>
      <c r="AA471" s="1"/>
      <c r="AB471" s="656"/>
      <c r="AC471" s="1"/>
      <c r="AD471" s="116"/>
      <c r="AL471" s="656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43"/>
      <c r="BL471" s="116"/>
      <c r="BU471" s="1"/>
      <c r="BV471" s="1"/>
      <c r="BW471" s="1"/>
      <c r="BX471" s="656"/>
      <c r="BZ471" s="657"/>
      <c r="CA471" s="1"/>
      <c r="CB471" s="1"/>
      <c r="CC471" s="1"/>
      <c r="CD471" s="1"/>
      <c r="CE471" s="1"/>
      <c r="CF471" s="1"/>
      <c r="CG471" s="1"/>
      <c r="CH471" s="1"/>
      <c r="CP471" s="305"/>
      <c r="CR471" s="116"/>
      <c r="CZ471" s="1"/>
      <c r="DA471" s="1"/>
      <c r="DB471" s="1"/>
      <c r="DC471" s="1"/>
      <c r="DD471" s="1"/>
      <c r="DE471" s="1"/>
      <c r="DF471" s="1"/>
      <c r="DG471" s="1"/>
      <c r="DH471" s="656"/>
      <c r="DJ471" s="116"/>
    </row>
    <row r="472" spans="2:114" ht="15.75" customHeight="1" x14ac:dyDescent="0.25">
      <c r="B472" s="116"/>
      <c r="I472" s="656"/>
      <c r="K472" s="116"/>
      <c r="X472" s="1"/>
      <c r="Y472" s="1"/>
      <c r="Z472" s="1"/>
      <c r="AA472" s="1"/>
      <c r="AB472" s="656"/>
      <c r="AC472" s="1"/>
      <c r="AD472" s="116"/>
      <c r="AL472" s="656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43"/>
      <c r="BL472" s="116"/>
      <c r="BU472" s="1"/>
      <c r="BV472" s="1"/>
      <c r="BW472" s="1"/>
      <c r="BX472" s="656"/>
      <c r="BZ472" s="657"/>
      <c r="CA472" s="1"/>
      <c r="CB472" s="1"/>
      <c r="CC472" s="1"/>
      <c r="CD472" s="1"/>
      <c r="CE472" s="1"/>
      <c r="CF472" s="1"/>
      <c r="CG472" s="1"/>
      <c r="CH472" s="1"/>
      <c r="CP472" s="305"/>
      <c r="CR472" s="116"/>
      <c r="CZ472" s="1"/>
      <c r="DA472" s="1"/>
      <c r="DB472" s="1"/>
      <c r="DC472" s="1"/>
      <c r="DD472" s="1"/>
      <c r="DE472" s="1"/>
      <c r="DF472" s="1"/>
      <c r="DG472" s="1"/>
      <c r="DH472" s="656"/>
      <c r="DJ472" s="116"/>
    </row>
    <row r="473" spans="2:114" ht="15.75" customHeight="1" x14ac:dyDescent="0.25">
      <c r="B473" s="116"/>
      <c r="I473" s="656"/>
      <c r="K473" s="116"/>
      <c r="X473" s="1"/>
      <c r="Y473" s="1"/>
      <c r="Z473" s="1"/>
      <c r="AA473" s="1"/>
      <c r="AB473" s="656"/>
      <c r="AC473" s="1"/>
      <c r="AD473" s="116"/>
      <c r="AL473" s="656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43"/>
      <c r="BL473" s="116"/>
      <c r="BU473" s="1"/>
      <c r="BV473" s="1"/>
      <c r="BW473" s="1"/>
      <c r="BX473" s="656"/>
      <c r="BZ473" s="657"/>
      <c r="CA473" s="1"/>
      <c r="CB473" s="1"/>
      <c r="CC473" s="1"/>
      <c r="CD473" s="1"/>
      <c r="CE473" s="1"/>
      <c r="CF473" s="1"/>
      <c r="CG473" s="1"/>
      <c r="CH473" s="1"/>
      <c r="CP473" s="305"/>
      <c r="CR473" s="116"/>
      <c r="CZ473" s="1"/>
      <c r="DA473" s="1"/>
      <c r="DB473" s="1"/>
      <c r="DC473" s="1"/>
      <c r="DD473" s="1"/>
      <c r="DE473" s="1"/>
      <c r="DF473" s="1"/>
      <c r="DG473" s="1"/>
      <c r="DH473" s="656"/>
      <c r="DJ473" s="116"/>
    </row>
    <row r="474" spans="2:114" ht="15.75" customHeight="1" x14ac:dyDescent="0.25">
      <c r="B474" s="116"/>
      <c r="I474" s="656"/>
      <c r="K474" s="116"/>
      <c r="X474" s="1"/>
      <c r="Y474" s="1"/>
      <c r="Z474" s="1"/>
      <c r="AA474" s="1"/>
      <c r="AB474" s="656"/>
      <c r="AC474" s="1"/>
      <c r="AD474" s="116"/>
      <c r="AL474" s="656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43"/>
      <c r="BL474" s="116"/>
      <c r="BU474" s="1"/>
      <c r="BV474" s="1"/>
      <c r="BW474" s="1"/>
      <c r="BX474" s="656"/>
      <c r="BZ474" s="657"/>
      <c r="CA474" s="1"/>
      <c r="CB474" s="1"/>
      <c r="CC474" s="1"/>
      <c r="CD474" s="1"/>
      <c r="CE474" s="1"/>
      <c r="CF474" s="1"/>
      <c r="CG474" s="1"/>
      <c r="CH474" s="1"/>
      <c r="CP474" s="305"/>
      <c r="CR474" s="116"/>
      <c r="CZ474" s="1"/>
      <c r="DA474" s="1"/>
      <c r="DB474" s="1"/>
      <c r="DC474" s="1"/>
      <c r="DD474" s="1"/>
      <c r="DE474" s="1"/>
      <c r="DF474" s="1"/>
      <c r="DG474" s="1"/>
      <c r="DH474" s="656"/>
      <c r="DJ474" s="116"/>
    </row>
    <row r="475" spans="2:114" ht="15.75" customHeight="1" x14ac:dyDescent="0.25">
      <c r="B475" s="116"/>
      <c r="I475" s="656"/>
      <c r="K475" s="116"/>
      <c r="X475" s="1"/>
      <c r="Y475" s="1"/>
      <c r="Z475" s="1"/>
      <c r="AA475" s="1"/>
      <c r="AB475" s="656"/>
      <c r="AC475" s="1"/>
      <c r="AD475" s="116"/>
      <c r="AL475" s="656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43"/>
      <c r="BL475" s="116"/>
      <c r="BU475" s="1"/>
      <c r="BV475" s="1"/>
      <c r="BW475" s="1"/>
      <c r="BX475" s="656"/>
      <c r="BZ475" s="657"/>
      <c r="CA475" s="1"/>
      <c r="CB475" s="1"/>
      <c r="CC475" s="1"/>
      <c r="CD475" s="1"/>
      <c r="CE475" s="1"/>
      <c r="CF475" s="1"/>
      <c r="CG475" s="1"/>
      <c r="CH475" s="1"/>
      <c r="CP475" s="305"/>
      <c r="CR475" s="116"/>
      <c r="CZ475" s="1"/>
      <c r="DA475" s="1"/>
      <c r="DB475" s="1"/>
      <c r="DC475" s="1"/>
      <c r="DD475" s="1"/>
      <c r="DE475" s="1"/>
      <c r="DF475" s="1"/>
      <c r="DG475" s="1"/>
      <c r="DH475" s="656"/>
      <c r="DJ475" s="116"/>
    </row>
    <row r="476" spans="2:114" ht="15.75" customHeight="1" x14ac:dyDescent="0.25">
      <c r="B476" s="116"/>
      <c r="I476" s="656"/>
      <c r="K476" s="116"/>
      <c r="X476" s="1"/>
      <c r="Y476" s="1"/>
      <c r="Z476" s="1"/>
      <c r="AA476" s="1"/>
      <c r="AB476" s="656"/>
      <c r="AC476" s="1"/>
      <c r="AD476" s="116"/>
      <c r="AL476" s="656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43"/>
      <c r="BL476" s="116"/>
      <c r="BU476" s="1"/>
      <c r="BV476" s="1"/>
      <c r="BW476" s="1"/>
      <c r="BX476" s="656"/>
      <c r="BZ476" s="657"/>
      <c r="CA476" s="1"/>
      <c r="CB476" s="1"/>
      <c r="CC476" s="1"/>
      <c r="CD476" s="1"/>
      <c r="CE476" s="1"/>
      <c r="CF476" s="1"/>
      <c r="CG476" s="1"/>
      <c r="CH476" s="1"/>
      <c r="CP476" s="305"/>
      <c r="CR476" s="116"/>
      <c r="CZ476" s="1"/>
      <c r="DA476" s="1"/>
      <c r="DB476" s="1"/>
      <c r="DC476" s="1"/>
      <c r="DD476" s="1"/>
      <c r="DE476" s="1"/>
      <c r="DF476" s="1"/>
      <c r="DG476" s="1"/>
      <c r="DH476" s="656"/>
      <c r="DJ476" s="116"/>
    </row>
    <row r="477" spans="2:114" ht="15.75" customHeight="1" x14ac:dyDescent="0.25">
      <c r="B477" s="116"/>
      <c r="I477" s="656"/>
      <c r="K477" s="116"/>
      <c r="X477" s="1"/>
      <c r="Y477" s="1"/>
      <c r="Z477" s="1"/>
      <c r="AA477" s="1"/>
      <c r="AB477" s="656"/>
      <c r="AC477" s="1"/>
      <c r="AD477" s="116"/>
      <c r="AL477" s="656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43"/>
      <c r="BL477" s="116"/>
      <c r="BU477" s="1"/>
      <c r="BV477" s="1"/>
      <c r="BW477" s="1"/>
      <c r="BX477" s="656"/>
      <c r="BZ477" s="657"/>
      <c r="CA477" s="1"/>
      <c r="CB477" s="1"/>
      <c r="CC477" s="1"/>
      <c r="CD477" s="1"/>
      <c r="CE477" s="1"/>
      <c r="CF477" s="1"/>
      <c r="CG477" s="1"/>
      <c r="CH477" s="1"/>
      <c r="CP477" s="305"/>
      <c r="CR477" s="116"/>
      <c r="CZ477" s="1"/>
      <c r="DA477" s="1"/>
      <c r="DB477" s="1"/>
      <c r="DC477" s="1"/>
      <c r="DD477" s="1"/>
      <c r="DE477" s="1"/>
      <c r="DF477" s="1"/>
      <c r="DG477" s="1"/>
      <c r="DH477" s="656"/>
      <c r="DJ477" s="116"/>
    </row>
    <row r="478" spans="2:114" ht="15.75" customHeight="1" x14ac:dyDescent="0.25">
      <c r="B478" s="116"/>
      <c r="I478" s="656"/>
      <c r="K478" s="116"/>
      <c r="X478" s="1"/>
      <c r="Y478" s="1"/>
      <c r="Z478" s="1"/>
      <c r="AA478" s="1"/>
      <c r="AB478" s="656"/>
      <c r="AC478" s="1"/>
      <c r="AD478" s="116"/>
      <c r="AL478" s="656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43"/>
      <c r="BL478" s="116"/>
      <c r="BU478" s="1"/>
      <c r="BV478" s="1"/>
      <c r="BW478" s="1"/>
      <c r="BX478" s="656"/>
      <c r="BZ478" s="657"/>
      <c r="CA478" s="1"/>
      <c r="CB478" s="1"/>
      <c r="CC478" s="1"/>
      <c r="CD478" s="1"/>
      <c r="CE478" s="1"/>
      <c r="CF478" s="1"/>
      <c r="CG478" s="1"/>
      <c r="CH478" s="1"/>
      <c r="CP478" s="305"/>
      <c r="CR478" s="116"/>
      <c r="CZ478" s="1"/>
      <c r="DA478" s="1"/>
      <c r="DB478" s="1"/>
      <c r="DC478" s="1"/>
      <c r="DD478" s="1"/>
      <c r="DE478" s="1"/>
      <c r="DF478" s="1"/>
      <c r="DG478" s="1"/>
      <c r="DH478" s="656"/>
      <c r="DJ478" s="116"/>
    </row>
    <row r="479" spans="2:114" ht="15.75" customHeight="1" x14ac:dyDescent="0.25">
      <c r="B479" s="116"/>
      <c r="I479" s="656"/>
      <c r="K479" s="116"/>
      <c r="X479" s="1"/>
      <c r="Y479" s="1"/>
      <c r="Z479" s="1"/>
      <c r="AA479" s="1"/>
      <c r="AB479" s="656"/>
      <c r="AC479" s="1"/>
      <c r="AD479" s="116"/>
      <c r="AL479" s="656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43"/>
      <c r="BL479" s="116"/>
      <c r="BU479" s="1"/>
      <c r="BV479" s="1"/>
      <c r="BW479" s="1"/>
      <c r="BX479" s="656"/>
      <c r="BZ479" s="657"/>
      <c r="CA479" s="1"/>
      <c r="CB479" s="1"/>
      <c r="CC479" s="1"/>
      <c r="CD479" s="1"/>
      <c r="CE479" s="1"/>
      <c r="CF479" s="1"/>
      <c r="CG479" s="1"/>
      <c r="CH479" s="1"/>
      <c r="CP479" s="305"/>
      <c r="CR479" s="116"/>
      <c r="CZ479" s="1"/>
      <c r="DA479" s="1"/>
      <c r="DB479" s="1"/>
      <c r="DC479" s="1"/>
      <c r="DD479" s="1"/>
      <c r="DE479" s="1"/>
      <c r="DF479" s="1"/>
      <c r="DG479" s="1"/>
      <c r="DH479" s="656"/>
      <c r="DJ479" s="116"/>
    </row>
    <row r="480" spans="2:114" ht="15.75" customHeight="1" x14ac:dyDescent="0.25">
      <c r="B480" s="116"/>
      <c r="I480" s="656"/>
      <c r="K480" s="116"/>
      <c r="X480" s="1"/>
      <c r="Y480" s="1"/>
      <c r="Z480" s="1"/>
      <c r="AA480" s="1"/>
      <c r="AB480" s="656"/>
      <c r="AC480" s="1"/>
      <c r="AD480" s="116"/>
      <c r="AL480" s="656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43"/>
      <c r="BL480" s="116"/>
      <c r="BU480" s="1"/>
      <c r="BV480" s="1"/>
      <c r="BW480" s="1"/>
      <c r="BX480" s="656"/>
      <c r="BZ480" s="657"/>
      <c r="CA480" s="1"/>
      <c r="CB480" s="1"/>
      <c r="CC480" s="1"/>
      <c r="CD480" s="1"/>
      <c r="CE480" s="1"/>
      <c r="CF480" s="1"/>
      <c r="CG480" s="1"/>
      <c r="CH480" s="1"/>
      <c r="CP480" s="305"/>
      <c r="CR480" s="116"/>
      <c r="CZ480" s="1"/>
      <c r="DA480" s="1"/>
      <c r="DB480" s="1"/>
      <c r="DC480" s="1"/>
      <c r="DD480" s="1"/>
      <c r="DE480" s="1"/>
      <c r="DF480" s="1"/>
      <c r="DG480" s="1"/>
      <c r="DH480" s="656"/>
      <c r="DJ480" s="116"/>
    </row>
    <row r="481" spans="2:114" ht="15.75" customHeight="1" x14ac:dyDescent="0.25">
      <c r="B481" s="116"/>
      <c r="I481" s="656"/>
      <c r="K481" s="116"/>
      <c r="X481" s="1"/>
      <c r="Y481" s="1"/>
      <c r="Z481" s="1"/>
      <c r="AA481" s="1"/>
      <c r="AB481" s="656"/>
      <c r="AC481" s="1"/>
      <c r="AD481" s="116"/>
      <c r="AL481" s="656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43"/>
      <c r="BL481" s="116"/>
      <c r="BU481" s="1"/>
      <c r="BV481" s="1"/>
      <c r="BW481" s="1"/>
      <c r="BX481" s="656"/>
      <c r="BZ481" s="657"/>
      <c r="CA481" s="1"/>
      <c r="CB481" s="1"/>
      <c r="CC481" s="1"/>
      <c r="CD481" s="1"/>
      <c r="CE481" s="1"/>
      <c r="CF481" s="1"/>
      <c r="CG481" s="1"/>
      <c r="CH481" s="1"/>
      <c r="CP481" s="305"/>
      <c r="CR481" s="116"/>
      <c r="CZ481" s="1"/>
      <c r="DA481" s="1"/>
      <c r="DB481" s="1"/>
      <c r="DC481" s="1"/>
      <c r="DD481" s="1"/>
      <c r="DE481" s="1"/>
      <c r="DF481" s="1"/>
      <c r="DG481" s="1"/>
      <c r="DH481" s="656"/>
      <c r="DJ481" s="116"/>
    </row>
    <row r="482" spans="2:114" ht="15.75" customHeight="1" x14ac:dyDescent="0.25">
      <c r="B482" s="116"/>
      <c r="I482" s="656"/>
      <c r="K482" s="116"/>
      <c r="X482" s="1"/>
      <c r="Y482" s="1"/>
      <c r="Z482" s="1"/>
      <c r="AA482" s="1"/>
      <c r="AB482" s="656"/>
      <c r="AC482" s="1"/>
      <c r="AD482" s="116"/>
      <c r="AL482" s="656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43"/>
      <c r="BL482" s="116"/>
      <c r="BU482" s="1"/>
      <c r="BV482" s="1"/>
      <c r="BW482" s="1"/>
      <c r="BX482" s="656"/>
      <c r="BZ482" s="657"/>
      <c r="CA482" s="1"/>
      <c r="CB482" s="1"/>
      <c r="CC482" s="1"/>
      <c r="CD482" s="1"/>
      <c r="CE482" s="1"/>
      <c r="CF482" s="1"/>
      <c r="CG482" s="1"/>
      <c r="CH482" s="1"/>
      <c r="CP482" s="305"/>
      <c r="CR482" s="116"/>
      <c r="CZ482" s="1"/>
      <c r="DA482" s="1"/>
      <c r="DB482" s="1"/>
      <c r="DC482" s="1"/>
      <c r="DD482" s="1"/>
      <c r="DE482" s="1"/>
      <c r="DF482" s="1"/>
      <c r="DG482" s="1"/>
      <c r="DH482" s="656"/>
      <c r="DJ482" s="116"/>
    </row>
    <row r="483" spans="2:114" ht="15.75" customHeight="1" x14ac:dyDescent="0.25">
      <c r="B483" s="116"/>
      <c r="I483" s="656"/>
      <c r="K483" s="116"/>
      <c r="X483" s="1"/>
      <c r="Y483" s="1"/>
      <c r="Z483" s="1"/>
      <c r="AA483" s="1"/>
      <c r="AB483" s="656"/>
      <c r="AC483" s="1"/>
      <c r="AD483" s="116"/>
      <c r="AL483" s="656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43"/>
      <c r="BL483" s="116"/>
      <c r="BU483" s="1"/>
      <c r="BV483" s="1"/>
      <c r="BW483" s="1"/>
      <c r="BX483" s="656"/>
      <c r="BZ483" s="657"/>
      <c r="CA483" s="1"/>
      <c r="CB483" s="1"/>
      <c r="CC483" s="1"/>
      <c r="CD483" s="1"/>
      <c r="CE483" s="1"/>
      <c r="CF483" s="1"/>
      <c r="CG483" s="1"/>
      <c r="CH483" s="1"/>
      <c r="CP483" s="305"/>
      <c r="CR483" s="116"/>
      <c r="CZ483" s="1"/>
      <c r="DA483" s="1"/>
      <c r="DB483" s="1"/>
      <c r="DC483" s="1"/>
      <c r="DD483" s="1"/>
      <c r="DE483" s="1"/>
      <c r="DF483" s="1"/>
      <c r="DG483" s="1"/>
      <c r="DH483" s="656"/>
      <c r="DJ483" s="116"/>
    </row>
    <row r="484" spans="2:114" ht="15.75" customHeight="1" x14ac:dyDescent="0.25">
      <c r="B484" s="116"/>
      <c r="I484" s="656"/>
      <c r="K484" s="116"/>
      <c r="X484" s="1"/>
      <c r="Y484" s="1"/>
      <c r="Z484" s="1"/>
      <c r="AA484" s="1"/>
      <c r="AB484" s="656"/>
      <c r="AC484" s="1"/>
      <c r="AD484" s="116"/>
      <c r="AL484" s="656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43"/>
      <c r="BL484" s="116"/>
      <c r="BU484" s="1"/>
      <c r="BV484" s="1"/>
      <c r="BW484" s="1"/>
      <c r="BX484" s="656"/>
      <c r="BZ484" s="657"/>
      <c r="CA484" s="1"/>
      <c r="CB484" s="1"/>
      <c r="CC484" s="1"/>
      <c r="CD484" s="1"/>
      <c r="CE484" s="1"/>
      <c r="CF484" s="1"/>
      <c r="CG484" s="1"/>
      <c r="CH484" s="1"/>
      <c r="CP484" s="305"/>
      <c r="CR484" s="116"/>
      <c r="CZ484" s="1"/>
      <c r="DA484" s="1"/>
      <c r="DB484" s="1"/>
      <c r="DC484" s="1"/>
      <c r="DD484" s="1"/>
      <c r="DE484" s="1"/>
      <c r="DF484" s="1"/>
      <c r="DG484" s="1"/>
      <c r="DH484" s="656"/>
      <c r="DJ484" s="116"/>
    </row>
    <row r="485" spans="2:114" ht="15.75" customHeight="1" x14ac:dyDescent="0.25">
      <c r="B485" s="116"/>
      <c r="I485" s="656"/>
      <c r="K485" s="116"/>
      <c r="X485" s="1"/>
      <c r="Y485" s="1"/>
      <c r="Z485" s="1"/>
      <c r="AA485" s="1"/>
      <c r="AB485" s="656"/>
      <c r="AC485" s="1"/>
      <c r="AD485" s="116"/>
      <c r="AL485" s="656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43"/>
      <c r="BL485" s="116"/>
      <c r="BU485" s="1"/>
      <c r="BV485" s="1"/>
      <c r="BW485" s="1"/>
      <c r="BX485" s="656"/>
      <c r="BZ485" s="657"/>
      <c r="CA485" s="1"/>
      <c r="CB485" s="1"/>
      <c r="CC485" s="1"/>
      <c r="CD485" s="1"/>
      <c r="CE485" s="1"/>
      <c r="CF485" s="1"/>
      <c r="CG485" s="1"/>
      <c r="CH485" s="1"/>
      <c r="CP485" s="305"/>
      <c r="CR485" s="116"/>
      <c r="CZ485" s="1"/>
      <c r="DA485" s="1"/>
      <c r="DB485" s="1"/>
      <c r="DC485" s="1"/>
      <c r="DD485" s="1"/>
      <c r="DE485" s="1"/>
      <c r="DF485" s="1"/>
      <c r="DG485" s="1"/>
      <c r="DH485" s="656"/>
      <c r="DJ485" s="116"/>
    </row>
    <row r="486" spans="2:114" ht="15.75" customHeight="1" x14ac:dyDescent="0.25">
      <c r="B486" s="116"/>
      <c r="I486" s="656"/>
      <c r="K486" s="116"/>
      <c r="X486" s="1"/>
      <c r="Y486" s="1"/>
      <c r="Z486" s="1"/>
      <c r="AA486" s="1"/>
      <c r="AB486" s="656"/>
      <c r="AC486" s="1"/>
      <c r="AD486" s="116"/>
      <c r="AL486" s="656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43"/>
      <c r="BL486" s="116"/>
      <c r="BU486" s="1"/>
      <c r="BV486" s="1"/>
      <c r="BW486" s="1"/>
      <c r="BX486" s="656"/>
      <c r="BZ486" s="657"/>
      <c r="CA486" s="1"/>
      <c r="CB486" s="1"/>
      <c r="CC486" s="1"/>
      <c r="CD486" s="1"/>
      <c r="CE486" s="1"/>
      <c r="CF486" s="1"/>
      <c r="CG486" s="1"/>
      <c r="CH486" s="1"/>
      <c r="CP486" s="305"/>
      <c r="CR486" s="116"/>
      <c r="CZ486" s="1"/>
      <c r="DA486" s="1"/>
      <c r="DB486" s="1"/>
      <c r="DC486" s="1"/>
      <c r="DD486" s="1"/>
      <c r="DE486" s="1"/>
      <c r="DF486" s="1"/>
      <c r="DG486" s="1"/>
      <c r="DH486" s="656"/>
      <c r="DJ486" s="116"/>
    </row>
    <row r="487" spans="2:114" ht="15.75" customHeight="1" x14ac:dyDescent="0.25">
      <c r="B487" s="116"/>
      <c r="I487" s="656"/>
      <c r="K487" s="116"/>
      <c r="X487" s="1"/>
      <c r="Y487" s="1"/>
      <c r="Z487" s="1"/>
      <c r="AA487" s="1"/>
      <c r="AB487" s="656"/>
      <c r="AC487" s="1"/>
      <c r="AD487" s="116"/>
      <c r="AL487" s="656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43"/>
      <c r="BL487" s="116"/>
      <c r="BU487" s="1"/>
      <c r="BV487" s="1"/>
      <c r="BW487" s="1"/>
      <c r="BX487" s="656"/>
      <c r="BZ487" s="657"/>
      <c r="CA487" s="1"/>
      <c r="CB487" s="1"/>
      <c r="CC487" s="1"/>
      <c r="CD487" s="1"/>
      <c r="CE487" s="1"/>
      <c r="CF487" s="1"/>
      <c r="CG487" s="1"/>
      <c r="CH487" s="1"/>
      <c r="CP487" s="305"/>
      <c r="CR487" s="116"/>
      <c r="CZ487" s="1"/>
      <c r="DA487" s="1"/>
      <c r="DB487" s="1"/>
      <c r="DC487" s="1"/>
      <c r="DD487" s="1"/>
      <c r="DE487" s="1"/>
      <c r="DF487" s="1"/>
      <c r="DG487" s="1"/>
      <c r="DH487" s="656"/>
      <c r="DJ487" s="116"/>
    </row>
    <row r="488" spans="2:114" ht="15.75" customHeight="1" x14ac:dyDescent="0.25">
      <c r="B488" s="116"/>
      <c r="I488" s="656"/>
      <c r="K488" s="116"/>
      <c r="X488" s="1"/>
      <c r="Y488" s="1"/>
      <c r="Z488" s="1"/>
      <c r="AA488" s="1"/>
      <c r="AB488" s="656"/>
      <c r="AC488" s="1"/>
      <c r="AD488" s="116"/>
      <c r="AL488" s="656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43"/>
      <c r="BL488" s="116"/>
      <c r="BU488" s="1"/>
      <c r="BV488" s="1"/>
      <c r="BW488" s="1"/>
      <c r="BX488" s="656"/>
      <c r="BZ488" s="657"/>
      <c r="CA488" s="1"/>
      <c r="CB488" s="1"/>
      <c r="CC488" s="1"/>
      <c r="CD488" s="1"/>
      <c r="CE488" s="1"/>
      <c r="CF488" s="1"/>
      <c r="CG488" s="1"/>
      <c r="CH488" s="1"/>
      <c r="CP488" s="305"/>
      <c r="CR488" s="116"/>
      <c r="CZ488" s="1"/>
      <c r="DA488" s="1"/>
      <c r="DB488" s="1"/>
      <c r="DC488" s="1"/>
      <c r="DD488" s="1"/>
      <c r="DE488" s="1"/>
      <c r="DF488" s="1"/>
      <c r="DG488" s="1"/>
      <c r="DH488" s="656"/>
      <c r="DJ488" s="116"/>
    </row>
    <row r="489" spans="2:114" ht="15.75" customHeight="1" x14ac:dyDescent="0.25">
      <c r="B489" s="116"/>
      <c r="I489" s="656"/>
      <c r="K489" s="116"/>
      <c r="X489" s="1"/>
      <c r="Y489" s="1"/>
      <c r="Z489" s="1"/>
      <c r="AA489" s="1"/>
      <c r="AB489" s="656"/>
      <c r="AC489" s="1"/>
      <c r="AD489" s="116"/>
      <c r="AL489" s="656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43"/>
      <c r="BL489" s="116"/>
      <c r="BU489" s="1"/>
      <c r="BV489" s="1"/>
      <c r="BW489" s="1"/>
      <c r="BX489" s="656"/>
      <c r="BZ489" s="657"/>
      <c r="CA489" s="1"/>
      <c r="CB489" s="1"/>
      <c r="CC489" s="1"/>
      <c r="CD489" s="1"/>
      <c r="CE489" s="1"/>
      <c r="CF489" s="1"/>
      <c r="CG489" s="1"/>
      <c r="CH489" s="1"/>
      <c r="CP489" s="305"/>
      <c r="CR489" s="116"/>
      <c r="CZ489" s="1"/>
      <c r="DA489" s="1"/>
      <c r="DB489" s="1"/>
      <c r="DC489" s="1"/>
      <c r="DD489" s="1"/>
      <c r="DE489" s="1"/>
      <c r="DF489" s="1"/>
      <c r="DG489" s="1"/>
      <c r="DH489" s="656"/>
      <c r="DJ489" s="116"/>
    </row>
    <row r="490" spans="2:114" ht="15.75" customHeight="1" x14ac:dyDescent="0.25">
      <c r="B490" s="116"/>
      <c r="I490" s="656"/>
      <c r="K490" s="116"/>
      <c r="X490" s="1"/>
      <c r="Y490" s="1"/>
      <c r="Z490" s="1"/>
      <c r="AA490" s="1"/>
      <c r="AB490" s="656"/>
      <c r="AC490" s="1"/>
      <c r="AD490" s="116"/>
      <c r="AL490" s="656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43"/>
      <c r="BL490" s="116"/>
      <c r="BU490" s="1"/>
      <c r="BV490" s="1"/>
      <c r="BW490" s="1"/>
      <c r="BX490" s="656"/>
      <c r="BZ490" s="657"/>
      <c r="CA490" s="1"/>
      <c r="CB490" s="1"/>
      <c r="CC490" s="1"/>
      <c r="CD490" s="1"/>
      <c r="CE490" s="1"/>
      <c r="CF490" s="1"/>
      <c r="CG490" s="1"/>
      <c r="CH490" s="1"/>
      <c r="CP490" s="305"/>
      <c r="CR490" s="116"/>
      <c r="CZ490" s="1"/>
      <c r="DA490" s="1"/>
      <c r="DB490" s="1"/>
      <c r="DC490" s="1"/>
      <c r="DD490" s="1"/>
      <c r="DE490" s="1"/>
      <c r="DF490" s="1"/>
      <c r="DG490" s="1"/>
      <c r="DH490" s="656"/>
      <c r="DJ490" s="116"/>
    </row>
    <row r="491" spans="2:114" ht="15.75" customHeight="1" x14ac:dyDescent="0.25">
      <c r="B491" s="116"/>
      <c r="I491" s="656"/>
      <c r="K491" s="116"/>
      <c r="X491" s="1"/>
      <c r="Y491" s="1"/>
      <c r="Z491" s="1"/>
      <c r="AA491" s="1"/>
      <c r="AB491" s="656"/>
      <c r="AC491" s="1"/>
      <c r="AD491" s="116"/>
      <c r="AL491" s="656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43"/>
      <c r="BL491" s="116"/>
      <c r="BU491" s="1"/>
      <c r="BV491" s="1"/>
      <c r="BW491" s="1"/>
      <c r="BX491" s="656"/>
      <c r="BZ491" s="657"/>
      <c r="CA491" s="1"/>
      <c r="CB491" s="1"/>
      <c r="CC491" s="1"/>
      <c r="CD491" s="1"/>
      <c r="CE491" s="1"/>
      <c r="CF491" s="1"/>
      <c r="CG491" s="1"/>
      <c r="CH491" s="1"/>
      <c r="CP491" s="305"/>
      <c r="CR491" s="116"/>
      <c r="CZ491" s="1"/>
      <c r="DA491" s="1"/>
      <c r="DB491" s="1"/>
      <c r="DC491" s="1"/>
      <c r="DD491" s="1"/>
      <c r="DE491" s="1"/>
      <c r="DF491" s="1"/>
      <c r="DG491" s="1"/>
      <c r="DH491" s="656"/>
      <c r="DJ491" s="116"/>
    </row>
    <row r="492" spans="2:114" ht="15.75" customHeight="1" x14ac:dyDescent="0.25">
      <c r="B492" s="116"/>
      <c r="I492" s="656"/>
      <c r="K492" s="116"/>
      <c r="X492" s="1"/>
      <c r="Y492" s="1"/>
      <c r="Z492" s="1"/>
      <c r="AA492" s="1"/>
      <c r="AB492" s="656"/>
      <c r="AC492" s="1"/>
      <c r="AD492" s="116"/>
      <c r="AL492" s="656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43"/>
      <c r="BL492" s="116"/>
      <c r="BU492" s="1"/>
      <c r="BV492" s="1"/>
      <c r="BW492" s="1"/>
      <c r="BX492" s="656"/>
      <c r="BZ492" s="657"/>
      <c r="CA492" s="1"/>
      <c r="CB492" s="1"/>
      <c r="CC492" s="1"/>
      <c r="CD492" s="1"/>
      <c r="CE492" s="1"/>
      <c r="CF492" s="1"/>
      <c r="CG492" s="1"/>
      <c r="CH492" s="1"/>
      <c r="CP492" s="305"/>
      <c r="CR492" s="116"/>
      <c r="CZ492" s="1"/>
      <c r="DA492" s="1"/>
      <c r="DB492" s="1"/>
      <c r="DC492" s="1"/>
      <c r="DD492" s="1"/>
      <c r="DE492" s="1"/>
      <c r="DF492" s="1"/>
      <c r="DG492" s="1"/>
      <c r="DH492" s="656"/>
      <c r="DJ492" s="116"/>
    </row>
    <row r="493" spans="2:114" ht="15.75" customHeight="1" x14ac:dyDescent="0.25">
      <c r="B493" s="116"/>
      <c r="I493" s="656"/>
      <c r="K493" s="116"/>
      <c r="X493" s="1"/>
      <c r="Y493" s="1"/>
      <c r="Z493" s="1"/>
      <c r="AA493" s="1"/>
      <c r="AB493" s="656"/>
      <c r="AC493" s="1"/>
      <c r="AD493" s="116"/>
      <c r="AL493" s="656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43"/>
      <c r="BL493" s="116"/>
      <c r="BU493" s="1"/>
      <c r="BV493" s="1"/>
      <c r="BW493" s="1"/>
      <c r="BX493" s="656"/>
      <c r="BZ493" s="657"/>
      <c r="CA493" s="1"/>
      <c r="CB493" s="1"/>
      <c r="CC493" s="1"/>
      <c r="CD493" s="1"/>
      <c r="CE493" s="1"/>
      <c r="CF493" s="1"/>
      <c r="CG493" s="1"/>
      <c r="CH493" s="1"/>
      <c r="CP493" s="305"/>
      <c r="CR493" s="116"/>
      <c r="CZ493" s="1"/>
      <c r="DA493" s="1"/>
      <c r="DB493" s="1"/>
      <c r="DC493" s="1"/>
      <c r="DD493" s="1"/>
      <c r="DE493" s="1"/>
      <c r="DF493" s="1"/>
      <c r="DG493" s="1"/>
      <c r="DH493" s="656"/>
      <c r="DJ493" s="116"/>
    </row>
    <row r="494" spans="2:114" ht="15.75" customHeight="1" x14ac:dyDescent="0.25">
      <c r="B494" s="116"/>
      <c r="I494" s="656"/>
      <c r="K494" s="116"/>
      <c r="X494" s="1"/>
      <c r="Y494" s="1"/>
      <c r="Z494" s="1"/>
      <c r="AA494" s="1"/>
      <c r="AB494" s="656"/>
      <c r="AC494" s="1"/>
      <c r="AD494" s="116"/>
      <c r="AL494" s="656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43"/>
      <c r="BL494" s="116"/>
      <c r="BU494" s="1"/>
      <c r="BV494" s="1"/>
      <c r="BW494" s="1"/>
      <c r="BX494" s="656"/>
      <c r="BZ494" s="657"/>
      <c r="CA494" s="1"/>
      <c r="CB494" s="1"/>
      <c r="CC494" s="1"/>
      <c r="CD494" s="1"/>
      <c r="CE494" s="1"/>
      <c r="CF494" s="1"/>
      <c r="CG494" s="1"/>
      <c r="CH494" s="1"/>
      <c r="CP494" s="305"/>
      <c r="CR494" s="116"/>
      <c r="CZ494" s="1"/>
      <c r="DA494" s="1"/>
      <c r="DB494" s="1"/>
      <c r="DC494" s="1"/>
      <c r="DD494" s="1"/>
      <c r="DE494" s="1"/>
      <c r="DF494" s="1"/>
      <c r="DG494" s="1"/>
      <c r="DH494" s="656"/>
      <c r="DJ494" s="116"/>
    </row>
    <row r="495" spans="2:114" ht="15.75" customHeight="1" x14ac:dyDescent="0.25">
      <c r="B495" s="116"/>
      <c r="I495" s="656"/>
      <c r="K495" s="116"/>
      <c r="X495" s="1"/>
      <c r="Y495" s="1"/>
      <c r="Z495" s="1"/>
      <c r="AA495" s="1"/>
      <c r="AB495" s="656"/>
      <c r="AC495" s="1"/>
      <c r="AD495" s="116"/>
      <c r="AL495" s="656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43"/>
      <c r="BL495" s="116"/>
      <c r="BU495" s="1"/>
      <c r="BV495" s="1"/>
      <c r="BW495" s="1"/>
      <c r="BX495" s="656"/>
      <c r="BZ495" s="657"/>
      <c r="CA495" s="1"/>
      <c r="CB495" s="1"/>
      <c r="CC495" s="1"/>
      <c r="CD495" s="1"/>
      <c r="CE495" s="1"/>
      <c r="CF495" s="1"/>
      <c r="CG495" s="1"/>
      <c r="CH495" s="1"/>
      <c r="CP495" s="305"/>
      <c r="CR495" s="116"/>
      <c r="CZ495" s="1"/>
      <c r="DA495" s="1"/>
      <c r="DB495" s="1"/>
      <c r="DC495" s="1"/>
      <c r="DD495" s="1"/>
      <c r="DE495" s="1"/>
      <c r="DF495" s="1"/>
      <c r="DG495" s="1"/>
      <c r="DH495" s="656"/>
      <c r="DJ495" s="116"/>
    </row>
    <row r="496" spans="2:114" ht="15.75" customHeight="1" x14ac:dyDescent="0.25">
      <c r="B496" s="116"/>
      <c r="I496" s="656"/>
      <c r="K496" s="116"/>
      <c r="X496" s="1"/>
      <c r="Y496" s="1"/>
      <c r="Z496" s="1"/>
      <c r="AA496" s="1"/>
      <c r="AB496" s="656"/>
      <c r="AC496" s="1"/>
      <c r="AD496" s="116"/>
      <c r="AL496" s="656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43"/>
      <c r="BL496" s="116"/>
      <c r="BU496" s="1"/>
      <c r="BV496" s="1"/>
      <c r="BW496" s="1"/>
      <c r="BX496" s="656"/>
      <c r="BZ496" s="657"/>
      <c r="CA496" s="1"/>
      <c r="CB496" s="1"/>
      <c r="CC496" s="1"/>
      <c r="CD496" s="1"/>
      <c r="CE496" s="1"/>
      <c r="CF496" s="1"/>
      <c r="CG496" s="1"/>
      <c r="CH496" s="1"/>
      <c r="CP496" s="305"/>
      <c r="CR496" s="116"/>
      <c r="CZ496" s="1"/>
      <c r="DA496" s="1"/>
      <c r="DB496" s="1"/>
      <c r="DC496" s="1"/>
      <c r="DD496" s="1"/>
      <c r="DE496" s="1"/>
      <c r="DF496" s="1"/>
      <c r="DG496" s="1"/>
      <c r="DH496" s="656"/>
      <c r="DJ496" s="116"/>
    </row>
    <row r="497" spans="2:114" ht="15.75" customHeight="1" x14ac:dyDescent="0.25">
      <c r="B497" s="116"/>
      <c r="I497" s="656"/>
      <c r="K497" s="116"/>
      <c r="X497" s="1"/>
      <c r="Y497" s="1"/>
      <c r="Z497" s="1"/>
      <c r="AA497" s="1"/>
      <c r="AB497" s="656"/>
      <c r="AC497" s="1"/>
      <c r="AD497" s="116"/>
      <c r="AL497" s="656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43"/>
      <c r="BL497" s="116"/>
      <c r="BU497" s="1"/>
      <c r="BV497" s="1"/>
      <c r="BW497" s="1"/>
      <c r="BX497" s="656"/>
      <c r="BZ497" s="657"/>
      <c r="CA497" s="1"/>
      <c r="CB497" s="1"/>
      <c r="CC497" s="1"/>
      <c r="CD497" s="1"/>
      <c r="CE497" s="1"/>
      <c r="CF497" s="1"/>
      <c r="CG497" s="1"/>
      <c r="CH497" s="1"/>
      <c r="CP497" s="305"/>
      <c r="CR497" s="116"/>
      <c r="CZ497" s="1"/>
      <c r="DA497" s="1"/>
      <c r="DB497" s="1"/>
      <c r="DC497" s="1"/>
      <c r="DD497" s="1"/>
      <c r="DE497" s="1"/>
      <c r="DF497" s="1"/>
      <c r="DG497" s="1"/>
      <c r="DH497" s="656"/>
      <c r="DJ497" s="116"/>
    </row>
    <row r="498" spans="2:114" ht="15.75" customHeight="1" x14ac:dyDescent="0.25">
      <c r="B498" s="116"/>
      <c r="I498" s="656"/>
      <c r="K498" s="116"/>
      <c r="X498" s="1"/>
      <c r="Y498" s="1"/>
      <c r="Z498" s="1"/>
      <c r="AA498" s="1"/>
      <c r="AB498" s="656"/>
      <c r="AC498" s="1"/>
      <c r="AD498" s="116"/>
      <c r="AL498" s="656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43"/>
      <c r="BL498" s="116"/>
      <c r="BU498" s="1"/>
      <c r="BV498" s="1"/>
      <c r="BW498" s="1"/>
      <c r="BX498" s="656"/>
      <c r="BZ498" s="657"/>
      <c r="CA498" s="1"/>
      <c r="CB498" s="1"/>
      <c r="CC498" s="1"/>
      <c r="CD498" s="1"/>
      <c r="CE498" s="1"/>
      <c r="CF498" s="1"/>
      <c r="CG498" s="1"/>
      <c r="CH498" s="1"/>
      <c r="CP498" s="305"/>
      <c r="CR498" s="116"/>
      <c r="CZ498" s="1"/>
      <c r="DA498" s="1"/>
      <c r="DB498" s="1"/>
      <c r="DC498" s="1"/>
      <c r="DD498" s="1"/>
      <c r="DE498" s="1"/>
      <c r="DF498" s="1"/>
      <c r="DG498" s="1"/>
      <c r="DH498" s="656"/>
      <c r="DJ498" s="116"/>
    </row>
    <row r="499" spans="2:114" ht="15.75" customHeight="1" x14ac:dyDescent="0.25">
      <c r="B499" s="116"/>
      <c r="I499" s="656"/>
      <c r="K499" s="116"/>
      <c r="X499" s="1"/>
      <c r="Y499" s="1"/>
      <c r="Z499" s="1"/>
      <c r="AA499" s="1"/>
      <c r="AB499" s="656"/>
      <c r="AC499" s="1"/>
      <c r="AD499" s="116"/>
      <c r="AL499" s="656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43"/>
      <c r="BL499" s="116"/>
      <c r="BU499" s="1"/>
      <c r="BV499" s="1"/>
      <c r="BW499" s="1"/>
      <c r="BX499" s="656"/>
      <c r="BZ499" s="657"/>
      <c r="CA499" s="1"/>
      <c r="CB499" s="1"/>
      <c r="CC499" s="1"/>
      <c r="CD499" s="1"/>
      <c r="CE499" s="1"/>
      <c r="CF499" s="1"/>
      <c r="CG499" s="1"/>
      <c r="CH499" s="1"/>
      <c r="CP499" s="305"/>
      <c r="CR499" s="116"/>
      <c r="CZ499" s="1"/>
      <c r="DA499" s="1"/>
      <c r="DB499" s="1"/>
      <c r="DC499" s="1"/>
      <c r="DD499" s="1"/>
      <c r="DE499" s="1"/>
      <c r="DF499" s="1"/>
      <c r="DG499" s="1"/>
      <c r="DH499" s="656"/>
      <c r="DJ499" s="116"/>
    </row>
    <row r="500" spans="2:114" ht="15.75" customHeight="1" x14ac:dyDescent="0.25">
      <c r="B500" s="116"/>
      <c r="I500" s="656"/>
      <c r="K500" s="116"/>
      <c r="X500" s="1"/>
      <c r="Y500" s="1"/>
      <c r="Z500" s="1"/>
      <c r="AA500" s="1"/>
      <c r="AB500" s="656"/>
      <c r="AC500" s="1"/>
      <c r="AD500" s="116"/>
      <c r="AL500" s="656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43"/>
      <c r="BL500" s="116"/>
      <c r="BU500" s="1"/>
      <c r="BV500" s="1"/>
      <c r="BW500" s="1"/>
      <c r="BX500" s="656"/>
      <c r="BZ500" s="657"/>
      <c r="CA500" s="1"/>
      <c r="CB500" s="1"/>
      <c r="CC500" s="1"/>
      <c r="CD500" s="1"/>
      <c r="CE500" s="1"/>
      <c r="CF500" s="1"/>
      <c r="CG500" s="1"/>
      <c r="CH500" s="1"/>
      <c r="CP500" s="305"/>
      <c r="CR500" s="116"/>
      <c r="CZ500" s="1"/>
      <c r="DA500" s="1"/>
      <c r="DB500" s="1"/>
      <c r="DC500" s="1"/>
      <c r="DD500" s="1"/>
      <c r="DE500" s="1"/>
      <c r="DF500" s="1"/>
      <c r="DG500" s="1"/>
      <c r="DH500" s="656"/>
      <c r="DJ500" s="116"/>
    </row>
    <row r="501" spans="2:114" ht="15.75" customHeight="1" x14ac:dyDescent="0.25">
      <c r="B501" s="116"/>
      <c r="I501" s="656"/>
      <c r="K501" s="116"/>
      <c r="X501" s="1"/>
      <c r="Y501" s="1"/>
      <c r="Z501" s="1"/>
      <c r="AA501" s="1"/>
      <c r="AB501" s="656"/>
      <c r="AC501" s="1"/>
      <c r="AD501" s="116"/>
      <c r="AL501" s="656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43"/>
      <c r="BL501" s="116"/>
      <c r="BU501" s="1"/>
      <c r="BV501" s="1"/>
      <c r="BW501" s="1"/>
      <c r="BX501" s="656"/>
      <c r="BZ501" s="657"/>
      <c r="CA501" s="1"/>
      <c r="CB501" s="1"/>
      <c r="CC501" s="1"/>
      <c r="CD501" s="1"/>
      <c r="CE501" s="1"/>
      <c r="CF501" s="1"/>
      <c r="CG501" s="1"/>
      <c r="CH501" s="1"/>
      <c r="CP501" s="305"/>
      <c r="CR501" s="116"/>
      <c r="CZ501" s="1"/>
      <c r="DA501" s="1"/>
      <c r="DB501" s="1"/>
      <c r="DC501" s="1"/>
      <c r="DD501" s="1"/>
      <c r="DE501" s="1"/>
      <c r="DF501" s="1"/>
      <c r="DG501" s="1"/>
      <c r="DH501" s="656"/>
      <c r="DJ501" s="116"/>
    </row>
    <row r="502" spans="2:114" ht="15.75" customHeight="1" x14ac:dyDescent="0.25">
      <c r="B502" s="116"/>
      <c r="I502" s="656"/>
      <c r="K502" s="116"/>
      <c r="X502" s="1"/>
      <c r="Y502" s="1"/>
      <c r="Z502" s="1"/>
      <c r="AA502" s="1"/>
      <c r="AB502" s="656"/>
      <c r="AC502" s="1"/>
      <c r="AD502" s="116"/>
      <c r="AL502" s="656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43"/>
      <c r="BL502" s="116"/>
      <c r="BU502" s="1"/>
      <c r="BV502" s="1"/>
      <c r="BW502" s="1"/>
      <c r="BX502" s="656"/>
      <c r="BZ502" s="657"/>
      <c r="CA502" s="1"/>
      <c r="CB502" s="1"/>
      <c r="CC502" s="1"/>
      <c r="CD502" s="1"/>
      <c r="CE502" s="1"/>
      <c r="CF502" s="1"/>
      <c r="CG502" s="1"/>
      <c r="CH502" s="1"/>
      <c r="CP502" s="305"/>
      <c r="CR502" s="116"/>
      <c r="CZ502" s="1"/>
      <c r="DA502" s="1"/>
      <c r="DB502" s="1"/>
      <c r="DC502" s="1"/>
      <c r="DD502" s="1"/>
      <c r="DE502" s="1"/>
      <c r="DF502" s="1"/>
      <c r="DG502" s="1"/>
      <c r="DH502" s="656"/>
      <c r="DJ502" s="116"/>
    </row>
    <row r="503" spans="2:114" ht="15.75" customHeight="1" x14ac:dyDescent="0.25">
      <c r="B503" s="116"/>
      <c r="I503" s="656"/>
      <c r="K503" s="116"/>
      <c r="X503" s="1"/>
      <c r="Y503" s="1"/>
      <c r="Z503" s="1"/>
      <c r="AA503" s="1"/>
      <c r="AB503" s="656"/>
      <c r="AC503" s="1"/>
      <c r="AD503" s="116"/>
      <c r="AL503" s="656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43"/>
      <c r="BL503" s="116"/>
      <c r="BU503" s="1"/>
      <c r="BV503" s="1"/>
      <c r="BW503" s="1"/>
      <c r="BX503" s="656"/>
      <c r="BZ503" s="657"/>
      <c r="CA503" s="1"/>
      <c r="CB503" s="1"/>
      <c r="CC503" s="1"/>
      <c r="CD503" s="1"/>
      <c r="CE503" s="1"/>
      <c r="CF503" s="1"/>
      <c r="CG503" s="1"/>
      <c r="CH503" s="1"/>
      <c r="CP503" s="305"/>
      <c r="CR503" s="116"/>
      <c r="CZ503" s="1"/>
      <c r="DA503" s="1"/>
      <c r="DB503" s="1"/>
      <c r="DC503" s="1"/>
      <c r="DD503" s="1"/>
      <c r="DE503" s="1"/>
      <c r="DF503" s="1"/>
      <c r="DG503" s="1"/>
      <c r="DH503" s="656"/>
      <c r="DJ503" s="116"/>
    </row>
    <row r="504" spans="2:114" ht="15.75" customHeight="1" x14ac:dyDescent="0.25">
      <c r="B504" s="116"/>
      <c r="I504" s="656"/>
      <c r="K504" s="116"/>
      <c r="X504" s="1"/>
      <c r="Y504" s="1"/>
      <c r="Z504" s="1"/>
      <c r="AA504" s="1"/>
      <c r="AB504" s="656"/>
      <c r="AC504" s="1"/>
      <c r="AD504" s="116"/>
      <c r="AL504" s="656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43"/>
      <c r="BL504" s="116"/>
      <c r="BU504" s="1"/>
      <c r="BV504" s="1"/>
      <c r="BW504" s="1"/>
      <c r="BX504" s="656"/>
      <c r="BZ504" s="657"/>
      <c r="CA504" s="1"/>
      <c r="CB504" s="1"/>
      <c r="CC504" s="1"/>
      <c r="CD504" s="1"/>
      <c r="CE504" s="1"/>
      <c r="CF504" s="1"/>
      <c r="CG504" s="1"/>
      <c r="CH504" s="1"/>
      <c r="CP504" s="305"/>
      <c r="CR504" s="116"/>
      <c r="CZ504" s="1"/>
      <c r="DA504" s="1"/>
      <c r="DB504" s="1"/>
      <c r="DC504" s="1"/>
      <c r="DD504" s="1"/>
      <c r="DE504" s="1"/>
      <c r="DF504" s="1"/>
      <c r="DG504" s="1"/>
      <c r="DH504" s="656"/>
      <c r="DJ504" s="116"/>
    </row>
    <row r="505" spans="2:114" ht="15.75" customHeight="1" x14ac:dyDescent="0.25">
      <c r="B505" s="116"/>
      <c r="I505" s="656"/>
      <c r="K505" s="116"/>
      <c r="X505" s="1"/>
      <c r="Y505" s="1"/>
      <c r="Z505" s="1"/>
      <c r="AA505" s="1"/>
      <c r="AB505" s="656"/>
      <c r="AC505" s="1"/>
      <c r="AD505" s="116"/>
      <c r="AL505" s="656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43"/>
      <c r="BL505" s="116"/>
      <c r="BU505" s="1"/>
      <c r="BV505" s="1"/>
      <c r="BW505" s="1"/>
      <c r="BX505" s="656"/>
      <c r="BZ505" s="657"/>
      <c r="CA505" s="1"/>
      <c r="CB505" s="1"/>
      <c r="CC505" s="1"/>
      <c r="CD505" s="1"/>
      <c r="CE505" s="1"/>
      <c r="CF505" s="1"/>
      <c r="CG505" s="1"/>
      <c r="CH505" s="1"/>
      <c r="CP505" s="305"/>
      <c r="CR505" s="116"/>
      <c r="CZ505" s="1"/>
      <c r="DA505" s="1"/>
      <c r="DB505" s="1"/>
      <c r="DC505" s="1"/>
      <c r="DD505" s="1"/>
      <c r="DE505" s="1"/>
      <c r="DF505" s="1"/>
      <c r="DG505" s="1"/>
      <c r="DH505" s="656"/>
      <c r="DJ505" s="116"/>
    </row>
    <row r="506" spans="2:114" ht="15.75" customHeight="1" x14ac:dyDescent="0.25">
      <c r="B506" s="116"/>
      <c r="I506" s="656"/>
      <c r="K506" s="116"/>
      <c r="X506" s="1"/>
      <c r="Y506" s="1"/>
      <c r="Z506" s="1"/>
      <c r="AA506" s="1"/>
      <c r="AB506" s="656"/>
      <c r="AC506" s="1"/>
      <c r="AD506" s="116"/>
      <c r="AL506" s="656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43"/>
      <c r="BL506" s="116"/>
      <c r="BU506" s="1"/>
      <c r="BV506" s="1"/>
      <c r="BW506" s="1"/>
      <c r="BX506" s="656"/>
      <c r="BZ506" s="657"/>
      <c r="CA506" s="1"/>
      <c r="CB506" s="1"/>
      <c r="CC506" s="1"/>
      <c r="CD506" s="1"/>
      <c r="CE506" s="1"/>
      <c r="CF506" s="1"/>
      <c r="CG506" s="1"/>
      <c r="CH506" s="1"/>
      <c r="CP506" s="305"/>
      <c r="CR506" s="116"/>
      <c r="CZ506" s="1"/>
      <c r="DA506" s="1"/>
      <c r="DB506" s="1"/>
      <c r="DC506" s="1"/>
      <c r="DD506" s="1"/>
      <c r="DE506" s="1"/>
      <c r="DF506" s="1"/>
      <c r="DG506" s="1"/>
      <c r="DH506" s="656"/>
      <c r="DJ506" s="116"/>
    </row>
    <row r="507" spans="2:114" ht="15.75" customHeight="1" x14ac:dyDescent="0.25">
      <c r="B507" s="116"/>
      <c r="I507" s="656"/>
      <c r="K507" s="116"/>
      <c r="X507" s="1"/>
      <c r="Y507" s="1"/>
      <c r="Z507" s="1"/>
      <c r="AA507" s="1"/>
      <c r="AB507" s="656"/>
      <c r="AC507" s="1"/>
      <c r="AD507" s="116"/>
      <c r="AL507" s="656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43"/>
      <c r="BL507" s="116"/>
      <c r="BU507" s="1"/>
      <c r="BV507" s="1"/>
      <c r="BW507" s="1"/>
      <c r="BX507" s="656"/>
      <c r="BZ507" s="657"/>
      <c r="CA507" s="1"/>
      <c r="CB507" s="1"/>
      <c r="CC507" s="1"/>
      <c r="CD507" s="1"/>
      <c r="CE507" s="1"/>
      <c r="CF507" s="1"/>
      <c r="CG507" s="1"/>
      <c r="CH507" s="1"/>
      <c r="CP507" s="305"/>
      <c r="CR507" s="116"/>
      <c r="CZ507" s="1"/>
      <c r="DA507" s="1"/>
      <c r="DB507" s="1"/>
      <c r="DC507" s="1"/>
      <c r="DD507" s="1"/>
      <c r="DE507" s="1"/>
      <c r="DF507" s="1"/>
      <c r="DG507" s="1"/>
      <c r="DH507" s="656"/>
      <c r="DJ507" s="116"/>
    </row>
    <row r="508" spans="2:114" ht="15.75" customHeight="1" x14ac:dyDescent="0.25">
      <c r="B508" s="116"/>
      <c r="I508" s="656"/>
      <c r="K508" s="116"/>
      <c r="X508" s="1"/>
      <c r="Y508" s="1"/>
      <c r="Z508" s="1"/>
      <c r="AA508" s="1"/>
      <c r="AB508" s="656"/>
      <c r="AC508" s="1"/>
      <c r="AD508" s="116"/>
      <c r="AL508" s="656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43"/>
      <c r="BL508" s="116"/>
      <c r="BU508" s="1"/>
      <c r="BV508" s="1"/>
      <c r="BW508" s="1"/>
      <c r="BX508" s="656"/>
      <c r="BZ508" s="657"/>
      <c r="CA508" s="1"/>
      <c r="CB508" s="1"/>
      <c r="CC508" s="1"/>
      <c r="CD508" s="1"/>
      <c r="CE508" s="1"/>
      <c r="CF508" s="1"/>
      <c r="CG508" s="1"/>
      <c r="CH508" s="1"/>
      <c r="CP508" s="305"/>
      <c r="CR508" s="116"/>
      <c r="CZ508" s="1"/>
      <c r="DA508" s="1"/>
      <c r="DB508" s="1"/>
      <c r="DC508" s="1"/>
      <c r="DD508" s="1"/>
      <c r="DE508" s="1"/>
      <c r="DF508" s="1"/>
      <c r="DG508" s="1"/>
      <c r="DH508" s="656"/>
      <c r="DJ508" s="116"/>
    </row>
    <row r="509" spans="2:114" ht="15.75" customHeight="1" x14ac:dyDescent="0.25">
      <c r="B509" s="116"/>
      <c r="I509" s="656"/>
      <c r="K509" s="116"/>
      <c r="X509" s="1"/>
      <c r="Y509" s="1"/>
      <c r="Z509" s="1"/>
      <c r="AA509" s="1"/>
      <c r="AB509" s="656"/>
      <c r="AC509" s="1"/>
      <c r="AD509" s="116"/>
      <c r="AL509" s="656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43"/>
      <c r="BL509" s="116"/>
      <c r="BU509" s="1"/>
      <c r="BV509" s="1"/>
      <c r="BW509" s="1"/>
      <c r="BX509" s="656"/>
      <c r="BZ509" s="657"/>
      <c r="CA509" s="1"/>
      <c r="CB509" s="1"/>
      <c r="CC509" s="1"/>
      <c r="CD509" s="1"/>
      <c r="CE509" s="1"/>
      <c r="CF509" s="1"/>
      <c r="CG509" s="1"/>
      <c r="CH509" s="1"/>
      <c r="CP509" s="305"/>
      <c r="CR509" s="116"/>
      <c r="CZ509" s="1"/>
      <c r="DA509" s="1"/>
      <c r="DB509" s="1"/>
      <c r="DC509" s="1"/>
      <c r="DD509" s="1"/>
      <c r="DE509" s="1"/>
      <c r="DF509" s="1"/>
      <c r="DG509" s="1"/>
      <c r="DH509" s="656"/>
      <c r="DJ509" s="116"/>
    </row>
    <row r="510" spans="2:114" ht="15.75" customHeight="1" x14ac:dyDescent="0.25">
      <c r="B510" s="116"/>
      <c r="I510" s="656"/>
      <c r="K510" s="116"/>
      <c r="X510" s="1"/>
      <c r="Y510" s="1"/>
      <c r="Z510" s="1"/>
      <c r="AA510" s="1"/>
      <c r="AB510" s="656"/>
      <c r="AC510" s="1"/>
      <c r="AD510" s="116"/>
      <c r="AL510" s="656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43"/>
      <c r="BL510" s="116"/>
      <c r="BU510" s="1"/>
      <c r="BV510" s="1"/>
      <c r="BW510" s="1"/>
      <c r="BX510" s="656"/>
      <c r="BZ510" s="657"/>
      <c r="CA510" s="1"/>
      <c r="CB510" s="1"/>
      <c r="CC510" s="1"/>
      <c r="CD510" s="1"/>
      <c r="CE510" s="1"/>
      <c r="CF510" s="1"/>
      <c r="CG510" s="1"/>
      <c r="CH510" s="1"/>
      <c r="CP510" s="305"/>
      <c r="CR510" s="116"/>
      <c r="CZ510" s="1"/>
      <c r="DA510" s="1"/>
      <c r="DB510" s="1"/>
      <c r="DC510" s="1"/>
      <c r="DD510" s="1"/>
      <c r="DE510" s="1"/>
      <c r="DF510" s="1"/>
      <c r="DG510" s="1"/>
      <c r="DH510" s="656"/>
      <c r="DJ510" s="116"/>
    </row>
    <row r="511" spans="2:114" ht="15.75" customHeight="1" x14ac:dyDescent="0.25">
      <c r="B511" s="116"/>
      <c r="I511" s="656"/>
      <c r="K511" s="116"/>
      <c r="X511" s="1"/>
      <c r="Y511" s="1"/>
      <c r="Z511" s="1"/>
      <c r="AA511" s="1"/>
      <c r="AB511" s="656"/>
      <c r="AC511" s="1"/>
      <c r="AD511" s="116"/>
      <c r="AL511" s="656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43"/>
      <c r="BL511" s="116"/>
      <c r="BU511" s="1"/>
      <c r="BV511" s="1"/>
      <c r="BW511" s="1"/>
      <c r="BX511" s="656"/>
      <c r="BZ511" s="657"/>
      <c r="CA511" s="1"/>
      <c r="CB511" s="1"/>
      <c r="CC511" s="1"/>
      <c r="CD511" s="1"/>
      <c r="CE511" s="1"/>
      <c r="CF511" s="1"/>
      <c r="CG511" s="1"/>
      <c r="CH511" s="1"/>
      <c r="CP511" s="305"/>
      <c r="CR511" s="116"/>
      <c r="CZ511" s="1"/>
      <c r="DA511" s="1"/>
      <c r="DB511" s="1"/>
      <c r="DC511" s="1"/>
      <c r="DD511" s="1"/>
      <c r="DE511" s="1"/>
      <c r="DF511" s="1"/>
      <c r="DG511" s="1"/>
      <c r="DH511" s="656"/>
      <c r="DJ511" s="116"/>
    </row>
    <row r="512" spans="2:114" ht="15.75" customHeight="1" x14ac:dyDescent="0.25">
      <c r="B512" s="116"/>
      <c r="I512" s="656"/>
      <c r="K512" s="116"/>
      <c r="X512" s="1"/>
      <c r="Y512" s="1"/>
      <c r="Z512" s="1"/>
      <c r="AA512" s="1"/>
      <c r="AB512" s="656"/>
      <c r="AC512" s="1"/>
      <c r="AD512" s="116"/>
      <c r="AL512" s="656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43"/>
      <c r="BL512" s="116"/>
      <c r="BU512" s="1"/>
      <c r="BV512" s="1"/>
      <c r="BW512" s="1"/>
      <c r="BX512" s="656"/>
      <c r="BZ512" s="657"/>
      <c r="CA512" s="1"/>
      <c r="CB512" s="1"/>
      <c r="CC512" s="1"/>
      <c r="CD512" s="1"/>
      <c r="CE512" s="1"/>
      <c r="CF512" s="1"/>
      <c r="CG512" s="1"/>
      <c r="CH512" s="1"/>
      <c r="CP512" s="305"/>
      <c r="CR512" s="116"/>
      <c r="CZ512" s="1"/>
      <c r="DA512" s="1"/>
      <c r="DB512" s="1"/>
      <c r="DC512" s="1"/>
      <c r="DD512" s="1"/>
      <c r="DE512" s="1"/>
      <c r="DF512" s="1"/>
      <c r="DG512" s="1"/>
      <c r="DH512" s="656"/>
      <c r="DJ512" s="116"/>
    </row>
    <row r="513" spans="2:114" ht="15.75" customHeight="1" x14ac:dyDescent="0.25">
      <c r="B513" s="116"/>
      <c r="I513" s="656"/>
      <c r="K513" s="116"/>
      <c r="X513" s="1"/>
      <c r="Y513" s="1"/>
      <c r="Z513" s="1"/>
      <c r="AA513" s="1"/>
      <c r="AB513" s="656"/>
      <c r="AC513" s="1"/>
      <c r="AD513" s="116"/>
      <c r="AL513" s="656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43"/>
      <c r="BL513" s="116"/>
      <c r="BU513" s="1"/>
      <c r="BV513" s="1"/>
      <c r="BW513" s="1"/>
      <c r="BX513" s="656"/>
      <c r="BZ513" s="657"/>
      <c r="CA513" s="1"/>
      <c r="CB513" s="1"/>
      <c r="CC513" s="1"/>
      <c r="CD513" s="1"/>
      <c r="CE513" s="1"/>
      <c r="CF513" s="1"/>
      <c r="CG513" s="1"/>
      <c r="CH513" s="1"/>
      <c r="CP513" s="305"/>
      <c r="CR513" s="116"/>
      <c r="CZ513" s="1"/>
      <c r="DA513" s="1"/>
      <c r="DB513" s="1"/>
      <c r="DC513" s="1"/>
      <c r="DD513" s="1"/>
      <c r="DE513" s="1"/>
      <c r="DF513" s="1"/>
      <c r="DG513" s="1"/>
      <c r="DH513" s="656"/>
      <c r="DJ513" s="116"/>
    </row>
    <row r="514" spans="2:114" ht="15.75" customHeight="1" x14ac:dyDescent="0.25">
      <c r="B514" s="116"/>
      <c r="I514" s="656"/>
      <c r="K514" s="116"/>
      <c r="X514" s="1"/>
      <c r="Y514" s="1"/>
      <c r="Z514" s="1"/>
      <c r="AA514" s="1"/>
      <c r="AB514" s="656"/>
      <c r="AC514" s="1"/>
      <c r="AD514" s="116"/>
      <c r="AL514" s="656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43"/>
      <c r="BL514" s="116"/>
      <c r="BU514" s="1"/>
      <c r="BV514" s="1"/>
      <c r="BW514" s="1"/>
      <c r="BX514" s="656"/>
      <c r="BZ514" s="657"/>
      <c r="CA514" s="1"/>
      <c r="CB514" s="1"/>
      <c r="CC514" s="1"/>
      <c r="CD514" s="1"/>
      <c r="CE514" s="1"/>
      <c r="CF514" s="1"/>
      <c r="CG514" s="1"/>
      <c r="CH514" s="1"/>
      <c r="CP514" s="305"/>
      <c r="CR514" s="116"/>
      <c r="CZ514" s="1"/>
      <c r="DA514" s="1"/>
      <c r="DB514" s="1"/>
      <c r="DC514" s="1"/>
      <c r="DD514" s="1"/>
      <c r="DE514" s="1"/>
      <c r="DF514" s="1"/>
      <c r="DG514" s="1"/>
      <c r="DH514" s="656"/>
      <c r="DJ514" s="116"/>
    </row>
    <row r="515" spans="2:114" ht="15.75" customHeight="1" x14ac:dyDescent="0.25">
      <c r="B515" s="116"/>
      <c r="I515" s="656"/>
      <c r="K515" s="116"/>
      <c r="X515" s="1"/>
      <c r="Y515" s="1"/>
      <c r="Z515" s="1"/>
      <c r="AA515" s="1"/>
      <c r="AB515" s="656"/>
      <c r="AC515" s="1"/>
      <c r="AD515" s="116"/>
      <c r="AL515" s="656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43"/>
      <c r="BL515" s="116"/>
      <c r="BU515" s="1"/>
      <c r="BV515" s="1"/>
      <c r="BW515" s="1"/>
      <c r="BX515" s="656"/>
      <c r="BZ515" s="657"/>
      <c r="CA515" s="1"/>
      <c r="CB515" s="1"/>
      <c r="CC515" s="1"/>
      <c r="CD515" s="1"/>
      <c r="CE515" s="1"/>
      <c r="CF515" s="1"/>
      <c r="CG515" s="1"/>
      <c r="CH515" s="1"/>
      <c r="CP515" s="305"/>
      <c r="CR515" s="116"/>
      <c r="CZ515" s="1"/>
      <c r="DA515" s="1"/>
      <c r="DB515" s="1"/>
      <c r="DC515" s="1"/>
      <c r="DD515" s="1"/>
      <c r="DE515" s="1"/>
      <c r="DF515" s="1"/>
      <c r="DG515" s="1"/>
      <c r="DH515" s="656"/>
      <c r="DJ515" s="116"/>
    </row>
    <row r="516" spans="2:114" ht="15.75" customHeight="1" x14ac:dyDescent="0.25">
      <c r="B516" s="116"/>
      <c r="I516" s="656"/>
      <c r="K516" s="116"/>
      <c r="X516" s="1"/>
      <c r="Y516" s="1"/>
      <c r="Z516" s="1"/>
      <c r="AA516" s="1"/>
      <c r="AB516" s="656"/>
      <c r="AC516" s="1"/>
      <c r="AD516" s="116"/>
      <c r="AL516" s="656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43"/>
      <c r="BL516" s="116"/>
      <c r="BU516" s="1"/>
      <c r="BV516" s="1"/>
      <c r="BW516" s="1"/>
      <c r="BX516" s="656"/>
      <c r="BZ516" s="657"/>
      <c r="CA516" s="1"/>
      <c r="CB516" s="1"/>
      <c r="CC516" s="1"/>
      <c r="CD516" s="1"/>
      <c r="CE516" s="1"/>
      <c r="CF516" s="1"/>
      <c r="CG516" s="1"/>
      <c r="CH516" s="1"/>
      <c r="CP516" s="305"/>
      <c r="CR516" s="116"/>
      <c r="CZ516" s="1"/>
      <c r="DA516" s="1"/>
      <c r="DB516" s="1"/>
      <c r="DC516" s="1"/>
      <c r="DD516" s="1"/>
      <c r="DE516" s="1"/>
      <c r="DF516" s="1"/>
      <c r="DG516" s="1"/>
      <c r="DH516" s="656"/>
      <c r="DJ516" s="116"/>
    </row>
    <row r="517" spans="2:114" ht="15.75" customHeight="1" x14ac:dyDescent="0.25">
      <c r="B517" s="116"/>
      <c r="I517" s="656"/>
      <c r="K517" s="116"/>
      <c r="X517" s="1"/>
      <c r="Y517" s="1"/>
      <c r="Z517" s="1"/>
      <c r="AA517" s="1"/>
      <c r="AB517" s="656"/>
      <c r="AC517" s="1"/>
      <c r="AD517" s="116"/>
      <c r="AL517" s="656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43"/>
      <c r="BL517" s="116"/>
      <c r="BU517" s="1"/>
      <c r="BV517" s="1"/>
      <c r="BW517" s="1"/>
      <c r="BX517" s="656"/>
      <c r="BZ517" s="657"/>
      <c r="CA517" s="1"/>
      <c r="CB517" s="1"/>
      <c r="CC517" s="1"/>
      <c r="CD517" s="1"/>
      <c r="CE517" s="1"/>
      <c r="CF517" s="1"/>
      <c r="CG517" s="1"/>
      <c r="CH517" s="1"/>
      <c r="CP517" s="305"/>
      <c r="CR517" s="116"/>
      <c r="CZ517" s="1"/>
      <c r="DA517" s="1"/>
      <c r="DB517" s="1"/>
      <c r="DC517" s="1"/>
      <c r="DD517" s="1"/>
      <c r="DE517" s="1"/>
      <c r="DF517" s="1"/>
      <c r="DG517" s="1"/>
      <c r="DH517" s="656"/>
      <c r="DJ517" s="116"/>
    </row>
    <row r="518" spans="2:114" ht="15.75" customHeight="1" x14ac:dyDescent="0.25">
      <c r="B518" s="116"/>
      <c r="I518" s="656"/>
      <c r="K518" s="116"/>
      <c r="X518" s="1"/>
      <c r="Y518" s="1"/>
      <c r="Z518" s="1"/>
      <c r="AA518" s="1"/>
      <c r="AB518" s="656"/>
      <c r="AC518" s="1"/>
      <c r="AD518" s="116"/>
      <c r="AL518" s="656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43"/>
      <c r="BL518" s="116"/>
      <c r="BU518" s="1"/>
      <c r="BV518" s="1"/>
      <c r="BW518" s="1"/>
      <c r="BX518" s="656"/>
      <c r="BZ518" s="657"/>
      <c r="CA518" s="1"/>
      <c r="CB518" s="1"/>
      <c r="CC518" s="1"/>
      <c r="CD518" s="1"/>
      <c r="CE518" s="1"/>
      <c r="CF518" s="1"/>
      <c r="CG518" s="1"/>
      <c r="CH518" s="1"/>
      <c r="CP518" s="305"/>
      <c r="CR518" s="116"/>
      <c r="CZ518" s="1"/>
      <c r="DA518" s="1"/>
      <c r="DB518" s="1"/>
      <c r="DC518" s="1"/>
      <c r="DD518" s="1"/>
      <c r="DE518" s="1"/>
      <c r="DF518" s="1"/>
      <c r="DG518" s="1"/>
      <c r="DH518" s="656"/>
      <c r="DJ518" s="116"/>
    </row>
    <row r="519" spans="2:114" ht="15.75" customHeight="1" x14ac:dyDescent="0.25">
      <c r="B519" s="116"/>
      <c r="I519" s="656"/>
      <c r="K519" s="116"/>
      <c r="X519" s="1"/>
      <c r="Y519" s="1"/>
      <c r="Z519" s="1"/>
      <c r="AA519" s="1"/>
      <c r="AB519" s="656"/>
      <c r="AC519" s="1"/>
      <c r="AD519" s="116"/>
      <c r="AL519" s="656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43"/>
      <c r="BL519" s="116"/>
      <c r="BU519" s="1"/>
      <c r="BV519" s="1"/>
      <c r="BW519" s="1"/>
      <c r="BX519" s="656"/>
      <c r="BZ519" s="657"/>
      <c r="CA519" s="1"/>
      <c r="CB519" s="1"/>
      <c r="CC519" s="1"/>
      <c r="CD519" s="1"/>
      <c r="CE519" s="1"/>
      <c r="CF519" s="1"/>
      <c r="CG519" s="1"/>
      <c r="CH519" s="1"/>
      <c r="CP519" s="305"/>
      <c r="CR519" s="116"/>
      <c r="CZ519" s="1"/>
      <c r="DA519" s="1"/>
      <c r="DB519" s="1"/>
      <c r="DC519" s="1"/>
      <c r="DD519" s="1"/>
      <c r="DE519" s="1"/>
      <c r="DF519" s="1"/>
      <c r="DG519" s="1"/>
      <c r="DH519" s="656"/>
      <c r="DJ519" s="116"/>
    </row>
    <row r="520" spans="2:114" ht="15.75" customHeight="1" x14ac:dyDescent="0.25">
      <c r="B520" s="116"/>
      <c r="I520" s="656"/>
      <c r="K520" s="116"/>
      <c r="X520" s="1"/>
      <c r="Y520" s="1"/>
      <c r="Z520" s="1"/>
      <c r="AA520" s="1"/>
      <c r="AB520" s="656"/>
      <c r="AC520" s="1"/>
      <c r="AD520" s="116"/>
      <c r="AL520" s="656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43"/>
      <c r="BL520" s="116"/>
      <c r="BU520" s="1"/>
      <c r="BV520" s="1"/>
      <c r="BW520" s="1"/>
      <c r="BX520" s="656"/>
      <c r="BZ520" s="657"/>
      <c r="CA520" s="1"/>
      <c r="CB520" s="1"/>
      <c r="CC520" s="1"/>
      <c r="CD520" s="1"/>
      <c r="CE520" s="1"/>
      <c r="CF520" s="1"/>
      <c r="CG520" s="1"/>
      <c r="CH520" s="1"/>
      <c r="CP520" s="305"/>
      <c r="CR520" s="116"/>
      <c r="CZ520" s="1"/>
      <c r="DA520" s="1"/>
      <c r="DB520" s="1"/>
      <c r="DC520" s="1"/>
      <c r="DD520" s="1"/>
      <c r="DE520" s="1"/>
      <c r="DF520" s="1"/>
      <c r="DG520" s="1"/>
      <c r="DH520" s="656"/>
      <c r="DJ520" s="116"/>
    </row>
    <row r="521" spans="2:114" ht="15.75" customHeight="1" x14ac:dyDescent="0.25">
      <c r="B521" s="116"/>
      <c r="I521" s="656"/>
      <c r="K521" s="116"/>
      <c r="X521" s="1"/>
      <c r="Y521" s="1"/>
      <c r="Z521" s="1"/>
      <c r="AA521" s="1"/>
      <c r="AB521" s="656"/>
      <c r="AC521" s="1"/>
      <c r="AD521" s="116"/>
      <c r="AL521" s="656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43"/>
      <c r="BL521" s="116"/>
      <c r="BU521" s="1"/>
      <c r="BV521" s="1"/>
      <c r="BW521" s="1"/>
      <c r="BX521" s="656"/>
      <c r="BZ521" s="657"/>
      <c r="CA521" s="1"/>
      <c r="CB521" s="1"/>
      <c r="CC521" s="1"/>
      <c r="CD521" s="1"/>
      <c r="CE521" s="1"/>
      <c r="CF521" s="1"/>
      <c r="CG521" s="1"/>
      <c r="CH521" s="1"/>
      <c r="CP521" s="305"/>
      <c r="CR521" s="116"/>
      <c r="CZ521" s="1"/>
      <c r="DA521" s="1"/>
      <c r="DB521" s="1"/>
      <c r="DC521" s="1"/>
      <c r="DD521" s="1"/>
      <c r="DE521" s="1"/>
      <c r="DF521" s="1"/>
      <c r="DG521" s="1"/>
      <c r="DH521" s="656"/>
      <c r="DJ521" s="116"/>
    </row>
    <row r="522" spans="2:114" ht="15.75" customHeight="1" x14ac:dyDescent="0.25">
      <c r="B522" s="116"/>
      <c r="I522" s="656"/>
      <c r="K522" s="116"/>
      <c r="X522" s="1"/>
      <c r="Y522" s="1"/>
      <c r="Z522" s="1"/>
      <c r="AA522" s="1"/>
      <c r="AB522" s="656"/>
      <c r="AC522" s="1"/>
      <c r="AD522" s="116"/>
      <c r="AL522" s="656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43"/>
      <c r="BL522" s="116"/>
      <c r="BU522" s="1"/>
      <c r="BV522" s="1"/>
      <c r="BW522" s="1"/>
      <c r="BX522" s="656"/>
      <c r="BZ522" s="657"/>
      <c r="CA522" s="1"/>
      <c r="CB522" s="1"/>
      <c r="CC522" s="1"/>
      <c r="CD522" s="1"/>
      <c r="CE522" s="1"/>
      <c r="CF522" s="1"/>
      <c r="CG522" s="1"/>
      <c r="CH522" s="1"/>
      <c r="CP522" s="305"/>
      <c r="CR522" s="116"/>
      <c r="CZ522" s="1"/>
      <c r="DA522" s="1"/>
      <c r="DB522" s="1"/>
      <c r="DC522" s="1"/>
      <c r="DD522" s="1"/>
      <c r="DE522" s="1"/>
      <c r="DF522" s="1"/>
      <c r="DG522" s="1"/>
      <c r="DH522" s="656"/>
      <c r="DJ522" s="116"/>
    </row>
    <row r="523" spans="2:114" ht="15.75" customHeight="1" x14ac:dyDescent="0.25">
      <c r="B523" s="116"/>
      <c r="I523" s="656"/>
      <c r="K523" s="116"/>
      <c r="X523" s="1"/>
      <c r="Y523" s="1"/>
      <c r="Z523" s="1"/>
      <c r="AA523" s="1"/>
      <c r="AB523" s="656"/>
      <c r="AC523" s="1"/>
      <c r="AD523" s="116"/>
      <c r="AL523" s="656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43"/>
      <c r="BL523" s="116"/>
      <c r="BU523" s="1"/>
      <c r="BV523" s="1"/>
      <c r="BW523" s="1"/>
      <c r="BX523" s="656"/>
      <c r="BZ523" s="657"/>
      <c r="CA523" s="1"/>
      <c r="CB523" s="1"/>
      <c r="CC523" s="1"/>
      <c r="CD523" s="1"/>
      <c r="CE523" s="1"/>
      <c r="CF523" s="1"/>
      <c r="CG523" s="1"/>
      <c r="CH523" s="1"/>
      <c r="CP523" s="305"/>
      <c r="CR523" s="116"/>
      <c r="CZ523" s="1"/>
      <c r="DA523" s="1"/>
      <c r="DB523" s="1"/>
      <c r="DC523" s="1"/>
      <c r="DD523" s="1"/>
      <c r="DE523" s="1"/>
      <c r="DF523" s="1"/>
      <c r="DG523" s="1"/>
      <c r="DH523" s="656"/>
      <c r="DJ523" s="116"/>
    </row>
    <row r="524" spans="2:114" ht="15.75" customHeight="1" x14ac:dyDescent="0.25">
      <c r="B524" s="116"/>
      <c r="I524" s="656"/>
      <c r="K524" s="116"/>
      <c r="X524" s="1"/>
      <c r="Y524" s="1"/>
      <c r="Z524" s="1"/>
      <c r="AA524" s="1"/>
      <c r="AB524" s="656"/>
      <c r="AC524" s="1"/>
      <c r="AD524" s="116"/>
      <c r="AL524" s="656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43"/>
      <c r="BL524" s="116"/>
      <c r="BU524" s="1"/>
      <c r="BV524" s="1"/>
      <c r="BW524" s="1"/>
      <c r="BX524" s="656"/>
      <c r="BZ524" s="657"/>
      <c r="CA524" s="1"/>
      <c r="CB524" s="1"/>
      <c r="CC524" s="1"/>
      <c r="CD524" s="1"/>
      <c r="CE524" s="1"/>
      <c r="CF524" s="1"/>
      <c r="CG524" s="1"/>
      <c r="CH524" s="1"/>
      <c r="CP524" s="305"/>
      <c r="CR524" s="116"/>
      <c r="CZ524" s="1"/>
      <c r="DA524" s="1"/>
      <c r="DB524" s="1"/>
      <c r="DC524" s="1"/>
      <c r="DD524" s="1"/>
      <c r="DE524" s="1"/>
      <c r="DF524" s="1"/>
      <c r="DG524" s="1"/>
      <c r="DH524" s="656"/>
      <c r="DJ524" s="116"/>
    </row>
    <row r="525" spans="2:114" ht="15.75" customHeight="1" x14ac:dyDescent="0.25">
      <c r="B525" s="116"/>
      <c r="I525" s="656"/>
      <c r="K525" s="116"/>
      <c r="X525" s="1"/>
      <c r="Y525" s="1"/>
      <c r="Z525" s="1"/>
      <c r="AA525" s="1"/>
      <c r="AB525" s="656"/>
      <c r="AC525" s="1"/>
      <c r="AD525" s="116"/>
      <c r="AL525" s="656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43"/>
      <c r="BL525" s="116"/>
      <c r="BU525" s="1"/>
      <c r="BV525" s="1"/>
      <c r="BW525" s="1"/>
      <c r="BX525" s="656"/>
      <c r="BZ525" s="657"/>
      <c r="CA525" s="1"/>
      <c r="CB525" s="1"/>
      <c r="CC525" s="1"/>
      <c r="CD525" s="1"/>
      <c r="CE525" s="1"/>
      <c r="CF525" s="1"/>
      <c r="CG525" s="1"/>
      <c r="CH525" s="1"/>
      <c r="CP525" s="305"/>
      <c r="CR525" s="116"/>
      <c r="CZ525" s="1"/>
      <c r="DA525" s="1"/>
      <c r="DB525" s="1"/>
      <c r="DC525" s="1"/>
      <c r="DD525" s="1"/>
      <c r="DE525" s="1"/>
      <c r="DF525" s="1"/>
      <c r="DG525" s="1"/>
      <c r="DH525" s="656"/>
      <c r="DJ525" s="116"/>
    </row>
    <row r="526" spans="2:114" ht="15.75" customHeight="1" x14ac:dyDescent="0.25">
      <c r="B526" s="116"/>
      <c r="I526" s="656"/>
      <c r="K526" s="116"/>
      <c r="X526" s="1"/>
      <c r="Y526" s="1"/>
      <c r="Z526" s="1"/>
      <c r="AA526" s="1"/>
      <c r="AB526" s="656"/>
      <c r="AC526" s="1"/>
      <c r="AD526" s="116"/>
      <c r="AL526" s="656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43"/>
      <c r="BL526" s="116"/>
      <c r="BU526" s="1"/>
      <c r="BV526" s="1"/>
      <c r="BW526" s="1"/>
      <c r="BX526" s="656"/>
      <c r="BZ526" s="657"/>
      <c r="CA526" s="1"/>
      <c r="CB526" s="1"/>
      <c r="CC526" s="1"/>
      <c r="CD526" s="1"/>
      <c r="CE526" s="1"/>
      <c r="CF526" s="1"/>
      <c r="CG526" s="1"/>
      <c r="CH526" s="1"/>
      <c r="CP526" s="305"/>
      <c r="CR526" s="116"/>
      <c r="CZ526" s="1"/>
      <c r="DA526" s="1"/>
      <c r="DB526" s="1"/>
      <c r="DC526" s="1"/>
      <c r="DD526" s="1"/>
      <c r="DE526" s="1"/>
      <c r="DF526" s="1"/>
      <c r="DG526" s="1"/>
      <c r="DH526" s="656"/>
      <c r="DJ526" s="116"/>
    </row>
    <row r="527" spans="2:114" ht="15.75" customHeight="1" x14ac:dyDescent="0.25">
      <c r="B527" s="116"/>
      <c r="I527" s="656"/>
      <c r="K527" s="116"/>
      <c r="X527" s="1"/>
      <c r="Y527" s="1"/>
      <c r="Z527" s="1"/>
      <c r="AA527" s="1"/>
      <c r="AB527" s="656"/>
      <c r="AC527" s="1"/>
      <c r="AD527" s="116"/>
      <c r="AL527" s="656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43"/>
      <c r="BL527" s="116"/>
      <c r="BU527" s="1"/>
      <c r="BV527" s="1"/>
      <c r="BW527" s="1"/>
      <c r="BX527" s="656"/>
      <c r="BZ527" s="657"/>
      <c r="CA527" s="1"/>
      <c r="CB527" s="1"/>
      <c r="CC527" s="1"/>
      <c r="CD527" s="1"/>
      <c r="CE527" s="1"/>
      <c r="CF527" s="1"/>
      <c r="CG527" s="1"/>
      <c r="CH527" s="1"/>
      <c r="CP527" s="305"/>
      <c r="CR527" s="116"/>
      <c r="CZ527" s="1"/>
      <c r="DA527" s="1"/>
      <c r="DB527" s="1"/>
      <c r="DC527" s="1"/>
      <c r="DD527" s="1"/>
      <c r="DE527" s="1"/>
      <c r="DF527" s="1"/>
      <c r="DG527" s="1"/>
      <c r="DH527" s="656"/>
      <c r="DJ527" s="116"/>
    </row>
    <row r="528" spans="2:114" ht="15.75" customHeight="1" x14ac:dyDescent="0.25">
      <c r="B528" s="116"/>
      <c r="I528" s="656"/>
      <c r="K528" s="116"/>
      <c r="X528" s="1"/>
      <c r="Y528" s="1"/>
      <c r="Z528" s="1"/>
      <c r="AA528" s="1"/>
      <c r="AB528" s="656"/>
      <c r="AC528" s="1"/>
      <c r="AD528" s="116"/>
      <c r="AL528" s="656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43"/>
      <c r="BL528" s="116"/>
      <c r="BU528" s="1"/>
      <c r="BV528" s="1"/>
      <c r="BW528" s="1"/>
      <c r="BX528" s="656"/>
      <c r="BZ528" s="657"/>
      <c r="CA528" s="1"/>
      <c r="CB528" s="1"/>
      <c r="CC528" s="1"/>
      <c r="CD528" s="1"/>
      <c r="CE528" s="1"/>
      <c r="CF528" s="1"/>
      <c r="CG528" s="1"/>
      <c r="CH528" s="1"/>
      <c r="CP528" s="305"/>
      <c r="CR528" s="116"/>
      <c r="CZ528" s="1"/>
      <c r="DA528" s="1"/>
      <c r="DB528" s="1"/>
      <c r="DC528" s="1"/>
      <c r="DD528" s="1"/>
      <c r="DE528" s="1"/>
      <c r="DF528" s="1"/>
      <c r="DG528" s="1"/>
      <c r="DH528" s="656"/>
      <c r="DJ528" s="116"/>
    </row>
    <row r="529" spans="2:114" ht="15.75" customHeight="1" x14ac:dyDescent="0.25">
      <c r="B529" s="116"/>
      <c r="I529" s="656"/>
      <c r="K529" s="116"/>
      <c r="X529" s="1"/>
      <c r="Y529" s="1"/>
      <c r="Z529" s="1"/>
      <c r="AA529" s="1"/>
      <c r="AB529" s="656"/>
      <c r="AC529" s="1"/>
      <c r="AD529" s="116"/>
      <c r="AL529" s="656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43"/>
      <c r="BL529" s="116"/>
      <c r="BU529" s="1"/>
      <c r="BV529" s="1"/>
      <c r="BW529" s="1"/>
      <c r="BX529" s="656"/>
      <c r="BZ529" s="657"/>
      <c r="CA529" s="1"/>
      <c r="CB529" s="1"/>
      <c r="CC529" s="1"/>
      <c r="CD529" s="1"/>
      <c r="CE529" s="1"/>
      <c r="CF529" s="1"/>
      <c r="CG529" s="1"/>
      <c r="CH529" s="1"/>
      <c r="CP529" s="305"/>
      <c r="CR529" s="116"/>
      <c r="CZ529" s="1"/>
      <c r="DA529" s="1"/>
      <c r="DB529" s="1"/>
      <c r="DC529" s="1"/>
      <c r="DD529" s="1"/>
      <c r="DE529" s="1"/>
      <c r="DF529" s="1"/>
      <c r="DG529" s="1"/>
      <c r="DH529" s="656"/>
      <c r="DJ529" s="116"/>
    </row>
    <row r="530" spans="2:114" ht="15.75" customHeight="1" x14ac:dyDescent="0.25">
      <c r="B530" s="116"/>
      <c r="I530" s="656"/>
      <c r="K530" s="116"/>
      <c r="X530" s="1"/>
      <c r="Y530" s="1"/>
      <c r="Z530" s="1"/>
      <c r="AA530" s="1"/>
      <c r="AB530" s="656"/>
      <c r="AC530" s="1"/>
      <c r="AD530" s="116"/>
      <c r="AL530" s="656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43"/>
      <c r="BL530" s="116"/>
      <c r="BU530" s="1"/>
      <c r="BV530" s="1"/>
      <c r="BW530" s="1"/>
      <c r="BX530" s="656"/>
      <c r="BZ530" s="657"/>
      <c r="CA530" s="1"/>
      <c r="CB530" s="1"/>
      <c r="CC530" s="1"/>
      <c r="CD530" s="1"/>
      <c r="CE530" s="1"/>
      <c r="CF530" s="1"/>
      <c r="CG530" s="1"/>
      <c r="CH530" s="1"/>
      <c r="CP530" s="305"/>
      <c r="CR530" s="116"/>
      <c r="CZ530" s="1"/>
      <c r="DA530" s="1"/>
      <c r="DB530" s="1"/>
      <c r="DC530" s="1"/>
      <c r="DD530" s="1"/>
      <c r="DE530" s="1"/>
      <c r="DF530" s="1"/>
      <c r="DG530" s="1"/>
      <c r="DH530" s="656"/>
      <c r="DJ530" s="116"/>
    </row>
    <row r="531" spans="2:114" ht="15.75" customHeight="1" x14ac:dyDescent="0.25">
      <c r="B531" s="116"/>
      <c r="I531" s="656"/>
      <c r="K531" s="116"/>
      <c r="X531" s="1"/>
      <c r="Y531" s="1"/>
      <c r="Z531" s="1"/>
      <c r="AA531" s="1"/>
      <c r="AB531" s="656"/>
      <c r="AC531" s="1"/>
      <c r="AD531" s="116"/>
      <c r="AL531" s="656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43"/>
      <c r="BL531" s="116"/>
      <c r="BU531" s="1"/>
      <c r="BV531" s="1"/>
      <c r="BW531" s="1"/>
      <c r="BX531" s="656"/>
      <c r="BZ531" s="657"/>
      <c r="CA531" s="1"/>
      <c r="CB531" s="1"/>
      <c r="CC531" s="1"/>
      <c r="CD531" s="1"/>
      <c r="CE531" s="1"/>
      <c r="CF531" s="1"/>
      <c r="CG531" s="1"/>
      <c r="CH531" s="1"/>
      <c r="CP531" s="305"/>
      <c r="CR531" s="116"/>
      <c r="CZ531" s="1"/>
      <c r="DA531" s="1"/>
      <c r="DB531" s="1"/>
      <c r="DC531" s="1"/>
      <c r="DD531" s="1"/>
      <c r="DE531" s="1"/>
      <c r="DF531" s="1"/>
      <c r="DG531" s="1"/>
      <c r="DH531" s="656"/>
      <c r="DJ531" s="116"/>
    </row>
    <row r="532" spans="2:114" ht="15.75" customHeight="1" x14ac:dyDescent="0.25">
      <c r="B532" s="116"/>
      <c r="I532" s="656"/>
      <c r="K532" s="116"/>
      <c r="X532" s="1"/>
      <c r="Y532" s="1"/>
      <c r="Z532" s="1"/>
      <c r="AA532" s="1"/>
      <c r="AB532" s="656"/>
      <c r="AC532" s="1"/>
      <c r="AD532" s="116"/>
      <c r="AL532" s="656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43"/>
      <c r="BL532" s="116"/>
      <c r="BU532" s="1"/>
      <c r="BV532" s="1"/>
      <c r="BW532" s="1"/>
      <c r="BX532" s="656"/>
      <c r="BZ532" s="657"/>
      <c r="CA532" s="1"/>
      <c r="CB532" s="1"/>
      <c r="CC532" s="1"/>
      <c r="CD532" s="1"/>
      <c r="CE532" s="1"/>
      <c r="CF532" s="1"/>
      <c r="CG532" s="1"/>
      <c r="CH532" s="1"/>
      <c r="CP532" s="305"/>
      <c r="CR532" s="116"/>
      <c r="CZ532" s="1"/>
      <c r="DA532" s="1"/>
      <c r="DB532" s="1"/>
      <c r="DC532" s="1"/>
      <c r="DD532" s="1"/>
      <c r="DE532" s="1"/>
      <c r="DF532" s="1"/>
      <c r="DG532" s="1"/>
      <c r="DH532" s="656"/>
      <c r="DJ532" s="116"/>
    </row>
    <row r="533" spans="2:114" ht="15.75" customHeight="1" x14ac:dyDescent="0.25">
      <c r="B533" s="116"/>
      <c r="I533" s="656"/>
      <c r="K533" s="116"/>
      <c r="X533" s="1"/>
      <c r="Y533" s="1"/>
      <c r="Z533" s="1"/>
      <c r="AA533" s="1"/>
      <c r="AB533" s="656"/>
      <c r="AC533" s="1"/>
      <c r="AD533" s="116"/>
      <c r="AL533" s="656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43"/>
      <c r="BL533" s="116"/>
      <c r="BU533" s="1"/>
      <c r="BV533" s="1"/>
      <c r="BW533" s="1"/>
      <c r="BX533" s="656"/>
      <c r="BZ533" s="657"/>
      <c r="CA533" s="1"/>
      <c r="CB533" s="1"/>
      <c r="CC533" s="1"/>
      <c r="CD533" s="1"/>
      <c r="CE533" s="1"/>
      <c r="CF533" s="1"/>
      <c r="CG533" s="1"/>
      <c r="CH533" s="1"/>
      <c r="CP533" s="305"/>
      <c r="CR533" s="116"/>
      <c r="CZ533" s="1"/>
      <c r="DA533" s="1"/>
      <c r="DB533" s="1"/>
      <c r="DC533" s="1"/>
      <c r="DD533" s="1"/>
      <c r="DE533" s="1"/>
      <c r="DF533" s="1"/>
      <c r="DG533" s="1"/>
      <c r="DH533" s="656"/>
      <c r="DJ533" s="116"/>
    </row>
    <row r="534" spans="2:114" ht="15.75" customHeight="1" x14ac:dyDescent="0.25">
      <c r="B534" s="116"/>
      <c r="I534" s="656"/>
      <c r="K534" s="116"/>
      <c r="X534" s="1"/>
      <c r="Y534" s="1"/>
      <c r="Z534" s="1"/>
      <c r="AA534" s="1"/>
      <c r="AB534" s="656"/>
      <c r="AC534" s="1"/>
      <c r="AD534" s="116"/>
      <c r="AL534" s="656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43"/>
      <c r="BL534" s="116"/>
      <c r="BU534" s="1"/>
      <c r="BV534" s="1"/>
      <c r="BW534" s="1"/>
      <c r="BX534" s="656"/>
      <c r="BZ534" s="657"/>
      <c r="CA534" s="1"/>
      <c r="CB534" s="1"/>
      <c r="CC534" s="1"/>
      <c r="CD534" s="1"/>
      <c r="CE534" s="1"/>
      <c r="CF534" s="1"/>
      <c r="CG534" s="1"/>
      <c r="CH534" s="1"/>
      <c r="CP534" s="305"/>
      <c r="CR534" s="116"/>
      <c r="CZ534" s="1"/>
      <c r="DA534" s="1"/>
      <c r="DB534" s="1"/>
      <c r="DC534" s="1"/>
      <c r="DD534" s="1"/>
      <c r="DE534" s="1"/>
      <c r="DF534" s="1"/>
      <c r="DG534" s="1"/>
      <c r="DH534" s="656"/>
      <c r="DJ534" s="116"/>
    </row>
    <row r="535" spans="2:114" ht="15.75" customHeight="1" x14ac:dyDescent="0.25">
      <c r="B535" s="116"/>
      <c r="I535" s="656"/>
      <c r="K535" s="116"/>
      <c r="X535" s="1"/>
      <c r="Y535" s="1"/>
      <c r="Z535" s="1"/>
      <c r="AA535" s="1"/>
      <c r="AB535" s="656"/>
      <c r="AC535" s="1"/>
      <c r="AD535" s="116"/>
      <c r="AL535" s="656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43"/>
      <c r="BL535" s="116"/>
      <c r="BU535" s="1"/>
      <c r="BV535" s="1"/>
      <c r="BW535" s="1"/>
      <c r="BX535" s="656"/>
      <c r="BZ535" s="657"/>
      <c r="CA535" s="1"/>
      <c r="CB535" s="1"/>
      <c r="CC535" s="1"/>
      <c r="CD535" s="1"/>
      <c r="CE535" s="1"/>
      <c r="CF535" s="1"/>
      <c r="CG535" s="1"/>
      <c r="CH535" s="1"/>
      <c r="CP535" s="305"/>
      <c r="CR535" s="116"/>
      <c r="CZ535" s="1"/>
      <c r="DA535" s="1"/>
      <c r="DB535" s="1"/>
      <c r="DC535" s="1"/>
      <c r="DD535" s="1"/>
      <c r="DE535" s="1"/>
      <c r="DF535" s="1"/>
      <c r="DG535" s="1"/>
      <c r="DH535" s="656"/>
      <c r="DJ535" s="116"/>
    </row>
    <row r="536" spans="2:114" ht="15.75" customHeight="1" x14ac:dyDescent="0.25">
      <c r="B536" s="116"/>
      <c r="I536" s="656"/>
      <c r="K536" s="116"/>
      <c r="X536" s="1"/>
      <c r="Y536" s="1"/>
      <c r="Z536" s="1"/>
      <c r="AA536" s="1"/>
      <c r="AB536" s="656"/>
      <c r="AC536" s="1"/>
      <c r="AD536" s="116"/>
      <c r="AL536" s="656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43"/>
      <c r="BL536" s="116"/>
      <c r="BU536" s="1"/>
      <c r="BV536" s="1"/>
      <c r="BW536" s="1"/>
      <c r="BX536" s="656"/>
      <c r="BZ536" s="657"/>
      <c r="CA536" s="1"/>
      <c r="CB536" s="1"/>
      <c r="CC536" s="1"/>
      <c r="CD536" s="1"/>
      <c r="CE536" s="1"/>
      <c r="CF536" s="1"/>
      <c r="CG536" s="1"/>
      <c r="CH536" s="1"/>
      <c r="CP536" s="305"/>
      <c r="CR536" s="116"/>
      <c r="CZ536" s="1"/>
      <c r="DA536" s="1"/>
      <c r="DB536" s="1"/>
      <c r="DC536" s="1"/>
      <c r="DD536" s="1"/>
      <c r="DE536" s="1"/>
      <c r="DF536" s="1"/>
      <c r="DG536" s="1"/>
      <c r="DH536" s="656"/>
      <c r="DJ536" s="116"/>
    </row>
    <row r="537" spans="2:114" ht="15.75" customHeight="1" x14ac:dyDescent="0.25">
      <c r="B537" s="116"/>
      <c r="I537" s="656"/>
      <c r="K537" s="116"/>
      <c r="X537" s="1"/>
      <c r="Y537" s="1"/>
      <c r="Z537" s="1"/>
      <c r="AA537" s="1"/>
      <c r="AB537" s="656"/>
      <c r="AC537" s="1"/>
      <c r="AD537" s="116"/>
      <c r="AL537" s="656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43"/>
      <c r="BL537" s="116"/>
      <c r="BU537" s="1"/>
      <c r="BV537" s="1"/>
      <c r="BW537" s="1"/>
      <c r="BX537" s="656"/>
      <c r="BZ537" s="657"/>
      <c r="CA537" s="1"/>
      <c r="CB537" s="1"/>
      <c r="CC537" s="1"/>
      <c r="CD537" s="1"/>
      <c r="CE537" s="1"/>
      <c r="CF537" s="1"/>
      <c r="CG537" s="1"/>
      <c r="CH537" s="1"/>
      <c r="CP537" s="305"/>
      <c r="CR537" s="116"/>
      <c r="CZ537" s="1"/>
      <c r="DA537" s="1"/>
      <c r="DB537" s="1"/>
      <c r="DC537" s="1"/>
      <c r="DD537" s="1"/>
      <c r="DE537" s="1"/>
      <c r="DF537" s="1"/>
      <c r="DG537" s="1"/>
      <c r="DH537" s="656"/>
      <c r="DJ537" s="116"/>
    </row>
    <row r="538" spans="2:114" ht="15.75" customHeight="1" x14ac:dyDescent="0.25">
      <c r="B538" s="116"/>
      <c r="I538" s="656"/>
      <c r="K538" s="116"/>
      <c r="X538" s="1"/>
      <c r="Y538" s="1"/>
      <c r="Z538" s="1"/>
      <c r="AA538" s="1"/>
      <c r="AB538" s="656"/>
      <c r="AC538" s="1"/>
      <c r="AD538" s="116"/>
      <c r="AL538" s="656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43"/>
      <c r="BL538" s="116"/>
      <c r="BU538" s="1"/>
      <c r="BV538" s="1"/>
      <c r="BW538" s="1"/>
      <c r="BX538" s="656"/>
      <c r="BZ538" s="657"/>
      <c r="CA538" s="1"/>
      <c r="CB538" s="1"/>
      <c r="CC538" s="1"/>
      <c r="CD538" s="1"/>
      <c r="CE538" s="1"/>
      <c r="CF538" s="1"/>
      <c r="CG538" s="1"/>
      <c r="CH538" s="1"/>
      <c r="CP538" s="305"/>
      <c r="CR538" s="116"/>
      <c r="CZ538" s="1"/>
      <c r="DA538" s="1"/>
      <c r="DB538" s="1"/>
      <c r="DC538" s="1"/>
      <c r="DD538" s="1"/>
      <c r="DE538" s="1"/>
      <c r="DF538" s="1"/>
      <c r="DG538" s="1"/>
      <c r="DH538" s="656"/>
      <c r="DJ538" s="116"/>
    </row>
    <row r="539" spans="2:114" ht="15.75" customHeight="1" x14ac:dyDescent="0.25">
      <c r="B539" s="116"/>
      <c r="I539" s="656"/>
      <c r="K539" s="116"/>
      <c r="X539" s="1"/>
      <c r="Y539" s="1"/>
      <c r="Z539" s="1"/>
      <c r="AA539" s="1"/>
      <c r="AB539" s="656"/>
      <c r="AC539" s="1"/>
      <c r="AD539" s="116"/>
      <c r="AL539" s="656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43"/>
      <c r="BL539" s="116"/>
      <c r="BU539" s="1"/>
      <c r="BV539" s="1"/>
      <c r="BW539" s="1"/>
      <c r="BX539" s="656"/>
      <c r="BZ539" s="657"/>
      <c r="CA539" s="1"/>
      <c r="CB539" s="1"/>
      <c r="CC539" s="1"/>
      <c r="CD539" s="1"/>
      <c r="CE539" s="1"/>
      <c r="CF539" s="1"/>
      <c r="CG539" s="1"/>
      <c r="CH539" s="1"/>
      <c r="CP539" s="305"/>
      <c r="CR539" s="116"/>
      <c r="CZ539" s="1"/>
      <c r="DA539" s="1"/>
      <c r="DB539" s="1"/>
      <c r="DC539" s="1"/>
      <c r="DD539" s="1"/>
      <c r="DE539" s="1"/>
      <c r="DF539" s="1"/>
      <c r="DG539" s="1"/>
      <c r="DH539" s="656"/>
      <c r="DJ539" s="116"/>
    </row>
    <row r="540" spans="2:114" ht="15.75" customHeight="1" x14ac:dyDescent="0.25">
      <c r="B540" s="116"/>
      <c r="I540" s="656"/>
      <c r="K540" s="116"/>
      <c r="X540" s="1"/>
      <c r="Y540" s="1"/>
      <c r="Z540" s="1"/>
      <c r="AA540" s="1"/>
      <c r="AB540" s="656"/>
      <c r="AC540" s="1"/>
      <c r="AD540" s="116"/>
      <c r="AL540" s="656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43"/>
      <c r="BL540" s="116"/>
      <c r="BU540" s="1"/>
      <c r="BV540" s="1"/>
      <c r="BW540" s="1"/>
      <c r="BX540" s="656"/>
      <c r="BZ540" s="657"/>
      <c r="CA540" s="1"/>
      <c r="CB540" s="1"/>
      <c r="CC540" s="1"/>
      <c r="CD540" s="1"/>
      <c r="CE540" s="1"/>
      <c r="CF540" s="1"/>
      <c r="CG540" s="1"/>
      <c r="CH540" s="1"/>
      <c r="CP540" s="305"/>
      <c r="CR540" s="116"/>
      <c r="CZ540" s="1"/>
      <c r="DA540" s="1"/>
      <c r="DB540" s="1"/>
      <c r="DC540" s="1"/>
      <c r="DD540" s="1"/>
      <c r="DE540" s="1"/>
      <c r="DF540" s="1"/>
      <c r="DG540" s="1"/>
      <c r="DH540" s="656"/>
      <c r="DJ540" s="116"/>
    </row>
    <row r="541" spans="2:114" ht="15.75" customHeight="1" x14ac:dyDescent="0.25">
      <c r="B541" s="116"/>
      <c r="I541" s="656"/>
      <c r="K541" s="116"/>
      <c r="X541" s="1"/>
      <c r="Y541" s="1"/>
      <c r="Z541" s="1"/>
      <c r="AA541" s="1"/>
      <c r="AB541" s="656"/>
      <c r="AC541" s="1"/>
      <c r="AD541" s="116"/>
      <c r="AL541" s="656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43"/>
      <c r="BL541" s="116"/>
      <c r="BU541" s="1"/>
      <c r="BV541" s="1"/>
      <c r="BW541" s="1"/>
      <c r="BX541" s="656"/>
      <c r="BZ541" s="657"/>
      <c r="CA541" s="1"/>
      <c r="CB541" s="1"/>
      <c r="CC541" s="1"/>
      <c r="CD541" s="1"/>
      <c r="CE541" s="1"/>
      <c r="CF541" s="1"/>
      <c r="CG541" s="1"/>
      <c r="CH541" s="1"/>
      <c r="CP541" s="305"/>
      <c r="CR541" s="116"/>
      <c r="CZ541" s="1"/>
      <c r="DA541" s="1"/>
      <c r="DB541" s="1"/>
      <c r="DC541" s="1"/>
      <c r="DD541" s="1"/>
      <c r="DE541" s="1"/>
      <c r="DF541" s="1"/>
      <c r="DG541" s="1"/>
      <c r="DH541" s="656"/>
      <c r="DJ541" s="116"/>
    </row>
    <row r="542" spans="2:114" ht="15.75" customHeight="1" x14ac:dyDescent="0.25">
      <c r="B542" s="116"/>
      <c r="I542" s="656"/>
      <c r="K542" s="116"/>
      <c r="X542" s="1"/>
      <c r="Y542" s="1"/>
      <c r="Z542" s="1"/>
      <c r="AA542" s="1"/>
      <c r="AB542" s="656"/>
      <c r="AC542" s="1"/>
      <c r="AD542" s="116"/>
      <c r="AL542" s="656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43"/>
      <c r="BL542" s="116"/>
      <c r="BU542" s="1"/>
      <c r="BV542" s="1"/>
      <c r="BW542" s="1"/>
      <c r="BX542" s="656"/>
      <c r="BZ542" s="657"/>
      <c r="CA542" s="1"/>
      <c r="CB542" s="1"/>
      <c r="CC542" s="1"/>
      <c r="CD542" s="1"/>
      <c r="CE542" s="1"/>
      <c r="CF542" s="1"/>
      <c r="CG542" s="1"/>
      <c r="CH542" s="1"/>
      <c r="CP542" s="305"/>
      <c r="CR542" s="116"/>
      <c r="CZ542" s="1"/>
      <c r="DA542" s="1"/>
      <c r="DB542" s="1"/>
      <c r="DC542" s="1"/>
      <c r="DD542" s="1"/>
      <c r="DE542" s="1"/>
      <c r="DF542" s="1"/>
      <c r="DG542" s="1"/>
      <c r="DH542" s="656"/>
      <c r="DJ542" s="116"/>
    </row>
    <row r="543" spans="2:114" ht="15.75" customHeight="1" x14ac:dyDescent="0.25">
      <c r="B543" s="116"/>
      <c r="I543" s="656"/>
      <c r="K543" s="116"/>
      <c r="X543" s="1"/>
      <c r="Y543" s="1"/>
      <c r="Z543" s="1"/>
      <c r="AA543" s="1"/>
      <c r="AB543" s="656"/>
      <c r="AC543" s="1"/>
      <c r="AD543" s="116"/>
      <c r="AL543" s="656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43"/>
      <c r="BL543" s="116"/>
      <c r="BU543" s="1"/>
      <c r="BV543" s="1"/>
      <c r="BW543" s="1"/>
      <c r="BX543" s="656"/>
      <c r="BZ543" s="657"/>
      <c r="CA543" s="1"/>
      <c r="CB543" s="1"/>
      <c r="CC543" s="1"/>
      <c r="CD543" s="1"/>
      <c r="CE543" s="1"/>
      <c r="CF543" s="1"/>
      <c r="CG543" s="1"/>
      <c r="CH543" s="1"/>
      <c r="CP543" s="305"/>
      <c r="CR543" s="116"/>
      <c r="CZ543" s="1"/>
      <c r="DA543" s="1"/>
      <c r="DB543" s="1"/>
      <c r="DC543" s="1"/>
      <c r="DD543" s="1"/>
      <c r="DE543" s="1"/>
      <c r="DF543" s="1"/>
      <c r="DG543" s="1"/>
      <c r="DH543" s="656"/>
      <c r="DJ543" s="116"/>
    </row>
    <row r="544" spans="2:114" ht="15.75" customHeight="1" x14ac:dyDescent="0.25">
      <c r="B544" s="116"/>
      <c r="I544" s="656"/>
      <c r="K544" s="116"/>
      <c r="X544" s="1"/>
      <c r="Y544" s="1"/>
      <c r="Z544" s="1"/>
      <c r="AA544" s="1"/>
      <c r="AB544" s="656"/>
      <c r="AC544" s="1"/>
      <c r="AD544" s="116"/>
      <c r="AL544" s="656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43"/>
      <c r="BL544" s="116"/>
      <c r="BU544" s="1"/>
      <c r="BV544" s="1"/>
      <c r="BW544" s="1"/>
      <c r="BX544" s="656"/>
      <c r="BZ544" s="657"/>
      <c r="CA544" s="1"/>
      <c r="CB544" s="1"/>
      <c r="CC544" s="1"/>
      <c r="CD544" s="1"/>
      <c r="CE544" s="1"/>
      <c r="CF544" s="1"/>
      <c r="CG544" s="1"/>
      <c r="CH544" s="1"/>
      <c r="CP544" s="305"/>
      <c r="CR544" s="116"/>
      <c r="CZ544" s="1"/>
      <c r="DA544" s="1"/>
      <c r="DB544" s="1"/>
      <c r="DC544" s="1"/>
      <c r="DD544" s="1"/>
      <c r="DE544" s="1"/>
      <c r="DF544" s="1"/>
      <c r="DG544" s="1"/>
      <c r="DH544" s="656"/>
      <c r="DJ544" s="116"/>
    </row>
    <row r="545" spans="2:114" ht="15.75" customHeight="1" x14ac:dyDescent="0.25">
      <c r="B545" s="116"/>
      <c r="I545" s="656"/>
      <c r="K545" s="116"/>
      <c r="X545" s="1"/>
      <c r="Y545" s="1"/>
      <c r="Z545" s="1"/>
      <c r="AA545" s="1"/>
      <c r="AB545" s="656"/>
      <c r="AC545" s="1"/>
      <c r="AD545" s="116"/>
      <c r="AL545" s="656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43"/>
      <c r="BL545" s="116"/>
      <c r="BU545" s="1"/>
      <c r="BV545" s="1"/>
      <c r="BW545" s="1"/>
      <c r="BX545" s="656"/>
      <c r="BZ545" s="657"/>
      <c r="CA545" s="1"/>
      <c r="CB545" s="1"/>
      <c r="CC545" s="1"/>
      <c r="CD545" s="1"/>
      <c r="CE545" s="1"/>
      <c r="CF545" s="1"/>
      <c r="CG545" s="1"/>
      <c r="CH545" s="1"/>
      <c r="CP545" s="305"/>
      <c r="CR545" s="116"/>
      <c r="CZ545" s="1"/>
      <c r="DA545" s="1"/>
      <c r="DB545" s="1"/>
      <c r="DC545" s="1"/>
      <c r="DD545" s="1"/>
      <c r="DE545" s="1"/>
      <c r="DF545" s="1"/>
      <c r="DG545" s="1"/>
      <c r="DH545" s="656"/>
      <c r="DJ545" s="116"/>
    </row>
    <row r="546" spans="2:114" ht="15.75" customHeight="1" x14ac:dyDescent="0.25">
      <c r="B546" s="116"/>
      <c r="I546" s="656"/>
      <c r="K546" s="116"/>
      <c r="X546" s="1"/>
      <c r="Y546" s="1"/>
      <c r="Z546" s="1"/>
      <c r="AA546" s="1"/>
      <c r="AB546" s="656"/>
      <c r="AC546" s="1"/>
      <c r="AD546" s="116"/>
      <c r="AL546" s="656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43"/>
      <c r="BL546" s="116"/>
      <c r="BU546" s="1"/>
      <c r="BV546" s="1"/>
      <c r="BW546" s="1"/>
      <c r="BX546" s="656"/>
      <c r="BZ546" s="657"/>
      <c r="CA546" s="1"/>
      <c r="CB546" s="1"/>
      <c r="CC546" s="1"/>
      <c r="CD546" s="1"/>
      <c r="CE546" s="1"/>
      <c r="CF546" s="1"/>
      <c r="CG546" s="1"/>
      <c r="CH546" s="1"/>
      <c r="CP546" s="305"/>
      <c r="CR546" s="116"/>
      <c r="CZ546" s="1"/>
      <c r="DA546" s="1"/>
      <c r="DB546" s="1"/>
      <c r="DC546" s="1"/>
      <c r="DD546" s="1"/>
      <c r="DE546" s="1"/>
      <c r="DF546" s="1"/>
      <c r="DG546" s="1"/>
      <c r="DH546" s="656"/>
      <c r="DJ546" s="116"/>
    </row>
    <row r="547" spans="2:114" ht="15.75" customHeight="1" x14ac:dyDescent="0.25">
      <c r="B547" s="116"/>
      <c r="I547" s="656"/>
      <c r="K547" s="116"/>
      <c r="X547" s="1"/>
      <c r="Y547" s="1"/>
      <c r="Z547" s="1"/>
      <c r="AA547" s="1"/>
      <c r="AB547" s="656"/>
      <c r="AC547" s="1"/>
      <c r="AD547" s="116"/>
      <c r="AL547" s="656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43"/>
      <c r="BL547" s="116"/>
      <c r="BU547" s="1"/>
      <c r="BV547" s="1"/>
      <c r="BW547" s="1"/>
      <c r="BX547" s="656"/>
      <c r="BZ547" s="657"/>
      <c r="CA547" s="1"/>
      <c r="CB547" s="1"/>
      <c r="CC547" s="1"/>
      <c r="CD547" s="1"/>
      <c r="CE547" s="1"/>
      <c r="CF547" s="1"/>
      <c r="CG547" s="1"/>
      <c r="CH547" s="1"/>
      <c r="CP547" s="305"/>
      <c r="CR547" s="116"/>
      <c r="CZ547" s="1"/>
      <c r="DA547" s="1"/>
      <c r="DB547" s="1"/>
      <c r="DC547" s="1"/>
      <c r="DD547" s="1"/>
      <c r="DE547" s="1"/>
      <c r="DF547" s="1"/>
      <c r="DG547" s="1"/>
      <c r="DH547" s="656"/>
      <c r="DJ547" s="116"/>
    </row>
    <row r="548" spans="2:114" ht="15.75" customHeight="1" x14ac:dyDescent="0.25">
      <c r="B548" s="116"/>
      <c r="I548" s="656"/>
      <c r="K548" s="116"/>
      <c r="X548" s="1"/>
      <c r="Y548" s="1"/>
      <c r="Z548" s="1"/>
      <c r="AA548" s="1"/>
      <c r="AB548" s="656"/>
      <c r="AC548" s="1"/>
      <c r="AD548" s="116"/>
      <c r="AL548" s="656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43"/>
      <c r="BL548" s="116"/>
      <c r="BU548" s="1"/>
      <c r="BV548" s="1"/>
      <c r="BW548" s="1"/>
      <c r="BX548" s="656"/>
      <c r="BZ548" s="657"/>
      <c r="CA548" s="1"/>
      <c r="CB548" s="1"/>
      <c r="CC548" s="1"/>
      <c r="CD548" s="1"/>
      <c r="CE548" s="1"/>
      <c r="CF548" s="1"/>
      <c r="CG548" s="1"/>
      <c r="CH548" s="1"/>
      <c r="CP548" s="305"/>
      <c r="CR548" s="116"/>
      <c r="CZ548" s="1"/>
      <c r="DA548" s="1"/>
      <c r="DB548" s="1"/>
      <c r="DC548" s="1"/>
      <c r="DD548" s="1"/>
      <c r="DE548" s="1"/>
      <c r="DF548" s="1"/>
      <c r="DG548" s="1"/>
      <c r="DH548" s="656"/>
      <c r="DJ548" s="116"/>
    </row>
    <row r="549" spans="2:114" ht="15.75" customHeight="1" x14ac:dyDescent="0.25">
      <c r="B549" s="116"/>
      <c r="I549" s="656"/>
      <c r="K549" s="116"/>
      <c r="X549" s="1"/>
      <c r="Y549" s="1"/>
      <c r="Z549" s="1"/>
      <c r="AA549" s="1"/>
      <c r="AB549" s="656"/>
      <c r="AC549" s="1"/>
      <c r="AD549" s="116"/>
      <c r="AL549" s="656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43"/>
      <c r="BL549" s="116"/>
      <c r="BU549" s="1"/>
      <c r="BV549" s="1"/>
      <c r="BW549" s="1"/>
      <c r="BX549" s="656"/>
      <c r="BZ549" s="657"/>
      <c r="CA549" s="1"/>
      <c r="CB549" s="1"/>
      <c r="CC549" s="1"/>
      <c r="CD549" s="1"/>
      <c r="CE549" s="1"/>
      <c r="CF549" s="1"/>
      <c r="CG549" s="1"/>
      <c r="CH549" s="1"/>
      <c r="CP549" s="305"/>
      <c r="CR549" s="116"/>
      <c r="CZ549" s="1"/>
      <c r="DA549" s="1"/>
      <c r="DB549" s="1"/>
      <c r="DC549" s="1"/>
      <c r="DD549" s="1"/>
      <c r="DE549" s="1"/>
      <c r="DF549" s="1"/>
      <c r="DG549" s="1"/>
      <c r="DH549" s="656"/>
      <c r="DJ549" s="116"/>
    </row>
    <row r="550" spans="2:114" ht="15.75" customHeight="1" x14ac:dyDescent="0.25">
      <c r="B550" s="116"/>
      <c r="I550" s="656"/>
      <c r="K550" s="116"/>
      <c r="X550" s="1"/>
      <c r="Y550" s="1"/>
      <c r="Z550" s="1"/>
      <c r="AA550" s="1"/>
      <c r="AB550" s="656"/>
      <c r="AC550" s="1"/>
      <c r="AD550" s="116"/>
      <c r="AL550" s="656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43"/>
      <c r="BL550" s="116"/>
      <c r="BU550" s="1"/>
      <c r="BV550" s="1"/>
      <c r="BW550" s="1"/>
      <c r="BX550" s="656"/>
      <c r="BZ550" s="657"/>
      <c r="CA550" s="1"/>
      <c r="CB550" s="1"/>
      <c r="CC550" s="1"/>
      <c r="CD550" s="1"/>
      <c r="CE550" s="1"/>
      <c r="CF550" s="1"/>
      <c r="CG550" s="1"/>
      <c r="CH550" s="1"/>
      <c r="CP550" s="305"/>
      <c r="CR550" s="116"/>
      <c r="CZ550" s="1"/>
      <c r="DA550" s="1"/>
      <c r="DB550" s="1"/>
      <c r="DC550" s="1"/>
      <c r="DD550" s="1"/>
      <c r="DE550" s="1"/>
      <c r="DF550" s="1"/>
      <c r="DG550" s="1"/>
      <c r="DH550" s="656"/>
      <c r="DJ550" s="116"/>
    </row>
    <row r="551" spans="2:114" ht="15.75" customHeight="1" x14ac:dyDescent="0.25">
      <c r="B551" s="116"/>
      <c r="I551" s="656"/>
      <c r="K551" s="116"/>
      <c r="X551" s="1"/>
      <c r="Y551" s="1"/>
      <c r="Z551" s="1"/>
      <c r="AA551" s="1"/>
      <c r="AB551" s="656"/>
      <c r="AC551" s="1"/>
      <c r="AD551" s="116"/>
      <c r="AL551" s="656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43"/>
      <c r="BL551" s="116"/>
      <c r="BU551" s="1"/>
      <c r="BV551" s="1"/>
      <c r="BW551" s="1"/>
      <c r="BX551" s="656"/>
      <c r="BZ551" s="657"/>
      <c r="CA551" s="1"/>
      <c r="CB551" s="1"/>
      <c r="CC551" s="1"/>
      <c r="CD551" s="1"/>
      <c r="CE551" s="1"/>
      <c r="CF551" s="1"/>
      <c r="CG551" s="1"/>
      <c r="CH551" s="1"/>
      <c r="CP551" s="305"/>
      <c r="CR551" s="116"/>
      <c r="CZ551" s="1"/>
      <c r="DA551" s="1"/>
      <c r="DB551" s="1"/>
      <c r="DC551" s="1"/>
      <c r="DD551" s="1"/>
      <c r="DE551" s="1"/>
      <c r="DF551" s="1"/>
      <c r="DG551" s="1"/>
      <c r="DH551" s="656"/>
      <c r="DJ551" s="116"/>
    </row>
    <row r="552" spans="2:114" ht="15.75" customHeight="1" x14ac:dyDescent="0.25">
      <c r="B552" s="116"/>
      <c r="I552" s="656"/>
      <c r="K552" s="116"/>
      <c r="X552" s="1"/>
      <c r="Y552" s="1"/>
      <c r="Z552" s="1"/>
      <c r="AA552" s="1"/>
      <c r="AB552" s="656"/>
      <c r="AC552" s="1"/>
      <c r="AD552" s="116"/>
      <c r="AL552" s="656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43"/>
      <c r="BL552" s="116"/>
      <c r="BU552" s="1"/>
      <c r="BV552" s="1"/>
      <c r="BW552" s="1"/>
      <c r="BX552" s="656"/>
      <c r="BZ552" s="657"/>
      <c r="CA552" s="1"/>
      <c r="CB552" s="1"/>
      <c r="CC552" s="1"/>
      <c r="CD552" s="1"/>
      <c r="CE552" s="1"/>
      <c r="CF552" s="1"/>
      <c r="CG552" s="1"/>
      <c r="CH552" s="1"/>
      <c r="CP552" s="305"/>
      <c r="CR552" s="116"/>
      <c r="CZ552" s="1"/>
      <c r="DA552" s="1"/>
      <c r="DB552" s="1"/>
      <c r="DC552" s="1"/>
      <c r="DD552" s="1"/>
      <c r="DE552" s="1"/>
      <c r="DF552" s="1"/>
      <c r="DG552" s="1"/>
      <c r="DH552" s="656"/>
      <c r="DJ552" s="116"/>
    </row>
    <row r="553" spans="2:114" ht="15.75" customHeight="1" x14ac:dyDescent="0.25">
      <c r="B553" s="116"/>
      <c r="I553" s="656"/>
      <c r="K553" s="116"/>
      <c r="X553" s="1"/>
      <c r="Y553" s="1"/>
      <c r="Z553" s="1"/>
      <c r="AA553" s="1"/>
      <c r="AB553" s="656"/>
      <c r="AC553" s="1"/>
      <c r="AD553" s="116"/>
      <c r="AL553" s="656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43"/>
      <c r="BL553" s="116"/>
      <c r="BU553" s="1"/>
      <c r="BV553" s="1"/>
      <c r="BW553" s="1"/>
      <c r="BX553" s="656"/>
      <c r="BZ553" s="657"/>
      <c r="CA553" s="1"/>
      <c r="CB553" s="1"/>
      <c r="CC553" s="1"/>
      <c r="CD553" s="1"/>
      <c r="CE553" s="1"/>
      <c r="CF553" s="1"/>
      <c r="CG553" s="1"/>
      <c r="CH553" s="1"/>
      <c r="CP553" s="305"/>
      <c r="CR553" s="116"/>
      <c r="CZ553" s="1"/>
      <c r="DA553" s="1"/>
      <c r="DB553" s="1"/>
      <c r="DC553" s="1"/>
      <c r="DD553" s="1"/>
      <c r="DE553" s="1"/>
      <c r="DF553" s="1"/>
      <c r="DG553" s="1"/>
      <c r="DH553" s="656"/>
      <c r="DJ553" s="116"/>
    </row>
    <row r="554" spans="2:114" ht="15.75" customHeight="1" x14ac:dyDescent="0.25">
      <c r="B554" s="116"/>
      <c r="I554" s="656"/>
      <c r="K554" s="116"/>
      <c r="X554" s="1"/>
      <c r="Y554" s="1"/>
      <c r="Z554" s="1"/>
      <c r="AA554" s="1"/>
      <c r="AB554" s="656"/>
      <c r="AC554" s="1"/>
      <c r="AD554" s="116"/>
      <c r="AL554" s="656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43"/>
      <c r="BL554" s="116"/>
      <c r="BU554" s="1"/>
      <c r="BV554" s="1"/>
      <c r="BW554" s="1"/>
      <c r="BX554" s="656"/>
      <c r="BZ554" s="657"/>
      <c r="CA554" s="1"/>
      <c r="CB554" s="1"/>
      <c r="CC554" s="1"/>
      <c r="CD554" s="1"/>
      <c r="CE554" s="1"/>
      <c r="CF554" s="1"/>
      <c r="CG554" s="1"/>
      <c r="CH554" s="1"/>
      <c r="CP554" s="305"/>
      <c r="CR554" s="116"/>
      <c r="CZ554" s="1"/>
      <c r="DA554" s="1"/>
      <c r="DB554" s="1"/>
      <c r="DC554" s="1"/>
      <c r="DD554" s="1"/>
      <c r="DE554" s="1"/>
      <c r="DF554" s="1"/>
      <c r="DG554" s="1"/>
      <c r="DH554" s="656"/>
      <c r="DJ554" s="116"/>
    </row>
    <row r="555" spans="2:114" ht="15.75" customHeight="1" x14ac:dyDescent="0.25">
      <c r="B555" s="116"/>
      <c r="I555" s="656"/>
      <c r="K555" s="116"/>
      <c r="X555" s="1"/>
      <c r="Y555" s="1"/>
      <c r="Z555" s="1"/>
      <c r="AA555" s="1"/>
      <c r="AB555" s="656"/>
      <c r="AC555" s="1"/>
      <c r="AD555" s="116"/>
      <c r="AL555" s="656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43"/>
      <c r="BL555" s="116"/>
      <c r="BU555" s="1"/>
      <c r="BV555" s="1"/>
      <c r="BW555" s="1"/>
      <c r="BX555" s="656"/>
      <c r="BZ555" s="657"/>
      <c r="CA555" s="1"/>
      <c r="CB555" s="1"/>
      <c r="CC555" s="1"/>
      <c r="CD555" s="1"/>
      <c r="CE555" s="1"/>
      <c r="CF555" s="1"/>
      <c r="CG555" s="1"/>
      <c r="CH555" s="1"/>
      <c r="CP555" s="305"/>
      <c r="CR555" s="116"/>
      <c r="CZ555" s="1"/>
      <c r="DA555" s="1"/>
      <c r="DB555" s="1"/>
      <c r="DC555" s="1"/>
      <c r="DD555" s="1"/>
      <c r="DE555" s="1"/>
      <c r="DF555" s="1"/>
      <c r="DG555" s="1"/>
      <c r="DH555" s="656"/>
      <c r="DJ555" s="116"/>
    </row>
    <row r="556" spans="2:114" ht="15.75" customHeight="1" x14ac:dyDescent="0.25">
      <c r="B556" s="116"/>
      <c r="I556" s="656"/>
      <c r="K556" s="116"/>
      <c r="X556" s="1"/>
      <c r="Y556" s="1"/>
      <c r="Z556" s="1"/>
      <c r="AA556" s="1"/>
      <c r="AB556" s="656"/>
      <c r="AC556" s="1"/>
      <c r="AD556" s="116"/>
      <c r="AL556" s="656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43"/>
      <c r="BL556" s="116"/>
      <c r="BU556" s="1"/>
      <c r="BV556" s="1"/>
      <c r="BW556" s="1"/>
      <c r="BX556" s="656"/>
      <c r="BZ556" s="657"/>
      <c r="CA556" s="1"/>
      <c r="CB556" s="1"/>
      <c r="CC556" s="1"/>
      <c r="CD556" s="1"/>
      <c r="CE556" s="1"/>
      <c r="CF556" s="1"/>
      <c r="CG556" s="1"/>
      <c r="CH556" s="1"/>
      <c r="CP556" s="305"/>
      <c r="CR556" s="116"/>
      <c r="CZ556" s="1"/>
      <c r="DA556" s="1"/>
      <c r="DB556" s="1"/>
      <c r="DC556" s="1"/>
      <c r="DD556" s="1"/>
      <c r="DE556" s="1"/>
      <c r="DF556" s="1"/>
      <c r="DG556" s="1"/>
      <c r="DH556" s="656"/>
      <c r="DJ556" s="116"/>
    </row>
    <row r="557" spans="2:114" ht="15.75" customHeight="1" x14ac:dyDescent="0.25">
      <c r="B557" s="116"/>
      <c r="I557" s="656"/>
      <c r="K557" s="116"/>
      <c r="X557" s="1"/>
      <c r="Y557" s="1"/>
      <c r="Z557" s="1"/>
      <c r="AA557" s="1"/>
      <c r="AB557" s="656"/>
      <c r="AC557" s="1"/>
      <c r="AD557" s="116"/>
      <c r="AL557" s="656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43"/>
      <c r="BL557" s="116"/>
      <c r="BU557" s="1"/>
      <c r="BV557" s="1"/>
      <c r="BW557" s="1"/>
      <c r="BX557" s="656"/>
      <c r="BZ557" s="657"/>
      <c r="CA557" s="1"/>
      <c r="CB557" s="1"/>
      <c r="CC557" s="1"/>
      <c r="CD557" s="1"/>
      <c r="CE557" s="1"/>
      <c r="CF557" s="1"/>
      <c r="CG557" s="1"/>
      <c r="CH557" s="1"/>
      <c r="CP557" s="305"/>
      <c r="CR557" s="116"/>
      <c r="CZ557" s="1"/>
      <c r="DA557" s="1"/>
      <c r="DB557" s="1"/>
      <c r="DC557" s="1"/>
      <c r="DD557" s="1"/>
      <c r="DE557" s="1"/>
      <c r="DF557" s="1"/>
      <c r="DG557" s="1"/>
      <c r="DH557" s="656"/>
      <c r="DJ557" s="116"/>
    </row>
    <row r="558" spans="2:114" ht="15.75" customHeight="1" x14ac:dyDescent="0.25">
      <c r="B558" s="116"/>
      <c r="I558" s="656"/>
      <c r="K558" s="116"/>
      <c r="X558" s="1"/>
      <c r="Y558" s="1"/>
      <c r="Z558" s="1"/>
      <c r="AA558" s="1"/>
      <c r="AB558" s="656"/>
      <c r="AC558" s="1"/>
      <c r="AD558" s="116"/>
      <c r="AL558" s="656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43"/>
      <c r="BL558" s="116"/>
      <c r="BU558" s="1"/>
      <c r="BV558" s="1"/>
      <c r="BW558" s="1"/>
      <c r="BX558" s="656"/>
      <c r="BZ558" s="657"/>
      <c r="CA558" s="1"/>
      <c r="CB558" s="1"/>
      <c r="CC558" s="1"/>
      <c r="CD558" s="1"/>
      <c r="CE558" s="1"/>
      <c r="CF558" s="1"/>
      <c r="CG558" s="1"/>
      <c r="CH558" s="1"/>
      <c r="CP558" s="305"/>
      <c r="CR558" s="116"/>
      <c r="CZ558" s="1"/>
      <c r="DA558" s="1"/>
      <c r="DB558" s="1"/>
      <c r="DC558" s="1"/>
      <c r="DD558" s="1"/>
      <c r="DE558" s="1"/>
      <c r="DF558" s="1"/>
      <c r="DG558" s="1"/>
      <c r="DH558" s="656"/>
      <c r="DJ558" s="116"/>
    </row>
    <row r="559" spans="2:114" ht="15.75" customHeight="1" x14ac:dyDescent="0.25">
      <c r="B559" s="116"/>
      <c r="I559" s="656"/>
      <c r="K559" s="116"/>
      <c r="X559" s="1"/>
      <c r="Y559" s="1"/>
      <c r="Z559" s="1"/>
      <c r="AA559" s="1"/>
      <c r="AB559" s="656"/>
      <c r="AC559" s="1"/>
      <c r="AD559" s="116"/>
      <c r="AL559" s="656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43"/>
      <c r="BL559" s="116"/>
      <c r="BU559" s="1"/>
      <c r="BV559" s="1"/>
      <c r="BW559" s="1"/>
      <c r="BX559" s="656"/>
      <c r="BZ559" s="657"/>
      <c r="CA559" s="1"/>
      <c r="CB559" s="1"/>
      <c r="CC559" s="1"/>
      <c r="CD559" s="1"/>
      <c r="CE559" s="1"/>
      <c r="CF559" s="1"/>
      <c r="CG559" s="1"/>
      <c r="CH559" s="1"/>
      <c r="CP559" s="305"/>
      <c r="CR559" s="116"/>
      <c r="CZ559" s="1"/>
      <c r="DA559" s="1"/>
      <c r="DB559" s="1"/>
      <c r="DC559" s="1"/>
      <c r="DD559" s="1"/>
      <c r="DE559" s="1"/>
      <c r="DF559" s="1"/>
      <c r="DG559" s="1"/>
      <c r="DH559" s="656"/>
      <c r="DJ559" s="116"/>
    </row>
    <row r="560" spans="2:114" ht="15.75" customHeight="1" x14ac:dyDescent="0.25">
      <c r="B560" s="116"/>
      <c r="I560" s="656"/>
      <c r="K560" s="116"/>
      <c r="X560" s="1"/>
      <c r="Y560" s="1"/>
      <c r="Z560" s="1"/>
      <c r="AA560" s="1"/>
      <c r="AB560" s="656"/>
      <c r="AC560" s="1"/>
      <c r="AD560" s="116"/>
      <c r="AL560" s="656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43"/>
      <c r="BL560" s="116"/>
      <c r="BU560" s="1"/>
      <c r="BV560" s="1"/>
      <c r="BW560" s="1"/>
      <c r="BX560" s="656"/>
      <c r="BZ560" s="657"/>
      <c r="CA560" s="1"/>
      <c r="CB560" s="1"/>
      <c r="CC560" s="1"/>
      <c r="CD560" s="1"/>
      <c r="CE560" s="1"/>
      <c r="CF560" s="1"/>
      <c r="CG560" s="1"/>
      <c r="CH560" s="1"/>
      <c r="CP560" s="305"/>
      <c r="CR560" s="116"/>
      <c r="CZ560" s="1"/>
      <c r="DA560" s="1"/>
      <c r="DB560" s="1"/>
      <c r="DC560" s="1"/>
      <c r="DD560" s="1"/>
      <c r="DE560" s="1"/>
      <c r="DF560" s="1"/>
      <c r="DG560" s="1"/>
      <c r="DH560" s="656"/>
      <c r="DJ560" s="116"/>
    </row>
    <row r="561" spans="2:114" ht="15.75" customHeight="1" x14ac:dyDescent="0.25">
      <c r="B561" s="116"/>
      <c r="I561" s="656"/>
      <c r="K561" s="116"/>
      <c r="X561" s="1"/>
      <c r="Y561" s="1"/>
      <c r="Z561" s="1"/>
      <c r="AA561" s="1"/>
      <c r="AB561" s="656"/>
      <c r="AC561" s="1"/>
      <c r="AD561" s="116"/>
      <c r="AL561" s="656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43"/>
      <c r="BL561" s="116"/>
      <c r="BU561" s="1"/>
      <c r="BV561" s="1"/>
      <c r="BW561" s="1"/>
      <c r="BX561" s="656"/>
      <c r="BZ561" s="657"/>
      <c r="CA561" s="1"/>
      <c r="CB561" s="1"/>
      <c r="CC561" s="1"/>
      <c r="CD561" s="1"/>
      <c r="CE561" s="1"/>
      <c r="CF561" s="1"/>
      <c r="CG561" s="1"/>
      <c r="CH561" s="1"/>
      <c r="CP561" s="305"/>
      <c r="CR561" s="116"/>
      <c r="CZ561" s="1"/>
      <c r="DA561" s="1"/>
      <c r="DB561" s="1"/>
      <c r="DC561" s="1"/>
      <c r="DD561" s="1"/>
      <c r="DE561" s="1"/>
      <c r="DF561" s="1"/>
      <c r="DG561" s="1"/>
      <c r="DH561" s="656"/>
      <c r="DJ561" s="116"/>
    </row>
    <row r="562" spans="2:114" ht="15.75" customHeight="1" x14ac:dyDescent="0.25">
      <c r="B562" s="116"/>
      <c r="I562" s="656"/>
      <c r="K562" s="116"/>
      <c r="X562" s="1"/>
      <c r="Y562" s="1"/>
      <c r="Z562" s="1"/>
      <c r="AA562" s="1"/>
      <c r="AB562" s="656"/>
      <c r="AC562" s="1"/>
      <c r="AD562" s="116"/>
      <c r="AL562" s="656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43"/>
      <c r="BL562" s="116"/>
      <c r="BU562" s="1"/>
      <c r="BV562" s="1"/>
      <c r="BW562" s="1"/>
      <c r="BX562" s="656"/>
      <c r="BZ562" s="657"/>
      <c r="CA562" s="1"/>
      <c r="CB562" s="1"/>
      <c r="CC562" s="1"/>
      <c r="CD562" s="1"/>
      <c r="CE562" s="1"/>
      <c r="CF562" s="1"/>
      <c r="CG562" s="1"/>
      <c r="CH562" s="1"/>
      <c r="CP562" s="305"/>
      <c r="CR562" s="116"/>
      <c r="CZ562" s="1"/>
      <c r="DA562" s="1"/>
      <c r="DB562" s="1"/>
      <c r="DC562" s="1"/>
      <c r="DD562" s="1"/>
      <c r="DE562" s="1"/>
      <c r="DF562" s="1"/>
      <c r="DG562" s="1"/>
      <c r="DH562" s="656"/>
      <c r="DJ562" s="116"/>
    </row>
    <row r="563" spans="2:114" ht="15.75" customHeight="1" x14ac:dyDescent="0.25">
      <c r="B563" s="116"/>
      <c r="I563" s="656"/>
      <c r="K563" s="116"/>
      <c r="X563" s="1"/>
      <c r="Y563" s="1"/>
      <c r="Z563" s="1"/>
      <c r="AA563" s="1"/>
      <c r="AB563" s="656"/>
      <c r="AC563" s="1"/>
      <c r="AD563" s="116"/>
      <c r="AL563" s="656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43"/>
      <c r="BL563" s="116"/>
      <c r="BU563" s="1"/>
      <c r="BV563" s="1"/>
      <c r="BW563" s="1"/>
      <c r="BX563" s="656"/>
      <c r="BZ563" s="657"/>
      <c r="CA563" s="1"/>
      <c r="CB563" s="1"/>
      <c r="CC563" s="1"/>
      <c r="CD563" s="1"/>
      <c r="CE563" s="1"/>
      <c r="CF563" s="1"/>
      <c r="CG563" s="1"/>
      <c r="CH563" s="1"/>
      <c r="CP563" s="305"/>
      <c r="CR563" s="116"/>
      <c r="CZ563" s="1"/>
      <c r="DA563" s="1"/>
      <c r="DB563" s="1"/>
      <c r="DC563" s="1"/>
      <c r="DD563" s="1"/>
      <c r="DE563" s="1"/>
      <c r="DF563" s="1"/>
      <c r="DG563" s="1"/>
      <c r="DH563" s="656"/>
      <c r="DJ563" s="116"/>
    </row>
    <row r="564" spans="2:114" ht="15.75" customHeight="1" x14ac:dyDescent="0.25">
      <c r="B564" s="116"/>
      <c r="I564" s="656"/>
      <c r="K564" s="116"/>
      <c r="X564" s="1"/>
      <c r="Y564" s="1"/>
      <c r="Z564" s="1"/>
      <c r="AA564" s="1"/>
      <c r="AB564" s="656"/>
      <c r="AC564" s="1"/>
      <c r="AD564" s="116"/>
      <c r="AL564" s="656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43"/>
      <c r="BL564" s="116"/>
      <c r="BU564" s="1"/>
      <c r="BV564" s="1"/>
      <c r="BW564" s="1"/>
      <c r="BX564" s="656"/>
      <c r="BZ564" s="657"/>
      <c r="CA564" s="1"/>
      <c r="CB564" s="1"/>
      <c r="CC564" s="1"/>
      <c r="CD564" s="1"/>
      <c r="CE564" s="1"/>
      <c r="CF564" s="1"/>
      <c r="CG564" s="1"/>
      <c r="CH564" s="1"/>
      <c r="CP564" s="305"/>
      <c r="CR564" s="116"/>
      <c r="CZ564" s="1"/>
      <c r="DA564" s="1"/>
      <c r="DB564" s="1"/>
      <c r="DC564" s="1"/>
      <c r="DD564" s="1"/>
      <c r="DE564" s="1"/>
      <c r="DF564" s="1"/>
      <c r="DG564" s="1"/>
      <c r="DH564" s="656"/>
      <c r="DJ564" s="116"/>
    </row>
    <row r="565" spans="2:114" ht="15.75" customHeight="1" x14ac:dyDescent="0.25">
      <c r="B565" s="116"/>
      <c r="I565" s="656"/>
      <c r="K565" s="116"/>
      <c r="X565" s="1"/>
      <c r="Y565" s="1"/>
      <c r="Z565" s="1"/>
      <c r="AA565" s="1"/>
      <c r="AB565" s="656"/>
      <c r="AC565" s="1"/>
      <c r="AD565" s="116"/>
      <c r="AL565" s="656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43"/>
      <c r="BL565" s="116"/>
      <c r="BU565" s="1"/>
      <c r="BV565" s="1"/>
      <c r="BW565" s="1"/>
      <c r="BX565" s="656"/>
      <c r="BZ565" s="657"/>
      <c r="CA565" s="1"/>
      <c r="CB565" s="1"/>
      <c r="CC565" s="1"/>
      <c r="CD565" s="1"/>
      <c r="CE565" s="1"/>
      <c r="CF565" s="1"/>
      <c r="CG565" s="1"/>
      <c r="CH565" s="1"/>
      <c r="CP565" s="305"/>
      <c r="CR565" s="116"/>
      <c r="CZ565" s="1"/>
      <c r="DA565" s="1"/>
      <c r="DB565" s="1"/>
      <c r="DC565" s="1"/>
      <c r="DD565" s="1"/>
      <c r="DE565" s="1"/>
      <c r="DF565" s="1"/>
      <c r="DG565" s="1"/>
      <c r="DH565" s="656"/>
      <c r="DJ565" s="116"/>
    </row>
    <row r="566" spans="2:114" ht="15.75" customHeight="1" x14ac:dyDescent="0.25">
      <c r="B566" s="116"/>
      <c r="I566" s="656"/>
      <c r="K566" s="116"/>
      <c r="X566" s="1"/>
      <c r="Y566" s="1"/>
      <c r="Z566" s="1"/>
      <c r="AA566" s="1"/>
      <c r="AB566" s="656"/>
      <c r="AC566" s="1"/>
      <c r="AD566" s="116"/>
      <c r="AL566" s="656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43"/>
      <c r="BL566" s="116"/>
      <c r="BU566" s="1"/>
      <c r="BV566" s="1"/>
      <c r="BW566" s="1"/>
      <c r="BX566" s="656"/>
      <c r="BZ566" s="657"/>
      <c r="CA566" s="1"/>
      <c r="CB566" s="1"/>
      <c r="CC566" s="1"/>
      <c r="CD566" s="1"/>
      <c r="CE566" s="1"/>
      <c r="CF566" s="1"/>
      <c r="CG566" s="1"/>
      <c r="CH566" s="1"/>
      <c r="CP566" s="305"/>
      <c r="CR566" s="116"/>
      <c r="CZ566" s="1"/>
      <c r="DA566" s="1"/>
      <c r="DB566" s="1"/>
      <c r="DC566" s="1"/>
      <c r="DD566" s="1"/>
      <c r="DE566" s="1"/>
      <c r="DF566" s="1"/>
      <c r="DG566" s="1"/>
      <c r="DH566" s="656"/>
      <c r="DJ566" s="116"/>
    </row>
    <row r="567" spans="2:114" ht="15.75" customHeight="1" x14ac:dyDescent="0.25">
      <c r="B567" s="116"/>
      <c r="I567" s="656"/>
      <c r="K567" s="116"/>
      <c r="X567" s="1"/>
      <c r="Y567" s="1"/>
      <c r="Z567" s="1"/>
      <c r="AA567" s="1"/>
      <c r="AB567" s="656"/>
      <c r="AC567" s="1"/>
      <c r="AD567" s="116"/>
      <c r="AL567" s="656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43"/>
      <c r="BL567" s="116"/>
      <c r="BU567" s="1"/>
      <c r="BV567" s="1"/>
      <c r="BW567" s="1"/>
      <c r="BX567" s="656"/>
      <c r="BZ567" s="657"/>
      <c r="CA567" s="1"/>
      <c r="CB567" s="1"/>
      <c r="CC567" s="1"/>
      <c r="CD567" s="1"/>
      <c r="CE567" s="1"/>
      <c r="CF567" s="1"/>
      <c r="CG567" s="1"/>
      <c r="CH567" s="1"/>
      <c r="CP567" s="305"/>
      <c r="CR567" s="116"/>
      <c r="CZ567" s="1"/>
      <c r="DA567" s="1"/>
      <c r="DB567" s="1"/>
      <c r="DC567" s="1"/>
      <c r="DD567" s="1"/>
      <c r="DE567" s="1"/>
      <c r="DF567" s="1"/>
      <c r="DG567" s="1"/>
      <c r="DH567" s="656"/>
      <c r="DJ567" s="116"/>
    </row>
    <row r="568" spans="2:114" ht="15.75" customHeight="1" x14ac:dyDescent="0.25">
      <c r="B568" s="116"/>
      <c r="I568" s="656"/>
      <c r="K568" s="116"/>
      <c r="X568" s="1"/>
      <c r="Y568" s="1"/>
      <c r="Z568" s="1"/>
      <c r="AA568" s="1"/>
      <c r="AB568" s="656"/>
      <c r="AC568" s="1"/>
      <c r="AD568" s="116"/>
      <c r="AL568" s="656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43"/>
      <c r="BL568" s="116"/>
      <c r="BU568" s="1"/>
      <c r="BV568" s="1"/>
      <c r="BW568" s="1"/>
      <c r="BX568" s="656"/>
      <c r="BZ568" s="657"/>
      <c r="CA568" s="1"/>
      <c r="CB568" s="1"/>
      <c r="CC568" s="1"/>
      <c r="CD568" s="1"/>
      <c r="CE568" s="1"/>
      <c r="CF568" s="1"/>
      <c r="CG568" s="1"/>
      <c r="CH568" s="1"/>
      <c r="CP568" s="305"/>
      <c r="CR568" s="116"/>
      <c r="CZ568" s="1"/>
      <c r="DA568" s="1"/>
      <c r="DB568" s="1"/>
      <c r="DC568" s="1"/>
      <c r="DD568" s="1"/>
      <c r="DE568" s="1"/>
      <c r="DF568" s="1"/>
      <c r="DG568" s="1"/>
      <c r="DH568" s="656"/>
      <c r="DJ568" s="116"/>
    </row>
    <row r="569" spans="2:114" ht="15.75" customHeight="1" x14ac:dyDescent="0.25">
      <c r="B569" s="116"/>
      <c r="I569" s="656"/>
      <c r="K569" s="116"/>
      <c r="X569" s="1"/>
      <c r="Y569" s="1"/>
      <c r="Z569" s="1"/>
      <c r="AA569" s="1"/>
      <c r="AB569" s="656"/>
      <c r="AC569" s="1"/>
      <c r="AD569" s="116"/>
      <c r="AL569" s="656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43"/>
      <c r="BL569" s="116"/>
      <c r="BU569" s="1"/>
      <c r="BV569" s="1"/>
      <c r="BW569" s="1"/>
      <c r="BX569" s="656"/>
      <c r="BZ569" s="657"/>
      <c r="CA569" s="1"/>
      <c r="CB569" s="1"/>
      <c r="CC569" s="1"/>
      <c r="CD569" s="1"/>
      <c r="CE569" s="1"/>
      <c r="CF569" s="1"/>
      <c r="CG569" s="1"/>
      <c r="CH569" s="1"/>
      <c r="CP569" s="305"/>
      <c r="CR569" s="116"/>
      <c r="CZ569" s="1"/>
      <c r="DA569" s="1"/>
      <c r="DB569" s="1"/>
      <c r="DC569" s="1"/>
      <c r="DD569" s="1"/>
      <c r="DE569" s="1"/>
      <c r="DF569" s="1"/>
      <c r="DG569" s="1"/>
      <c r="DH569" s="656"/>
      <c r="DJ569" s="116"/>
    </row>
    <row r="570" spans="2:114" ht="15.75" customHeight="1" x14ac:dyDescent="0.25">
      <c r="B570" s="116"/>
      <c r="I570" s="656"/>
      <c r="K570" s="116"/>
      <c r="X570" s="1"/>
      <c r="Y570" s="1"/>
      <c r="Z570" s="1"/>
      <c r="AA570" s="1"/>
      <c r="AB570" s="656"/>
      <c r="AC570" s="1"/>
      <c r="AD570" s="116"/>
      <c r="AL570" s="656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43"/>
      <c r="BL570" s="116"/>
      <c r="BU570" s="1"/>
      <c r="BV570" s="1"/>
      <c r="BW570" s="1"/>
      <c r="BX570" s="656"/>
      <c r="BZ570" s="657"/>
      <c r="CA570" s="1"/>
      <c r="CB570" s="1"/>
      <c r="CC570" s="1"/>
      <c r="CD570" s="1"/>
      <c r="CE570" s="1"/>
      <c r="CF570" s="1"/>
      <c r="CG570" s="1"/>
      <c r="CH570" s="1"/>
      <c r="CP570" s="305"/>
      <c r="CR570" s="116"/>
      <c r="CZ570" s="1"/>
      <c r="DA570" s="1"/>
      <c r="DB570" s="1"/>
      <c r="DC570" s="1"/>
      <c r="DD570" s="1"/>
      <c r="DE570" s="1"/>
      <c r="DF570" s="1"/>
      <c r="DG570" s="1"/>
      <c r="DH570" s="656"/>
      <c r="DJ570" s="116"/>
    </row>
    <row r="571" spans="2:114" ht="15.75" customHeight="1" x14ac:dyDescent="0.25">
      <c r="B571" s="116"/>
      <c r="I571" s="656"/>
      <c r="K571" s="116"/>
      <c r="X571" s="1"/>
      <c r="Y571" s="1"/>
      <c r="Z571" s="1"/>
      <c r="AA571" s="1"/>
      <c r="AB571" s="656"/>
      <c r="AC571" s="1"/>
      <c r="AD571" s="116"/>
      <c r="AL571" s="656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43"/>
      <c r="BL571" s="116"/>
      <c r="BU571" s="1"/>
      <c r="BV571" s="1"/>
      <c r="BW571" s="1"/>
      <c r="BX571" s="656"/>
      <c r="BZ571" s="657"/>
      <c r="CA571" s="1"/>
      <c r="CB571" s="1"/>
      <c r="CC571" s="1"/>
      <c r="CD571" s="1"/>
      <c r="CE571" s="1"/>
      <c r="CF571" s="1"/>
      <c r="CG571" s="1"/>
      <c r="CH571" s="1"/>
      <c r="CP571" s="305"/>
      <c r="CR571" s="116"/>
      <c r="CZ571" s="1"/>
      <c r="DA571" s="1"/>
      <c r="DB571" s="1"/>
      <c r="DC571" s="1"/>
      <c r="DD571" s="1"/>
      <c r="DE571" s="1"/>
      <c r="DF571" s="1"/>
      <c r="DG571" s="1"/>
      <c r="DH571" s="656"/>
      <c r="DJ571" s="116"/>
    </row>
    <row r="572" spans="2:114" ht="15.75" customHeight="1" x14ac:dyDescent="0.25">
      <c r="B572" s="116"/>
      <c r="I572" s="656"/>
      <c r="K572" s="116"/>
      <c r="X572" s="1"/>
      <c r="Y572" s="1"/>
      <c r="Z572" s="1"/>
      <c r="AA572" s="1"/>
      <c r="AB572" s="656"/>
      <c r="AC572" s="1"/>
      <c r="AD572" s="116"/>
      <c r="AL572" s="656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43"/>
      <c r="BL572" s="116"/>
      <c r="BU572" s="1"/>
      <c r="BV572" s="1"/>
      <c r="BW572" s="1"/>
      <c r="BX572" s="656"/>
      <c r="BZ572" s="657"/>
      <c r="CA572" s="1"/>
      <c r="CB572" s="1"/>
      <c r="CC572" s="1"/>
      <c r="CD572" s="1"/>
      <c r="CE572" s="1"/>
      <c r="CF572" s="1"/>
      <c r="CG572" s="1"/>
      <c r="CH572" s="1"/>
      <c r="CP572" s="305"/>
      <c r="CR572" s="116"/>
      <c r="CZ572" s="1"/>
      <c r="DA572" s="1"/>
      <c r="DB572" s="1"/>
      <c r="DC572" s="1"/>
      <c r="DD572" s="1"/>
      <c r="DE572" s="1"/>
      <c r="DF572" s="1"/>
      <c r="DG572" s="1"/>
      <c r="DH572" s="656"/>
      <c r="DJ572" s="116"/>
    </row>
    <row r="573" spans="2:114" ht="15.75" customHeight="1" x14ac:dyDescent="0.25">
      <c r="B573" s="116"/>
      <c r="I573" s="656"/>
      <c r="K573" s="116"/>
      <c r="X573" s="1"/>
      <c r="Y573" s="1"/>
      <c r="Z573" s="1"/>
      <c r="AA573" s="1"/>
      <c r="AB573" s="656"/>
      <c r="AC573" s="1"/>
      <c r="AD573" s="116"/>
      <c r="AL573" s="656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43"/>
      <c r="BL573" s="116"/>
      <c r="BU573" s="1"/>
      <c r="BV573" s="1"/>
      <c r="BW573" s="1"/>
      <c r="BX573" s="656"/>
      <c r="BZ573" s="657"/>
      <c r="CA573" s="1"/>
      <c r="CB573" s="1"/>
      <c r="CC573" s="1"/>
      <c r="CD573" s="1"/>
      <c r="CE573" s="1"/>
      <c r="CF573" s="1"/>
      <c r="CG573" s="1"/>
      <c r="CH573" s="1"/>
      <c r="CP573" s="305"/>
      <c r="CR573" s="116"/>
      <c r="CZ573" s="1"/>
      <c r="DA573" s="1"/>
      <c r="DB573" s="1"/>
      <c r="DC573" s="1"/>
      <c r="DD573" s="1"/>
      <c r="DE573" s="1"/>
      <c r="DF573" s="1"/>
      <c r="DG573" s="1"/>
      <c r="DH573" s="656"/>
      <c r="DJ573" s="116"/>
    </row>
    <row r="574" spans="2:114" ht="15.75" customHeight="1" x14ac:dyDescent="0.25">
      <c r="B574" s="116"/>
      <c r="I574" s="656"/>
      <c r="K574" s="116"/>
      <c r="X574" s="1"/>
      <c r="Y574" s="1"/>
      <c r="Z574" s="1"/>
      <c r="AA574" s="1"/>
      <c r="AB574" s="656"/>
      <c r="AC574" s="1"/>
      <c r="AD574" s="116"/>
      <c r="AL574" s="656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43"/>
      <c r="BL574" s="116"/>
      <c r="BU574" s="1"/>
      <c r="BV574" s="1"/>
      <c r="BW574" s="1"/>
      <c r="BX574" s="656"/>
      <c r="BZ574" s="657"/>
      <c r="CA574" s="1"/>
      <c r="CB574" s="1"/>
      <c r="CC574" s="1"/>
      <c r="CD574" s="1"/>
      <c r="CE574" s="1"/>
      <c r="CF574" s="1"/>
      <c r="CG574" s="1"/>
      <c r="CH574" s="1"/>
      <c r="CP574" s="305"/>
      <c r="CR574" s="116"/>
      <c r="CZ574" s="1"/>
      <c r="DA574" s="1"/>
      <c r="DB574" s="1"/>
      <c r="DC574" s="1"/>
      <c r="DD574" s="1"/>
      <c r="DE574" s="1"/>
      <c r="DF574" s="1"/>
      <c r="DG574" s="1"/>
      <c r="DH574" s="656"/>
      <c r="DJ574" s="116"/>
    </row>
    <row r="575" spans="2:114" ht="15.75" customHeight="1" x14ac:dyDescent="0.25">
      <c r="B575" s="116"/>
      <c r="I575" s="656"/>
      <c r="K575" s="116"/>
      <c r="X575" s="1"/>
      <c r="Y575" s="1"/>
      <c r="Z575" s="1"/>
      <c r="AA575" s="1"/>
      <c r="AB575" s="656"/>
      <c r="AC575" s="1"/>
      <c r="AD575" s="116"/>
      <c r="AL575" s="656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43"/>
      <c r="BL575" s="116"/>
      <c r="BU575" s="1"/>
      <c r="BV575" s="1"/>
      <c r="BW575" s="1"/>
      <c r="BX575" s="656"/>
      <c r="BZ575" s="657"/>
      <c r="CA575" s="1"/>
      <c r="CB575" s="1"/>
      <c r="CC575" s="1"/>
      <c r="CD575" s="1"/>
      <c r="CE575" s="1"/>
      <c r="CF575" s="1"/>
      <c r="CG575" s="1"/>
      <c r="CH575" s="1"/>
      <c r="CP575" s="305"/>
      <c r="CR575" s="116"/>
      <c r="CZ575" s="1"/>
      <c r="DA575" s="1"/>
      <c r="DB575" s="1"/>
      <c r="DC575" s="1"/>
      <c r="DD575" s="1"/>
      <c r="DE575" s="1"/>
      <c r="DF575" s="1"/>
      <c r="DG575" s="1"/>
      <c r="DH575" s="656"/>
      <c r="DJ575" s="116"/>
    </row>
    <row r="576" spans="2:114" ht="15.75" customHeight="1" x14ac:dyDescent="0.25">
      <c r="B576" s="116"/>
      <c r="I576" s="656"/>
      <c r="K576" s="116"/>
      <c r="X576" s="1"/>
      <c r="Y576" s="1"/>
      <c r="Z576" s="1"/>
      <c r="AA576" s="1"/>
      <c r="AB576" s="656"/>
      <c r="AC576" s="1"/>
      <c r="AD576" s="116"/>
      <c r="AL576" s="656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43"/>
      <c r="BL576" s="116"/>
      <c r="BU576" s="1"/>
      <c r="BV576" s="1"/>
      <c r="BW576" s="1"/>
      <c r="BX576" s="656"/>
      <c r="BZ576" s="657"/>
      <c r="CA576" s="1"/>
      <c r="CB576" s="1"/>
      <c r="CC576" s="1"/>
      <c r="CD576" s="1"/>
      <c r="CE576" s="1"/>
      <c r="CF576" s="1"/>
      <c r="CG576" s="1"/>
      <c r="CH576" s="1"/>
      <c r="CP576" s="305"/>
      <c r="CR576" s="116"/>
      <c r="CZ576" s="1"/>
      <c r="DA576" s="1"/>
      <c r="DB576" s="1"/>
      <c r="DC576" s="1"/>
      <c r="DD576" s="1"/>
      <c r="DE576" s="1"/>
      <c r="DF576" s="1"/>
      <c r="DG576" s="1"/>
      <c r="DH576" s="656"/>
      <c r="DJ576" s="116"/>
    </row>
    <row r="577" spans="2:114" ht="15.75" customHeight="1" x14ac:dyDescent="0.25">
      <c r="B577" s="116"/>
      <c r="I577" s="656"/>
      <c r="K577" s="116"/>
      <c r="X577" s="1"/>
      <c r="Y577" s="1"/>
      <c r="Z577" s="1"/>
      <c r="AA577" s="1"/>
      <c r="AB577" s="656"/>
      <c r="AC577" s="1"/>
      <c r="AD577" s="116"/>
      <c r="AL577" s="656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43"/>
      <c r="BL577" s="116"/>
      <c r="BU577" s="1"/>
      <c r="BV577" s="1"/>
      <c r="BW577" s="1"/>
      <c r="BX577" s="656"/>
      <c r="BZ577" s="657"/>
      <c r="CA577" s="1"/>
      <c r="CB577" s="1"/>
      <c r="CC577" s="1"/>
      <c r="CD577" s="1"/>
      <c r="CE577" s="1"/>
      <c r="CF577" s="1"/>
      <c r="CG577" s="1"/>
      <c r="CH577" s="1"/>
      <c r="CP577" s="305"/>
      <c r="CR577" s="116"/>
      <c r="CZ577" s="1"/>
      <c r="DA577" s="1"/>
      <c r="DB577" s="1"/>
      <c r="DC577" s="1"/>
      <c r="DD577" s="1"/>
      <c r="DE577" s="1"/>
      <c r="DF577" s="1"/>
      <c r="DG577" s="1"/>
      <c r="DH577" s="656"/>
      <c r="DJ577" s="116"/>
    </row>
    <row r="578" spans="2:114" ht="15.75" customHeight="1" x14ac:dyDescent="0.25">
      <c r="B578" s="116"/>
      <c r="I578" s="656"/>
      <c r="K578" s="116"/>
      <c r="X578" s="1"/>
      <c r="Y578" s="1"/>
      <c r="Z578" s="1"/>
      <c r="AA578" s="1"/>
      <c r="AB578" s="656"/>
      <c r="AC578" s="1"/>
      <c r="AD578" s="116"/>
      <c r="AL578" s="656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43"/>
      <c r="BL578" s="116"/>
      <c r="BU578" s="1"/>
      <c r="BV578" s="1"/>
      <c r="BW578" s="1"/>
      <c r="BX578" s="656"/>
      <c r="BZ578" s="657"/>
      <c r="CA578" s="1"/>
      <c r="CB578" s="1"/>
      <c r="CC578" s="1"/>
      <c r="CD578" s="1"/>
      <c r="CE578" s="1"/>
      <c r="CF578" s="1"/>
      <c r="CG578" s="1"/>
      <c r="CH578" s="1"/>
      <c r="CP578" s="305"/>
      <c r="CR578" s="116"/>
      <c r="CZ578" s="1"/>
      <c r="DA578" s="1"/>
      <c r="DB578" s="1"/>
      <c r="DC578" s="1"/>
      <c r="DD578" s="1"/>
      <c r="DE578" s="1"/>
      <c r="DF578" s="1"/>
      <c r="DG578" s="1"/>
      <c r="DH578" s="656"/>
      <c r="DJ578" s="116"/>
    </row>
    <row r="579" spans="2:114" ht="15.75" customHeight="1" x14ac:dyDescent="0.25">
      <c r="B579" s="116"/>
      <c r="I579" s="656"/>
      <c r="K579" s="116"/>
      <c r="X579" s="1"/>
      <c r="Y579" s="1"/>
      <c r="Z579" s="1"/>
      <c r="AA579" s="1"/>
      <c r="AB579" s="656"/>
      <c r="AC579" s="1"/>
      <c r="AD579" s="116"/>
      <c r="AL579" s="656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43"/>
      <c r="BL579" s="116"/>
      <c r="BU579" s="1"/>
      <c r="BV579" s="1"/>
      <c r="BW579" s="1"/>
      <c r="BX579" s="656"/>
      <c r="BZ579" s="657"/>
      <c r="CA579" s="1"/>
      <c r="CB579" s="1"/>
      <c r="CC579" s="1"/>
      <c r="CD579" s="1"/>
      <c r="CE579" s="1"/>
      <c r="CF579" s="1"/>
      <c r="CG579" s="1"/>
      <c r="CH579" s="1"/>
      <c r="CP579" s="305"/>
      <c r="CR579" s="116"/>
      <c r="CZ579" s="1"/>
      <c r="DA579" s="1"/>
      <c r="DB579" s="1"/>
      <c r="DC579" s="1"/>
      <c r="DD579" s="1"/>
      <c r="DE579" s="1"/>
      <c r="DF579" s="1"/>
      <c r="DG579" s="1"/>
      <c r="DH579" s="656"/>
      <c r="DJ579" s="116"/>
    </row>
    <row r="580" spans="2:114" ht="15.75" customHeight="1" x14ac:dyDescent="0.25">
      <c r="B580" s="116"/>
      <c r="I580" s="656"/>
      <c r="K580" s="116"/>
      <c r="X580" s="1"/>
      <c r="Y580" s="1"/>
      <c r="Z580" s="1"/>
      <c r="AA580" s="1"/>
      <c r="AB580" s="656"/>
      <c r="AC580" s="1"/>
      <c r="AD580" s="116"/>
      <c r="AL580" s="656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43"/>
      <c r="BL580" s="116"/>
      <c r="BU580" s="1"/>
      <c r="BV580" s="1"/>
      <c r="BW580" s="1"/>
      <c r="BX580" s="656"/>
      <c r="BZ580" s="657"/>
      <c r="CA580" s="1"/>
      <c r="CB580" s="1"/>
      <c r="CC580" s="1"/>
      <c r="CD580" s="1"/>
      <c r="CE580" s="1"/>
      <c r="CF580" s="1"/>
      <c r="CG580" s="1"/>
      <c r="CH580" s="1"/>
      <c r="CP580" s="305"/>
      <c r="CR580" s="116"/>
      <c r="CZ580" s="1"/>
      <c r="DA580" s="1"/>
      <c r="DB580" s="1"/>
      <c r="DC580" s="1"/>
      <c r="DD580" s="1"/>
      <c r="DE580" s="1"/>
      <c r="DF580" s="1"/>
      <c r="DG580" s="1"/>
      <c r="DH580" s="656"/>
      <c r="DJ580" s="116"/>
    </row>
    <row r="581" spans="2:114" ht="15.75" customHeight="1" x14ac:dyDescent="0.25">
      <c r="B581" s="116"/>
      <c r="I581" s="656"/>
      <c r="K581" s="116"/>
      <c r="X581" s="1"/>
      <c r="Y581" s="1"/>
      <c r="Z581" s="1"/>
      <c r="AA581" s="1"/>
      <c r="AB581" s="656"/>
      <c r="AC581" s="1"/>
      <c r="AD581" s="116"/>
      <c r="AL581" s="656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43"/>
      <c r="BL581" s="116"/>
      <c r="BU581" s="1"/>
      <c r="BV581" s="1"/>
      <c r="BW581" s="1"/>
      <c r="BX581" s="656"/>
      <c r="BZ581" s="657"/>
      <c r="CA581" s="1"/>
      <c r="CB581" s="1"/>
      <c r="CC581" s="1"/>
      <c r="CD581" s="1"/>
      <c r="CE581" s="1"/>
      <c r="CF581" s="1"/>
      <c r="CG581" s="1"/>
      <c r="CH581" s="1"/>
      <c r="CP581" s="305"/>
      <c r="CR581" s="116"/>
      <c r="CZ581" s="1"/>
      <c r="DA581" s="1"/>
      <c r="DB581" s="1"/>
      <c r="DC581" s="1"/>
      <c r="DD581" s="1"/>
      <c r="DE581" s="1"/>
      <c r="DF581" s="1"/>
      <c r="DG581" s="1"/>
      <c r="DH581" s="656"/>
      <c r="DJ581" s="116"/>
    </row>
    <row r="582" spans="2:114" ht="15.75" customHeight="1" x14ac:dyDescent="0.25">
      <c r="B582" s="116"/>
      <c r="I582" s="656"/>
      <c r="K582" s="116"/>
      <c r="X582" s="1"/>
      <c r="Y582" s="1"/>
      <c r="Z582" s="1"/>
      <c r="AA582" s="1"/>
      <c r="AB582" s="656"/>
      <c r="AC582" s="1"/>
      <c r="AD582" s="116"/>
      <c r="AL582" s="656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43"/>
      <c r="BL582" s="116"/>
      <c r="BU582" s="1"/>
      <c r="BV582" s="1"/>
      <c r="BW582" s="1"/>
      <c r="BX582" s="656"/>
      <c r="BZ582" s="657"/>
      <c r="CA582" s="1"/>
      <c r="CB582" s="1"/>
      <c r="CC582" s="1"/>
      <c r="CD582" s="1"/>
      <c r="CE582" s="1"/>
      <c r="CF582" s="1"/>
      <c r="CG582" s="1"/>
      <c r="CH582" s="1"/>
      <c r="CP582" s="305"/>
      <c r="CR582" s="116"/>
      <c r="CZ582" s="1"/>
      <c r="DA582" s="1"/>
      <c r="DB582" s="1"/>
      <c r="DC582" s="1"/>
      <c r="DD582" s="1"/>
      <c r="DE582" s="1"/>
      <c r="DF582" s="1"/>
      <c r="DG582" s="1"/>
      <c r="DH582" s="656"/>
      <c r="DJ582" s="116"/>
    </row>
    <row r="583" spans="2:114" ht="15.75" customHeight="1" x14ac:dyDescent="0.25">
      <c r="B583" s="116"/>
      <c r="I583" s="656"/>
      <c r="K583" s="116"/>
      <c r="X583" s="1"/>
      <c r="Y583" s="1"/>
      <c r="Z583" s="1"/>
      <c r="AA583" s="1"/>
      <c r="AB583" s="656"/>
      <c r="AC583" s="1"/>
      <c r="AD583" s="116"/>
      <c r="AL583" s="656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43"/>
      <c r="BL583" s="116"/>
      <c r="BU583" s="1"/>
      <c r="BV583" s="1"/>
      <c r="BW583" s="1"/>
      <c r="BX583" s="656"/>
      <c r="BZ583" s="657"/>
      <c r="CA583" s="1"/>
      <c r="CB583" s="1"/>
      <c r="CC583" s="1"/>
      <c r="CD583" s="1"/>
      <c r="CE583" s="1"/>
      <c r="CF583" s="1"/>
      <c r="CG583" s="1"/>
      <c r="CH583" s="1"/>
      <c r="CP583" s="305"/>
      <c r="CR583" s="116"/>
      <c r="CZ583" s="1"/>
      <c r="DA583" s="1"/>
      <c r="DB583" s="1"/>
      <c r="DC583" s="1"/>
      <c r="DD583" s="1"/>
      <c r="DE583" s="1"/>
      <c r="DF583" s="1"/>
      <c r="DG583" s="1"/>
      <c r="DH583" s="656"/>
      <c r="DJ583" s="116"/>
    </row>
    <row r="584" spans="2:114" ht="15.75" customHeight="1" x14ac:dyDescent="0.25">
      <c r="B584" s="116"/>
      <c r="I584" s="656"/>
      <c r="K584" s="116"/>
      <c r="X584" s="1"/>
      <c r="Y584" s="1"/>
      <c r="Z584" s="1"/>
      <c r="AA584" s="1"/>
      <c r="AB584" s="656"/>
      <c r="AC584" s="1"/>
      <c r="AD584" s="116"/>
      <c r="AL584" s="656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43"/>
      <c r="BL584" s="116"/>
      <c r="BU584" s="1"/>
      <c r="BV584" s="1"/>
      <c r="BW584" s="1"/>
      <c r="BX584" s="656"/>
      <c r="BZ584" s="657"/>
      <c r="CA584" s="1"/>
      <c r="CB584" s="1"/>
      <c r="CC584" s="1"/>
      <c r="CD584" s="1"/>
      <c r="CE584" s="1"/>
      <c r="CF584" s="1"/>
      <c r="CG584" s="1"/>
      <c r="CH584" s="1"/>
      <c r="CP584" s="305"/>
      <c r="CR584" s="116"/>
      <c r="CZ584" s="1"/>
      <c r="DA584" s="1"/>
      <c r="DB584" s="1"/>
      <c r="DC584" s="1"/>
      <c r="DD584" s="1"/>
      <c r="DE584" s="1"/>
      <c r="DF584" s="1"/>
      <c r="DG584" s="1"/>
      <c r="DH584" s="656"/>
      <c r="DJ584" s="116"/>
    </row>
    <row r="585" spans="2:114" ht="15.75" customHeight="1" x14ac:dyDescent="0.25">
      <c r="B585" s="116"/>
      <c r="I585" s="656"/>
      <c r="K585" s="116"/>
      <c r="X585" s="1"/>
      <c r="Y585" s="1"/>
      <c r="Z585" s="1"/>
      <c r="AA585" s="1"/>
      <c r="AB585" s="656"/>
      <c r="AC585" s="1"/>
      <c r="AD585" s="116"/>
      <c r="AL585" s="656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43"/>
      <c r="BL585" s="116"/>
      <c r="BU585" s="1"/>
      <c r="BV585" s="1"/>
      <c r="BW585" s="1"/>
      <c r="BX585" s="656"/>
      <c r="BZ585" s="657"/>
      <c r="CA585" s="1"/>
      <c r="CB585" s="1"/>
      <c r="CC585" s="1"/>
      <c r="CD585" s="1"/>
      <c r="CE585" s="1"/>
      <c r="CF585" s="1"/>
      <c r="CG585" s="1"/>
      <c r="CH585" s="1"/>
      <c r="CP585" s="305"/>
      <c r="CR585" s="116"/>
      <c r="CZ585" s="1"/>
      <c r="DA585" s="1"/>
      <c r="DB585" s="1"/>
      <c r="DC585" s="1"/>
      <c r="DD585" s="1"/>
      <c r="DE585" s="1"/>
      <c r="DF585" s="1"/>
      <c r="DG585" s="1"/>
      <c r="DH585" s="656"/>
      <c r="DJ585" s="116"/>
    </row>
    <row r="586" spans="2:114" ht="15.75" customHeight="1" x14ac:dyDescent="0.25">
      <c r="B586" s="116"/>
      <c r="I586" s="656"/>
      <c r="K586" s="116"/>
      <c r="X586" s="1"/>
      <c r="Y586" s="1"/>
      <c r="Z586" s="1"/>
      <c r="AA586" s="1"/>
      <c r="AB586" s="656"/>
      <c r="AC586" s="1"/>
      <c r="AD586" s="116"/>
      <c r="AL586" s="656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43"/>
      <c r="BL586" s="116"/>
      <c r="BU586" s="1"/>
      <c r="BV586" s="1"/>
      <c r="BW586" s="1"/>
      <c r="BX586" s="656"/>
      <c r="BZ586" s="657"/>
      <c r="CA586" s="1"/>
      <c r="CB586" s="1"/>
      <c r="CC586" s="1"/>
      <c r="CD586" s="1"/>
      <c r="CE586" s="1"/>
      <c r="CF586" s="1"/>
      <c r="CG586" s="1"/>
      <c r="CH586" s="1"/>
      <c r="CP586" s="305"/>
      <c r="CR586" s="116"/>
      <c r="CZ586" s="1"/>
      <c r="DA586" s="1"/>
      <c r="DB586" s="1"/>
      <c r="DC586" s="1"/>
      <c r="DD586" s="1"/>
      <c r="DE586" s="1"/>
      <c r="DF586" s="1"/>
      <c r="DG586" s="1"/>
      <c r="DH586" s="656"/>
      <c r="DJ586" s="116"/>
    </row>
    <row r="587" spans="2:114" ht="15.75" customHeight="1" x14ac:dyDescent="0.25">
      <c r="B587" s="116"/>
      <c r="I587" s="656"/>
      <c r="K587" s="116"/>
      <c r="X587" s="1"/>
      <c r="Y587" s="1"/>
      <c r="Z587" s="1"/>
      <c r="AA587" s="1"/>
      <c r="AB587" s="656"/>
      <c r="AC587" s="1"/>
      <c r="AD587" s="116"/>
      <c r="AL587" s="656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43"/>
      <c r="BL587" s="116"/>
      <c r="BU587" s="1"/>
      <c r="BV587" s="1"/>
      <c r="BW587" s="1"/>
      <c r="BX587" s="656"/>
      <c r="BZ587" s="657"/>
      <c r="CA587" s="1"/>
      <c r="CB587" s="1"/>
      <c r="CC587" s="1"/>
      <c r="CD587" s="1"/>
      <c r="CE587" s="1"/>
      <c r="CF587" s="1"/>
      <c r="CG587" s="1"/>
      <c r="CH587" s="1"/>
      <c r="CP587" s="305"/>
      <c r="CR587" s="116"/>
      <c r="CZ587" s="1"/>
      <c r="DA587" s="1"/>
      <c r="DB587" s="1"/>
      <c r="DC587" s="1"/>
      <c r="DD587" s="1"/>
      <c r="DE587" s="1"/>
      <c r="DF587" s="1"/>
      <c r="DG587" s="1"/>
      <c r="DH587" s="656"/>
      <c r="DJ587" s="116"/>
    </row>
    <row r="588" spans="2:114" ht="15.75" customHeight="1" x14ac:dyDescent="0.25">
      <c r="B588" s="116"/>
      <c r="I588" s="656"/>
      <c r="K588" s="116"/>
      <c r="X588" s="1"/>
      <c r="Y588" s="1"/>
      <c r="Z588" s="1"/>
      <c r="AA588" s="1"/>
      <c r="AB588" s="656"/>
      <c r="AC588" s="1"/>
      <c r="AD588" s="116"/>
      <c r="AL588" s="656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43"/>
      <c r="BL588" s="116"/>
      <c r="BU588" s="1"/>
      <c r="BV588" s="1"/>
      <c r="BW588" s="1"/>
      <c r="BX588" s="656"/>
      <c r="BZ588" s="657"/>
      <c r="CA588" s="1"/>
      <c r="CB588" s="1"/>
      <c r="CC588" s="1"/>
      <c r="CD588" s="1"/>
      <c r="CE588" s="1"/>
      <c r="CF588" s="1"/>
      <c r="CG588" s="1"/>
      <c r="CH588" s="1"/>
      <c r="CP588" s="305"/>
      <c r="CR588" s="116"/>
      <c r="CZ588" s="1"/>
      <c r="DA588" s="1"/>
      <c r="DB588" s="1"/>
      <c r="DC588" s="1"/>
      <c r="DD588" s="1"/>
      <c r="DE588" s="1"/>
      <c r="DF588" s="1"/>
      <c r="DG588" s="1"/>
      <c r="DH588" s="656"/>
      <c r="DJ588" s="116"/>
    </row>
    <row r="589" spans="2:114" ht="15.75" customHeight="1" x14ac:dyDescent="0.25">
      <c r="B589" s="116"/>
      <c r="I589" s="656"/>
      <c r="K589" s="116"/>
      <c r="X589" s="1"/>
      <c r="Y589" s="1"/>
      <c r="Z589" s="1"/>
      <c r="AA589" s="1"/>
      <c r="AB589" s="656"/>
      <c r="AC589" s="1"/>
      <c r="AD589" s="116"/>
      <c r="AL589" s="656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43"/>
      <c r="BL589" s="116"/>
      <c r="BU589" s="1"/>
      <c r="BV589" s="1"/>
      <c r="BW589" s="1"/>
      <c r="BX589" s="656"/>
      <c r="BZ589" s="657"/>
      <c r="CA589" s="1"/>
      <c r="CB589" s="1"/>
      <c r="CC589" s="1"/>
      <c r="CD589" s="1"/>
      <c r="CE589" s="1"/>
      <c r="CF589" s="1"/>
      <c r="CG589" s="1"/>
      <c r="CH589" s="1"/>
      <c r="CP589" s="305"/>
      <c r="CR589" s="116"/>
      <c r="CZ589" s="1"/>
      <c r="DA589" s="1"/>
      <c r="DB589" s="1"/>
      <c r="DC589" s="1"/>
      <c r="DD589" s="1"/>
      <c r="DE589" s="1"/>
      <c r="DF589" s="1"/>
      <c r="DG589" s="1"/>
      <c r="DH589" s="656"/>
      <c r="DJ589" s="116"/>
    </row>
    <row r="590" spans="2:114" ht="15.75" customHeight="1" x14ac:dyDescent="0.25">
      <c r="B590" s="116"/>
      <c r="I590" s="656"/>
      <c r="K590" s="116"/>
      <c r="X590" s="1"/>
      <c r="Y590" s="1"/>
      <c r="Z590" s="1"/>
      <c r="AA590" s="1"/>
      <c r="AB590" s="656"/>
      <c r="AC590" s="1"/>
      <c r="AD590" s="116"/>
      <c r="AL590" s="656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43"/>
      <c r="BL590" s="116"/>
      <c r="BU590" s="1"/>
      <c r="BV590" s="1"/>
      <c r="BW590" s="1"/>
      <c r="BX590" s="656"/>
      <c r="BZ590" s="657"/>
      <c r="CA590" s="1"/>
      <c r="CB590" s="1"/>
      <c r="CC590" s="1"/>
      <c r="CD590" s="1"/>
      <c r="CE590" s="1"/>
      <c r="CF590" s="1"/>
      <c r="CG590" s="1"/>
      <c r="CH590" s="1"/>
      <c r="CP590" s="305"/>
      <c r="CR590" s="116"/>
      <c r="CZ590" s="1"/>
      <c r="DA590" s="1"/>
      <c r="DB590" s="1"/>
      <c r="DC590" s="1"/>
      <c r="DD590" s="1"/>
      <c r="DE590" s="1"/>
      <c r="DF590" s="1"/>
      <c r="DG590" s="1"/>
      <c r="DH590" s="656"/>
      <c r="DJ590" s="116"/>
    </row>
    <row r="591" spans="2:114" ht="15.75" customHeight="1" x14ac:dyDescent="0.25">
      <c r="B591" s="116"/>
      <c r="I591" s="656"/>
      <c r="K591" s="116"/>
      <c r="X591" s="1"/>
      <c r="Y591" s="1"/>
      <c r="Z591" s="1"/>
      <c r="AA591" s="1"/>
      <c r="AB591" s="656"/>
      <c r="AC591" s="1"/>
      <c r="AD591" s="116"/>
      <c r="AL591" s="656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43"/>
      <c r="BL591" s="116"/>
      <c r="BU591" s="1"/>
      <c r="BV591" s="1"/>
      <c r="BW591" s="1"/>
      <c r="BX591" s="656"/>
      <c r="BZ591" s="657"/>
      <c r="CA591" s="1"/>
      <c r="CB591" s="1"/>
      <c r="CC591" s="1"/>
      <c r="CD591" s="1"/>
      <c r="CE591" s="1"/>
      <c r="CF591" s="1"/>
      <c r="CG591" s="1"/>
      <c r="CH591" s="1"/>
      <c r="CP591" s="305"/>
      <c r="CR591" s="116"/>
      <c r="CZ591" s="1"/>
      <c r="DA591" s="1"/>
      <c r="DB591" s="1"/>
      <c r="DC591" s="1"/>
      <c r="DD591" s="1"/>
      <c r="DE591" s="1"/>
      <c r="DF591" s="1"/>
      <c r="DG591" s="1"/>
      <c r="DH591" s="656"/>
      <c r="DJ591" s="116"/>
    </row>
    <row r="592" spans="2:114" ht="15.75" customHeight="1" x14ac:dyDescent="0.25">
      <c r="B592" s="116"/>
      <c r="I592" s="656"/>
      <c r="K592" s="116"/>
      <c r="X592" s="1"/>
      <c r="Y592" s="1"/>
      <c r="Z592" s="1"/>
      <c r="AA592" s="1"/>
      <c r="AB592" s="656"/>
      <c r="AC592" s="1"/>
      <c r="AD592" s="116"/>
      <c r="AL592" s="656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43"/>
      <c r="BL592" s="116"/>
      <c r="BU592" s="1"/>
      <c r="BV592" s="1"/>
      <c r="BW592" s="1"/>
      <c r="BX592" s="656"/>
      <c r="BZ592" s="657"/>
      <c r="CA592" s="1"/>
      <c r="CB592" s="1"/>
      <c r="CC592" s="1"/>
      <c r="CD592" s="1"/>
      <c r="CE592" s="1"/>
      <c r="CF592" s="1"/>
      <c r="CG592" s="1"/>
      <c r="CH592" s="1"/>
      <c r="CP592" s="305"/>
      <c r="CR592" s="116"/>
      <c r="CZ592" s="1"/>
      <c r="DA592" s="1"/>
      <c r="DB592" s="1"/>
      <c r="DC592" s="1"/>
      <c r="DD592" s="1"/>
      <c r="DE592" s="1"/>
      <c r="DF592" s="1"/>
      <c r="DG592" s="1"/>
      <c r="DH592" s="656"/>
      <c r="DJ592" s="116"/>
    </row>
    <row r="593" spans="2:114" ht="15.75" customHeight="1" x14ac:dyDescent="0.25">
      <c r="B593" s="116"/>
      <c r="I593" s="656"/>
      <c r="K593" s="116"/>
      <c r="X593" s="1"/>
      <c r="Y593" s="1"/>
      <c r="Z593" s="1"/>
      <c r="AA593" s="1"/>
      <c r="AB593" s="656"/>
      <c r="AC593" s="1"/>
      <c r="AD593" s="116"/>
      <c r="AL593" s="656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43"/>
      <c r="BL593" s="116"/>
      <c r="BU593" s="1"/>
      <c r="BV593" s="1"/>
      <c r="BW593" s="1"/>
      <c r="BX593" s="656"/>
      <c r="BZ593" s="657"/>
      <c r="CA593" s="1"/>
      <c r="CB593" s="1"/>
      <c r="CC593" s="1"/>
      <c r="CD593" s="1"/>
      <c r="CE593" s="1"/>
      <c r="CF593" s="1"/>
      <c r="CG593" s="1"/>
      <c r="CH593" s="1"/>
      <c r="CP593" s="305"/>
      <c r="CR593" s="116"/>
      <c r="CZ593" s="1"/>
      <c r="DA593" s="1"/>
      <c r="DB593" s="1"/>
      <c r="DC593" s="1"/>
      <c r="DD593" s="1"/>
      <c r="DE593" s="1"/>
      <c r="DF593" s="1"/>
      <c r="DG593" s="1"/>
      <c r="DH593" s="656"/>
      <c r="DJ593" s="116"/>
    </row>
    <row r="594" spans="2:114" ht="15.75" customHeight="1" x14ac:dyDescent="0.25">
      <c r="B594" s="116"/>
      <c r="I594" s="656"/>
      <c r="K594" s="116"/>
      <c r="X594" s="1"/>
      <c r="Y594" s="1"/>
      <c r="Z594" s="1"/>
      <c r="AA594" s="1"/>
      <c r="AB594" s="656"/>
      <c r="AC594" s="1"/>
      <c r="AD594" s="116"/>
      <c r="AL594" s="656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43"/>
      <c r="BL594" s="116"/>
      <c r="BU594" s="1"/>
      <c r="BV594" s="1"/>
      <c r="BW594" s="1"/>
      <c r="BX594" s="656"/>
      <c r="BZ594" s="657"/>
      <c r="CA594" s="1"/>
      <c r="CB594" s="1"/>
      <c r="CC594" s="1"/>
      <c r="CD594" s="1"/>
      <c r="CE594" s="1"/>
      <c r="CF594" s="1"/>
      <c r="CG594" s="1"/>
      <c r="CH594" s="1"/>
      <c r="CP594" s="305"/>
      <c r="CR594" s="116"/>
      <c r="CZ594" s="1"/>
      <c r="DA594" s="1"/>
      <c r="DB594" s="1"/>
      <c r="DC594" s="1"/>
      <c r="DD594" s="1"/>
      <c r="DE594" s="1"/>
      <c r="DF594" s="1"/>
      <c r="DG594" s="1"/>
      <c r="DH594" s="656"/>
      <c r="DJ594" s="116"/>
    </row>
    <row r="595" spans="2:114" ht="15.75" customHeight="1" x14ac:dyDescent="0.25">
      <c r="B595" s="116"/>
      <c r="I595" s="656"/>
      <c r="K595" s="116"/>
      <c r="X595" s="1"/>
      <c r="Y595" s="1"/>
      <c r="Z595" s="1"/>
      <c r="AA595" s="1"/>
      <c r="AB595" s="656"/>
      <c r="AC595" s="1"/>
      <c r="AD595" s="116"/>
      <c r="AL595" s="656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43"/>
      <c r="BL595" s="116"/>
      <c r="BU595" s="1"/>
      <c r="BV595" s="1"/>
      <c r="BW595" s="1"/>
      <c r="BX595" s="656"/>
      <c r="BZ595" s="657"/>
      <c r="CA595" s="1"/>
      <c r="CB595" s="1"/>
      <c r="CC595" s="1"/>
      <c r="CD595" s="1"/>
      <c r="CE595" s="1"/>
      <c r="CF595" s="1"/>
      <c r="CG595" s="1"/>
      <c r="CH595" s="1"/>
      <c r="CP595" s="305"/>
      <c r="CR595" s="116"/>
      <c r="CZ595" s="1"/>
      <c r="DA595" s="1"/>
      <c r="DB595" s="1"/>
      <c r="DC595" s="1"/>
      <c r="DD595" s="1"/>
      <c r="DE595" s="1"/>
      <c r="DF595" s="1"/>
      <c r="DG595" s="1"/>
      <c r="DH595" s="656"/>
      <c r="DJ595" s="116"/>
    </row>
    <row r="596" spans="2:114" ht="15.75" customHeight="1" x14ac:dyDescent="0.25">
      <c r="B596" s="116"/>
      <c r="I596" s="656"/>
      <c r="K596" s="116"/>
      <c r="X596" s="1"/>
      <c r="Y596" s="1"/>
      <c r="Z596" s="1"/>
      <c r="AA596" s="1"/>
      <c r="AB596" s="656"/>
      <c r="AC596" s="1"/>
      <c r="AD596" s="116"/>
      <c r="AL596" s="656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43"/>
      <c r="BL596" s="116"/>
      <c r="BU596" s="1"/>
      <c r="BV596" s="1"/>
      <c r="BW596" s="1"/>
      <c r="BX596" s="656"/>
      <c r="BZ596" s="657"/>
      <c r="CA596" s="1"/>
      <c r="CB596" s="1"/>
      <c r="CC596" s="1"/>
      <c r="CD596" s="1"/>
      <c r="CE596" s="1"/>
      <c r="CF596" s="1"/>
      <c r="CG596" s="1"/>
      <c r="CH596" s="1"/>
      <c r="CP596" s="305"/>
      <c r="CR596" s="116"/>
      <c r="CZ596" s="1"/>
      <c r="DA596" s="1"/>
      <c r="DB596" s="1"/>
      <c r="DC596" s="1"/>
      <c r="DD596" s="1"/>
      <c r="DE596" s="1"/>
      <c r="DF596" s="1"/>
      <c r="DG596" s="1"/>
      <c r="DH596" s="656"/>
      <c r="DJ596" s="116"/>
    </row>
    <row r="597" spans="2:114" ht="15.75" customHeight="1" x14ac:dyDescent="0.25">
      <c r="B597" s="116"/>
      <c r="I597" s="656"/>
      <c r="K597" s="116"/>
      <c r="X597" s="1"/>
      <c r="Y597" s="1"/>
      <c r="Z597" s="1"/>
      <c r="AA597" s="1"/>
      <c r="AB597" s="656"/>
      <c r="AC597" s="1"/>
      <c r="AD597" s="116"/>
      <c r="AL597" s="656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43"/>
      <c r="BL597" s="116"/>
      <c r="BU597" s="1"/>
      <c r="BV597" s="1"/>
      <c r="BW597" s="1"/>
      <c r="BX597" s="656"/>
      <c r="BZ597" s="657"/>
      <c r="CA597" s="1"/>
      <c r="CB597" s="1"/>
      <c r="CC597" s="1"/>
      <c r="CD597" s="1"/>
      <c r="CE597" s="1"/>
      <c r="CF597" s="1"/>
      <c r="CG597" s="1"/>
      <c r="CH597" s="1"/>
      <c r="CP597" s="305"/>
      <c r="CR597" s="116"/>
      <c r="CZ597" s="1"/>
      <c r="DA597" s="1"/>
      <c r="DB597" s="1"/>
      <c r="DC597" s="1"/>
      <c r="DD597" s="1"/>
      <c r="DE597" s="1"/>
      <c r="DF597" s="1"/>
      <c r="DG597" s="1"/>
      <c r="DH597" s="656"/>
      <c r="DJ597" s="116"/>
    </row>
    <row r="598" spans="2:114" ht="15.75" customHeight="1" x14ac:dyDescent="0.25">
      <c r="B598" s="116"/>
      <c r="I598" s="656"/>
      <c r="K598" s="116"/>
      <c r="X598" s="1"/>
      <c r="Y598" s="1"/>
      <c r="Z598" s="1"/>
      <c r="AA598" s="1"/>
      <c r="AB598" s="656"/>
      <c r="AC598" s="1"/>
      <c r="AD598" s="116"/>
      <c r="AL598" s="656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43"/>
      <c r="BL598" s="116"/>
      <c r="BU598" s="1"/>
      <c r="BV598" s="1"/>
      <c r="BW598" s="1"/>
      <c r="BX598" s="656"/>
      <c r="BZ598" s="657"/>
      <c r="CA598" s="1"/>
      <c r="CB598" s="1"/>
      <c r="CC598" s="1"/>
      <c r="CD598" s="1"/>
      <c r="CE598" s="1"/>
      <c r="CF598" s="1"/>
      <c r="CG598" s="1"/>
      <c r="CH598" s="1"/>
      <c r="CP598" s="305"/>
      <c r="CR598" s="116"/>
      <c r="CZ598" s="1"/>
      <c r="DA598" s="1"/>
      <c r="DB598" s="1"/>
      <c r="DC598" s="1"/>
      <c r="DD598" s="1"/>
      <c r="DE598" s="1"/>
      <c r="DF598" s="1"/>
      <c r="DG598" s="1"/>
      <c r="DH598" s="656"/>
      <c r="DJ598" s="116"/>
    </row>
    <row r="599" spans="2:114" ht="15.75" customHeight="1" x14ac:dyDescent="0.25">
      <c r="B599" s="116"/>
      <c r="I599" s="656"/>
      <c r="K599" s="116"/>
      <c r="X599" s="1"/>
      <c r="Y599" s="1"/>
      <c r="Z599" s="1"/>
      <c r="AA599" s="1"/>
      <c r="AB599" s="656"/>
      <c r="AC599" s="1"/>
      <c r="AD599" s="116"/>
      <c r="AL599" s="656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43"/>
      <c r="BL599" s="116"/>
      <c r="BU599" s="1"/>
      <c r="BV599" s="1"/>
      <c r="BW599" s="1"/>
      <c r="BX599" s="656"/>
      <c r="BZ599" s="657"/>
      <c r="CA599" s="1"/>
      <c r="CB599" s="1"/>
      <c r="CC599" s="1"/>
      <c r="CD599" s="1"/>
      <c r="CE599" s="1"/>
      <c r="CF599" s="1"/>
      <c r="CG599" s="1"/>
      <c r="CH599" s="1"/>
      <c r="CP599" s="305"/>
      <c r="CR599" s="116"/>
      <c r="CZ599" s="1"/>
      <c r="DA599" s="1"/>
      <c r="DB599" s="1"/>
      <c r="DC599" s="1"/>
      <c r="DD599" s="1"/>
      <c r="DE599" s="1"/>
      <c r="DF599" s="1"/>
      <c r="DG599" s="1"/>
      <c r="DH599" s="656"/>
      <c r="DJ599" s="116"/>
    </row>
    <row r="600" spans="2:114" ht="15.75" customHeight="1" x14ac:dyDescent="0.25">
      <c r="B600" s="116"/>
      <c r="I600" s="656"/>
      <c r="K600" s="116"/>
      <c r="X600" s="1"/>
      <c r="Y600" s="1"/>
      <c r="Z600" s="1"/>
      <c r="AA600" s="1"/>
      <c r="AB600" s="656"/>
      <c r="AC600" s="1"/>
      <c r="AD600" s="116"/>
      <c r="AL600" s="656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43"/>
      <c r="BL600" s="116"/>
      <c r="BU600" s="1"/>
      <c r="BV600" s="1"/>
      <c r="BW600" s="1"/>
      <c r="BX600" s="656"/>
      <c r="BZ600" s="657"/>
      <c r="CA600" s="1"/>
      <c r="CB600" s="1"/>
      <c r="CC600" s="1"/>
      <c r="CD600" s="1"/>
      <c r="CE600" s="1"/>
      <c r="CF600" s="1"/>
      <c r="CG600" s="1"/>
      <c r="CH600" s="1"/>
      <c r="CP600" s="305"/>
      <c r="CR600" s="116"/>
      <c r="CZ600" s="1"/>
      <c r="DA600" s="1"/>
      <c r="DB600" s="1"/>
      <c r="DC600" s="1"/>
      <c r="DD600" s="1"/>
      <c r="DE600" s="1"/>
      <c r="DF600" s="1"/>
      <c r="DG600" s="1"/>
      <c r="DH600" s="656"/>
      <c r="DJ600" s="116"/>
    </row>
    <row r="601" spans="2:114" ht="15.75" customHeight="1" x14ac:dyDescent="0.25">
      <c r="B601" s="116"/>
      <c r="I601" s="656"/>
      <c r="K601" s="116"/>
      <c r="X601" s="1"/>
      <c r="Y601" s="1"/>
      <c r="Z601" s="1"/>
      <c r="AA601" s="1"/>
      <c r="AB601" s="656"/>
      <c r="AC601" s="1"/>
      <c r="AD601" s="116"/>
      <c r="AL601" s="656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43"/>
      <c r="BL601" s="116"/>
      <c r="BU601" s="1"/>
      <c r="BV601" s="1"/>
      <c r="BW601" s="1"/>
      <c r="BX601" s="656"/>
      <c r="BZ601" s="657"/>
      <c r="CA601" s="1"/>
      <c r="CB601" s="1"/>
      <c r="CC601" s="1"/>
      <c r="CD601" s="1"/>
      <c r="CE601" s="1"/>
      <c r="CF601" s="1"/>
      <c r="CG601" s="1"/>
      <c r="CH601" s="1"/>
      <c r="CP601" s="305"/>
      <c r="CR601" s="116"/>
      <c r="CZ601" s="1"/>
      <c r="DA601" s="1"/>
      <c r="DB601" s="1"/>
      <c r="DC601" s="1"/>
      <c r="DD601" s="1"/>
      <c r="DE601" s="1"/>
      <c r="DF601" s="1"/>
      <c r="DG601" s="1"/>
      <c r="DH601" s="656"/>
      <c r="DJ601" s="116"/>
    </row>
    <row r="602" spans="2:114" ht="15.75" customHeight="1" x14ac:dyDescent="0.25">
      <c r="B602" s="116"/>
      <c r="I602" s="656"/>
      <c r="K602" s="116"/>
      <c r="X602" s="1"/>
      <c r="Y602" s="1"/>
      <c r="Z602" s="1"/>
      <c r="AA602" s="1"/>
      <c r="AB602" s="656"/>
      <c r="AC602" s="1"/>
      <c r="AD602" s="116"/>
      <c r="AL602" s="656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43"/>
      <c r="BL602" s="116"/>
      <c r="BU602" s="1"/>
      <c r="BV602" s="1"/>
      <c r="BW602" s="1"/>
      <c r="BX602" s="656"/>
      <c r="BZ602" s="657"/>
      <c r="CA602" s="1"/>
      <c r="CB602" s="1"/>
      <c r="CC602" s="1"/>
      <c r="CD602" s="1"/>
      <c r="CE602" s="1"/>
      <c r="CF602" s="1"/>
      <c r="CG602" s="1"/>
      <c r="CH602" s="1"/>
      <c r="CP602" s="305"/>
      <c r="CR602" s="116"/>
      <c r="CZ602" s="1"/>
      <c r="DA602" s="1"/>
      <c r="DB602" s="1"/>
      <c r="DC602" s="1"/>
      <c r="DD602" s="1"/>
      <c r="DE602" s="1"/>
      <c r="DF602" s="1"/>
      <c r="DG602" s="1"/>
      <c r="DH602" s="656"/>
      <c r="DJ602" s="116"/>
    </row>
    <row r="603" spans="2:114" ht="15.75" customHeight="1" x14ac:dyDescent="0.25">
      <c r="B603" s="116"/>
      <c r="I603" s="656"/>
      <c r="K603" s="116"/>
      <c r="X603" s="1"/>
      <c r="Y603" s="1"/>
      <c r="Z603" s="1"/>
      <c r="AA603" s="1"/>
      <c r="AB603" s="656"/>
      <c r="AC603" s="1"/>
      <c r="AD603" s="116"/>
      <c r="AL603" s="656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43"/>
      <c r="BL603" s="116"/>
      <c r="BU603" s="1"/>
      <c r="BV603" s="1"/>
      <c r="BW603" s="1"/>
      <c r="BX603" s="656"/>
      <c r="BZ603" s="657"/>
      <c r="CA603" s="1"/>
      <c r="CB603" s="1"/>
      <c r="CC603" s="1"/>
      <c r="CD603" s="1"/>
      <c r="CE603" s="1"/>
      <c r="CF603" s="1"/>
      <c r="CG603" s="1"/>
      <c r="CH603" s="1"/>
      <c r="CP603" s="305"/>
      <c r="CR603" s="116"/>
      <c r="CZ603" s="1"/>
      <c r="DA603" s="1"/>
      <c r="DB603" s="1"/>
      <c r="DC603" s="1"/>
      <c r="DD603" s="1"/>
      <c r="DE603" s="1"/>
      <c r="DF603" s="1"/>
      <c r="DG603" s="1"/>
      <c r="DH603" s="656"/>
      <c r="DJ603" s="116"/>
    </row>
    <row r="604" spans="2:114" ht="15.75" customHeight="1" x14ac:dyDescent="0.25">
      <c r="B604" s="116"/>
      <c r="I604" s="656"/>
      <c r="K604" s="116"/>
      <c r="X604" s="1"/>
      <c r="Y604" s="1"/>
      <c r="Z604" s="1"/>
      <c r="AA604" s="1"/>
      <c r="AB604" s="656"/>
      <c r="AC604" s="1"/>
      <c r="AD604" s="116"/>
      <c r="AL604" s="656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43"/>
      <c r="BL604" s="116"/>
      <c r="BU604" s="1"/>
      <c r="BV604" s="1"/>
      <c r="BW604" s="1"/>
      <c r="BX604" s="656"/>
      <c r="BZ604" s="657"/>
      <c r="CA604" s="1"/>
      <c r="CB604" s="1"/>
      <c r="CC604" s="1"/>
      <c r="CD604" s="1"/>
      <c r="CE604" s="1"/>
      <c r="CF604" s="1"/>
      <c r="CG604" s="1"/>
      <c r="CH604" s="1"/>
      <c r="CP604" s="305"/>
      <c r="CR604" s="116"/>
      <c r="CZ604" s="1"/>
      <c r="DA604" s="1"/>
      <c r="DB604" s="1"/>
      <c r="DC604" s="1"/>
      <c r="DD604" s="1"/>
      <c r="DE604" s="1"/>
      <c r="DF604" s="1"/>
      <c r="DG604" s="1"/>
      <c r="DH604" s="656"/>
      <c r="DJ604" s="116"/>
    </row>
    <row r="605" spans="2:114" ht="15.75" customHeight="1" x14ac:dyDescent="0.25">
      <c r="B605" s="116"/>
      <c r="I605" s="656"/>
      <c r="K605" s="116"/>
      <c r="X605" s="1"/>
      <c r="Y605" s="1"/>
      <c r="Z605" s="1"/>
      <c r="AA605" s="1"/>
      <c r="AB605" s="656"/>
      <c r="AC605" s="1"/>
      <c r="AD605" s="116"/>
      <c r="AL605" s="656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43"/>
      <c r="BL605" s="116"/>
      <c r="BU605" s="1"/>
      <c r="BV605" s="1"/>
      <c r="BW605" s="1"/>
      <c r="BX605" s="656"/>
      <c r="BZ605" s="657"/>
      <c r="CA605" s="1"/>
      <c r="CB605" s="1"/>
      <c r="CC605" s="1"/>
      <c r="CD605" s="1"/>
      <c r="CE605" s="1"/>
      <c r="CF605" s="1"/>
      <c r="CG605" s="1"/>
      <c r="CH605" s="1"/>
      <c r="CP605" s="305"/>
      <c r="CR605" s="116"/>
      <c r="CZ605" s="1"/>
      <c r="DA605" s="1"/>
      <c r="DB605" s="1"/>
      <c r="DC605" s="1"/>
      <c r="DD605" s="1"/>
      <c r="DE605" s="1"/>
      <c r="DF605" s="1"/>
      <c r="DG605" s="1"/>
      <c r="DH605" s="656"/>
      <c r="DJ605" s="116"/>
    </row>
    <row r="606" spans="2:114" ht="15.75" customHeight="1" x14ac:dyDescent="0.25">
      <c r="B606" s="116"/>
      <c r="I606" s="656"/>
      <c r="K606" s="116"/>
      <c r="X606" s="1"/>
      <c r="Y606" s="1"/>
      <c r="Z606" s="1"/>
      <c r="AA606" s="1"/>
      <c r="AB606" s="656"/>
      <c r="AC606" s="1"/>
      <c r="AD606" s="116"/>
      <c r="AL606" s="656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43"/>
      <c r="BL606" s="116"/>
      <c r="BU606" s="1"/>
      <c r="BV606" s="1"/>
      <c r="BW606" s="1"/>
      <c r="BX606" s="656"/>
      <c r="BZ606" s="657"/>
      <c r="CA606" s="1"/>
      <c r="CB606" s="1"/>
      <c r="CC606" s="1"/>
      <c r="CD606" s="1"/>
      <c r="CE606" s="1"/>
      <c r="CF606" s="1"/>
      <c r="CG606" s="1"/>
      <c r="CH606" s="1"/>
      <c r="CP606" s="305"/>
      <c r="CR606" s="116"/>
      <c r="CZ606" s="1"/>
      <c r="DA606" s="1"/>
      <c r="DB606" s="1"/>
      <c r="DC606" s="1"/>
      <c r="DD606" s="1"/>
      <c r="DE606" s="1"/>
      <c r="DF606" s="1"/>
      <c r="DG606" s="1"/>
      <c r="DH606" s="656"/>
      <c r="DJ606" s="116"/>
    </row>
    <row r="607" spans="2:114" ht="15.75" customHeight="1" x14ac:dyDescent="0.25">
      <c r="B607" s="116"/>
      <c r="I607" s="656"/>
      <c r="K607" s="116"/>
      <c r="X607" s="1"/>
      <c r="Y607" s="1"/>
      <c r="Z607" s="1"/>
      <c r="AA607" s="1"/>
      <c r="AB607" s="656"/>
      <c r="AC607" s="1"/>
      <c r="AD607" s="116"/>
      <c r="AL607" s="656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43"/>
      <c r="BL607" s="116"/>
      <c r="BU607" s="1"/>
      <c r="BV607" s="1"/>
      <c r="BW607" s="1"/>
      <c r="BX607" s="656"/>
      <c r="BZ607" s="657"/>
      <c r="CA607" s="1"/>
      <c r="CB607" s="1"/>
      <c r="CC607" s="1"/>
      <c r="CD607" s="1"/>
      <c r="CE607" s="1"/>
      <c r="CF607" s="1"/>
      <c r="CG607" s="1"/>
      <c r="CH607" s="1"/>
      <c r="CP607" s="305"/>
      <c r="CR607" s="116"/>
      <c r="CZ607" s="1"/>
      <c r="DA607" s="1"/>
      <c r="DB607" s="1"/>
      <c r="DC607" s="1"/>
      <c r="DD607" s="1"/>
      <c r="DE607" s="1"/>
      <c r="DF607" s="1"/>
      <c r="DG607" s="1"/>
      <c r="DH607" s="656"/>
      <c r="DJ607" s="116"/>
    </row>
    <row r="608" spans="2:114" ht="15.75" customHeight="1" x14ac:dyDescent="0.25">
      <c r="B608" s="116"/>
      <c r="I608" s="656"/>
      <c r="K608" s="116"/>
      <c r="X608" s="1"/>
      <c r="Y608" s="1"/>
      <c r="Z608" s="1"/>
      <c r="AA608" s="1"/>
      <c r="AB608" s="656"/>
      <c r="AC608" s="1"/>
      <c r="AD608" s="116"/>
      <c r="AL608" s="656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43"/>
      <c r="BL608" s="116"/>
      <c r="BU608" s="1"/>
      <c r="BV608" s="1"/>
      <c r="BW608" s="1"/>
      <c r="BX608" s="656"/>
      <c r="BZ608" s="657"/>
      <c r="CA608" s="1"/>
      <c r="CB608" s="1"/>
      <c r="CC608" s="1"/>
      <c r="CD608" s="1"/>
      <c r="CE608" s="1"/>
      <c r="CF608" s="1"/>
      <c r="CG608" s="1"/>
      <c r="CH608" s="1"/>
      <c r="CP608" s="305"/>
      <c r="CR608" s="116"/>
      <c r="CZ608" s="1"/>
      <c r="DA608" s="1"/>
      <c r="DB608" s="1"/>
      <c r="DC608" s="1"/>
      <c r="DD608" s="1"/>
      <c r="DE608" s="1"/>
      <c r="DF608" s="1"/>
      <c r="DG608" s="1"/>
      <c r="DH608" s="656"/>
      <c r="DJ608" s="116"/>
    </row>
    <row r="609" spans="2:114" ht="15.75" customHeight="1" x14ac:dyDescent="0.25">
      <c r="B609" s="116"/>
      <c r="I609" s="656"/>
      <c r="K609" s="116"/>
      <c r="X609" s="1"/>
      <c r="Y609" s="1"/>
      <c r="Z609" s="1"/>
      <c r="AA609" s="1"/>
      <c r="AB609" s="656"/>
      <c r="AC609" s="1"/>
      <c r="AD609" s="116"/>
      <c r="AL609" s="656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43"/>
      <c r="BL609" s="116"/>
      <c r="BU609" s="1"/>
      <c r="BV609" s="1"/>
      <c r="BW609" s="1"/>
      <c r="BX609" s="656"/>
      <c r="BZ609" s="657"/>
      <c r="CA609" s="1"/>
      <c r="CB609" s="1"/>
      <c r="CC609" s="1"/>
      <c r="CD609" s="1"/>
      <c r="CE609" s="1"/>
      <c r="CF609" s="1"/>
      <c r="CG609" s="1"/>
      <c r="CH609" s="1"/>
      <c r="CP609" s="305"/>
      <c r="CR609" s="116"/>
      <c r="CZ609" s="1"/>
      <c r="DA609" s="1"/>
      <c r="DB609" s="1"/>
      <c r="DC609" s="1"/>
      <c r="DD609" s="1"/>
      <c r="DE609" s="1"/>
      <c r="DF609" s="1"/>
      <c r="DG609" s="1"/>
      <c r="DH609" s="656"/>
      <c r="DJ609" s="116"/>
    </row>
    <row r="610" spans="2:114" ht="15.75" customHeight="1" x14ac:dyDescent="0.25">
      <c r="B610" s="116"/>
      <c r="I610" s="656"/>
      <c r="K610" s="116"/>
      <c r="X610" s="1"/>
      <c r="Y610" s="1"/>
      <c r="Z610" s="1"/>
      <c r="AA610" s="1"/>
      <c r="AB610" s="656"/>
      <c r="AC610" s="1"/>
      <c r="AD610" s="116"/>
      <c r="AL610" s="656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43"/>
      <c r="BL610" s="116"/>
      <c r="BU610" s="1"/>
      <c r="BV610" s="1"/>
      <c r="BW610" s="1"/>
      <c r="BX610" s="656"/>
      <c r="BZ610" s="657"/>
      <c r="CA610" s="1"/>
      <c r="CB610" s="1"/>
      <c r="CC610" s="1"/>
      <c r="CD610" s="1"/>
      <c r="CE610" s="1"/>
      <c r="CF610" s="1"/>
      <c r="CG610" s="1"/>
      <c r="CH610" s="1"/>
      <c r="CP610" s="305"/>
      <c r="CR610" s="116"/>
      <c r="CZ610" s="1"/>
      <c r="DA610" s="1"/>
      <c r="DB610" s="1"/>
      <c r="DC610" s="1"/>
      <c r="DD610" s="1"/>
      <c r="DE610" s="1"/>
      <c r="DF610" s="1"/>
      <c r="DG610" s="1"/>
      <c r="DH610" s="656"/>
      <c r="DJ610" s="116"/>
    </row>
    <row r="611" spans="2:114" ht="15.75" customHeight="1" x14ac:dyDescent="0.25">
      <c r="B611" s="116"/>
      <c r="I611" s="656"/>
      <c r="K611" s="116"/>
      <c r="X611" s="1"/>
      <c r="Y611" s="1"/>
      <c r="Z611" s="1"/>
      <c r="AA611" s="1"/>
      <c r="AB611" s="656"/>
      <c r="AC611" s="1"/>
      <c r="AD611" s="116"/>
      <c r="AL611" s="656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43"/>
      <c r="BL611" s="116"/>
      <c r="BU611" s="1"/>
      <c r="BV611" s="1"/>
      <c r="BW611" s="1"/>
      <c r="BX611" s="656"/>
      <c r="BZ611" s="657"/>
      <c r="CA611" s="1"/>
      <c r="CB611" s="1"/>
      <c r="CC611" s="1"/>
      <c r="CD611" s="1"/>
      <c r="CE611" s="1"/>
      <c r="CF611" s="1"/>
      <c r="CG611" s="1"/>
      <c r="CH611" s="1"/>
      <c r="CP611" s="305"/>
      <c r="CR611" s="116"/>
      <c r="CZ611" s="1"/>
      <c r="DA611" s="1"/>
      <c r="DB611" s="1"/>
      <c r="DC611" s="1"/>
      <c r="DD611" s="1"/>
      <c r="DE611" s="1"/>
      <c r="DF611" s="1"/>
      <c r="DG611" s="1"/>
      <c r="DH611" s="656"/>
      <c r="DJ611" s="116"/>
    </row>
    <row r="612" spans="2:114" ht="15.75" customHeight="1" x14ac:dyDescent="0.25">
      <c r="B612" s="116"/>
      <c r="I612" s="656"/>
      <c r="K612" s="116"/>
      <c r="X612" s="1"/>
      <c r="Y612" s="1"/>
      <c r="Z612" s="1"/>
      <c r="AA612" s="1"/>
      <c r="AB612" s="656"/>
      <c r="AC612" s="1"/>
      <c r="AD612" s="116"/>
      <c r="AL612" s="656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43"/>
      <c r="BL612" s="116"/>
      <c r="BU612" s="1"/>
      <c r="BV612" s="1"/>
      <c r="BW612" s="1"/>
      <c r="BX612" s="656"/>
      <c r="BZ612" s="657"/>
      <c r="CA612" s="1"/>
      <c r="CB612" s="1"/>
      <c r="CC612" s="1"/>
      <c r="CD612" s="1"/>
      <c r="CE612" s="1"/>
      <c r="CF612" s="1"/>
      <c r="CG612" s="1"/>
      <c r="CH612" s="1"/>
      <c r="CP612" s="305"/>
      <c r="CR612" s="116"/>
      <c r="CZ612" s="1"/>
      <c r="DA612" s="1"/>
      <c r="DB612" s="1"/>
      <c r="DC612" s="1"/>
      <c r="DD612" s="1"/>
      <c r="DE612" s="1"/>
      <c r="DF612" s="1"/>
      <c r="DG612" s="1"/>
      <c r="DH612" s="656"/>
      <c r="DJ612" s="116"/>
    </row>
    <row r="613" spans="2:114" ht="15.75" customHeight="1" x14ac:dyDescent="0.25">
      <c r="B613" s="116"/>
      <c r="I613" s="656"/>
      <c r="K613" s="116"/>
      <c r="X613" s="1"/>
      <c r="Y613" s="1"/>
      <c r="Z613" s="1"/>
      <c r="AA613" s="1"/>
      <c r="AB613" s="656"/>
      <c r="AC613" s="1"/>
      <c r="AD613" s="116"/>
      <c r="AL613" s="656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43"/>
      <c r="BL613" s="116"/>
      <c r="BU613" s="1"/>
      <c r="BV613" s="1"/>
      <c r="BW613" s="1"/>
      <c r="BX613" s="656"/>
      <c r="BZ613" s="657"/>
      <c r="CA613" s="1"/>
      <c r="CB613" s="1"/>
      <c r="CC613" s="1"/>
      <c r="CD613" s="1"/>
      <c r="CE613" s="1"/>
      <c r="CF613" s="1"/>
      <c r="CG613" s="1"/>
      <c r="CH613" s="1"/>
      <c r="CP613" s="305"/>
      <c r="CR613" s="116"/>
      <c r="CZ613" s="1"/>
      <c r="DA613" s="1"/>
      <c r="DB613" s="1"/>
      <c r="DC613" s="1"/>
      <c r="DD613" s="1"/>
      <c r="DE613" s="1"/>
      <c r="DF613" s="1"/>
      <c r="DG613" s="1"/>
      <c r="DH613" s="656"/>
      <c r="DJ613" s="116"/>
    </row>
    <row r="614" spans="2:114" ht="15.75" customHeight="1" x14ac:dyDescent="0.25">
      <c r="B614" s="116"/>
      <c r="I614" s="656"/>
      <c r="K614" s="116"/>
      <c r="X614" s="1"/>
      <c r="Y614" s="1"/>
      <c r="Z614" s="1"/>
      <c r="AA614" s="1"/>
      <c r="AB614" s="656"/>
      <c r="AC614" s="1"/>
      <c r="AD614" s="116"/>
      <c r="AL614" s="656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43"/>
      <c r="BL614" s="116"/>
      <c r="BU614" s="1"/>
      <c r="BV614" s="1"/>
      <c r="BW614" s="1"/>
      <c r="BX614" s="656"/>
      <c r="BZ614" s="657"/>
      <c r="CA614" s="1"/>
      <c r="CB614" s="1"/>
      <c r="CC614" s="1"/>
      <c r="CD614" s="1"/>
      <c r="CE614" s="1"/>
      <c r="CF614" s="1"/>
      <c r="CG614" s="1"/>
      <c r="CH614" s="1"/>
      <c r="CP614" s="305"/>
      <c r="CR614" s="116"/>
      <c r="CZ614" s="1"/>
      <c r="DA614" s="1"/>
      <c r="DB614" s="1"/>
      <c r="DC614" s="1"/>
      <c r="DD614" s="1"/>
      <c r="DE614" s="1"/>
      <c r="DF614" s="1"/>
      <c r="DG614" s="1"/>
      <c r="DH614" s="656"/>
      <c r="DJ614" s="116"/>
    </row>
    <row r="615" spans="2:114" ht="15.75" customHeight="1" x14ac:dyDescent="0.25">
      <c r="B615" s="116"/>
      <c r="I615" s="656"/>
      <c r="K615" s="116"/>
      <c r="X615" s="1"/>
      <c r="Y615" s="1"/>
      <c r="Z615" s="1"/>
      <c r="AA615" s="1"/>
      <c r="AB615" s="656"/>
      <c r="AC615" s="1"/>
      <c r="AD615" s="116"/>
      <c r="AL615" s="656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43"/>
      <c r="BL615" s="116"/>
      <c r="BU615" s="1"/>
      <c r="BV615" s="1"/>
      <c r="BW615" s="1"/>
      <c r="BX615" s="656"/>
      <c r="BZ615" s="657"/>
      <c r="CA615" s="1"/>
      <c r="CB615" s="1"/>
      <c r="CC615" s="1"/>
      <c r="CD615" s="1"/>
      <c r="CE615" s="1"/>
      <c r="CF615" s="1"/>
      <c r="CG615" s="1"/>
      <c r="CH615" s="1"/>
      <c r="CP615" s="305"/>
      <c r="CR615" s="116"/>
      <c r="CZ615" s="1"/>
      <c r="DA615" s="1"/>
      <c r="DB615" s="1"/>
      <c r="DC615" s="1"/>
      <c r="DD615" s="1"/>
      <c r="DE615" s="1"/>
      <c r="DF615" s="1"/>
      <c r="DG615" s="1"/>
      <c r="DH615" s="656"/>
      <c r="DJ615" s="116"/>
    </row>
    <row r="616" spans="2:114" ht="15.75" customHeight="1" x14ac:dyDescent="0.25">
      <c r="B616" s="116"/>
      <c r="I616" s="656"/>
      <c r="K616" s="116"/>
      <c r="X616" s="1"/>
      <c r="Y616" s="1"/>
      <c r="Z616" s="1"/>
      <c r="AA616" s="1"/>
      <c r="AB616" s="656"/>
      <c r="AC616" s="1"/>
      <c r="AD616" s="116"/>
      <c r="AL616" s="656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43"/>
      <c r="BL616" s="116"/>
      <c r="BU616" s="1"/>
      <c r="BV616" s="1"/>
      <c r="BW616" s="1"/>
      <c r="BX616" s="656"/>
      <c r="BZ616" s="657"/>
      <c r="CA616" s="1"/>
      <c r="CB616" s="1"/>
      <c r="CC616" s="1"/>
      <c r="CD616" s="1"/>
      <c r="CE616" s="1"/>
      <c r="CF616" s="1"/>
      <c r="CG616" s="1"/>
      <c r="CH616" s="1"/>
      <c r="CP616" s="305"/>
      <c r="CR616" s="116"/>
      <c r="CZ616" s="1"/>
      <c r="DA616" s="1"/>
      <c r="DB616" s="1"/>
      <c r="DC616" s="1"/>
      <c r="DD616" s="1"/>
      <c r="DE616" s="1"/>
      <c r="DF616" s="1"/>
      <c r="DG616" s="1"/>
      <c r="DH616" s="656"/>
      <c r="DJ616" s="116"/>
    </row>
    <row r="617" spans="2:114" ht="15.75" customHeight="1" x14ac:dyDescent="0.25">
      <c r="B617" s="116"/>
      <c r="I617" s="656"/>
      <c r="K617" s="116"/>
      <c r="X617" s="1"/>
      <c r="Y617" s="1"/>
      <c r="Z617" s="1"/>
      <c r="AA617" s="1"/>
      <c r="AB617" s="656"/>
      <c r="AC617" s="1"/>
      <c r="AD617" s="116"/>
      <c r="AL617" s="656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43"/>
      <c r="BL617" s="116"/>
      <c r="BU617" s="1"/>
      <c r="BV617" s="1"/>
      <c r="BW617" s="1"/>
      <c r="BX617" s="656"/>
      <c r="BZ617" s="657"/>
      <c r="CA617" s="1"/>
      <c r="CB617" s="1"/>
      <c r="CC617" s="1"/>
      <c r="CD617" s="1"/>
      <c r="CE617" s="1"/>
      <c r="CF617" s="1"/>
      <c r="CG617" s="1"/>
      <c r="CH617" s="1"/>
      <c r="CP617" s="305"/>
      <c r="CR617" s="116"/>
      <c r="CZ617" s="1"/>
      <c r="DA617" s="1"/>
      <c r="DB617" s="1"/>
      <c r="DC617" s="1"/>
      <c r="DD617" s="1"/>
      <c r="DE617" s="1"/>
      <c r="DF617" s="1"/>
      <c r="DG617" s="1"/>
      <c r="DH617" s="656"/>
      <c r="DJ617" s="116"/>
    </row>
    <row r="618" spans="2:114" ht="15.75" customHeight="1" x14ac:dyDescent="0.25">
      <c r="B618" s="116"/>
      <c r="I618" s="656"/>
      <c r="K618" s="116"/>
      <c r="X618" s="1"/>
      <c r="Y618" s="1"/>
      <c r="Z618" s="1"/>
      <c r="AA618" s="1"/>
      <c r="AB618" s="656"/>
      <c r="AC618" s="1"/>
      <c r="AD618" s="116"/>
      <c r="AL618" s="656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43"/>
      <c r="BL618" s="116"/>
      <c r="BU618" s="1"/>
      <c r="BV618" s="1"/>
      <c r="BW618" s="1"/>
      <c r="BX618" s="656"/>
      <c r="BZ618" s="657"/>
      <c r="CA618" s="1"/>
      <c r="CB618" s="1"/>
      <c r="CC618" s="1"/>
      <c r="CD618" s="1"/>
      <c r="CE618" s="1"/>
      <c r="CF618" s="1"/>
      <c r="CG618" s="1"/>
      <c r="CH618" s="1"/>
      <c r="CP618" s="305"/>
      <c r="CR618" s="116"/>
      <c r="CZ618" s="1"/>
      <c r="DA618" s="1"/>
      <c r="DB618" s="1"/>
      <c r="DC618" s="1"/>
      <c r="DD618" s="1"/>
      <c r="DE618" s="1"/>
      <c r="DF618" s="1"/>
      <c r="DG618" s="1"/>
      <c r="DH618" s="656"/>
      <c r="DJ618" s="116"/>
    </row>
    <row r="619" spans="2:114" ht="15.75" customHeight="1" x14ac:dyDescent="0.25">
      <c r="B619" s="116"/>
      <c r="I619" s="656"/>
      <c r="K619" s="116"/>
      <c r="X619" s="1"/>
      <c r="Y619" s="1"/>
      <c r="Z619" s="1"/>
      <c r="AA619" s="1"/>
      <c r="AB619" s="656"/>
      <c r="AC619" s="1"/>
      <c r="AD619" s="116"/>
      <c r="AL619" s="656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43"/>
      <c r="BL619" s="116"/>
      <c r="BU619" s="1"/>
      <c r="BV619" s="1"/>
      <c r="BW619" s="1"/>
      <c r="BX619" s="656"/>
      <c r="BZ619" s="657"/>
      <c r="CA619" s="1"/>
      <c r="CB619" s="1"/>
      <c r="CC619" s="1"/>
      <c r="CD619" s="1"/>
      <c r="CE619" s="1"/>
      <c r="CF619" s="1"/>
      <c r="CG619" s="1"/>
      <c r="CH619" s="1"/>
      <c r="CP619" s="305"/>
      <c r="CR619" s="116"/>
      <c r="CZ619" s="1"/>
      <c r="DA619" s="1"/>
      <c r="DB619" s="1"/>
      <c r="DC619" s="1"/>
      <c r="DD619" s="1"/>
      <c r="DE619" s="1"/>
      <c r="DF619" s="1"/>
      <c r="DG619" s="1"/>
      <c r="DH619" s="656"/>
      <c r="DJ619" s="116"/>
    </row>
    <row r="620" spans="2:114" ht="15.75" customHeight="1" x14ac:dyDescent="0.25">
      <c r="B620" s="116"/>
      <c r="I620" s="656"/>
      <c r="K620" s="116"/>
      <c r="X620" s="1"/>
      <c r="Y620" s="1"/>
      <c r="Z620" s="1"/>
      <c r="AA620" s="1"/>
      <c r="AB620" s="656"/>
      <c r="AC620" s="1"/>
      <c r="AD620" s="116"/>
      <c r="AL620" s="656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43"/>
      <c r="BL620" s="116"/>
      <c r="BU620" s="1"/>
      <c r="BV620" s="1"/>
      <c r="BW620" s="1"/>
      <c r="BX620" s="656"/>
      <c r="BZ620" s="657"/>
      <c r="CA620" s="1"/>
      <c r="CB620" s="1"/>
      <c r="CC620" s="1"/>
      <c r="CD620" s="1"/>
      <c r="CE620" s="1"/>
      <c r="CF620" s="1"/>
      <c r="CG620" s="1"/>
      <c r="CH620" s="1"/>
      <c r="CP620" s="305"/>
      <c r="CR620" s="116"/>
      <c r="CZ620" s="1"/>
      <c r="DA620" s="1"/>
      <c r="DB620" s="1"/>
      <c r="DC620" s="1"/>
      <c r="DD620" s="1"/>
      <c r="DE620" s="1"/>
      <c r="DF620" s="1"/>
      <c r="DG620" s="1"/>
      <c r="DH620" s="656"/>
      <c r="DJ620" s="116"/>
    </row>
    <row r="621" spans="2:114" ht="15.75" customHeight="1" x14ac:dyDescent="0.25">
      <c r="B621" s="116"/>
      <c r="I621" s="656"/>
      <c r="K621" s="116"/>
      <c r="X621" s="1"/>
      <c r="Y621" s="1"/>
      <c r="Z621" s="1"/>
      <c r="AA621" s="1"/>
      <c r="AB621" s="656"/>
      <c r="AC621" s="1"/>
      <c r="AD621" s="116"/>
      <c r="AL621" s="656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43"/>
      <c r="BL621" s="116"/>
      <c r="BU621" s="1"/>
      <c r="BV621" s="1"/>
      <c r="BW621" s="1"/>
      <c r="BX621" s="656"/>
      <c r="BZ621" s="657"/>
      <c r="CA621" s="1"/>
      <c r="CB621" s="1"/>
      <c r="CC621" s="1"/>
      <c r="CD621" s="1"/>
      <c r="CE621" s="1"/>
      <c r="CF621" s="1"/>
      <c r="CG621" s="1"/>
      <c r="CH621" s="1"/>
      <c r="CP621" s="305"/>
      <c r="CR621" s="116"/>
      <c r="CZ621" s="1"/>
      <c r="DA621" s="1"/>
      <c r="DB621" s="1"/>
      <c r="DC621" s="1"/>
      <c r="DD621" s="1"/>
      <c r="DE621" s="1"/>
      <c r="DF621" s="1"/>
      <c r="DG621" s="1"/>
      <c r="DH621" s="656"/>
      <c r="DJ621" s="116"/>
    </row>
    <row r="622" spans="2:114" ht="15.75" customHeight="1" x14ac:dyDescent="0.25">
      <c r="B622" s="116"/>
      <c r="I622" s="656"/>
      <c r="K622" s="116"/>
      <c r="X622" s="1"/>
      <c r="Y622" s="1"/>
      <c r="Z622" s="1"/>
      <c r="AA622" s="1"/>
      <c r="AB622" s="656"/>
      <c r="AC622" s="1"/>
      <c r="AD622" s="116"/>
      <c r="AL622" s="656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43"/>
      <c r="BL622" s="116"/>
      <c r="BU622" s="1"/>
      <c r="BV622" s="1"/>
      <c r="BW622" s="1"/>
      <c r="BX622" s="656"/>
      <c r="BZ622" s="657"/>
      <c r="CA622" s="1"/>
      <c r="CB622" s="1"/>
      <c r="CC622" s="1"/>
      <c r="CD622" s="1"/>
      <c r="CE622" s="1"/>
      <c r="CF622" s="1"/>
      <c r="CG622" s="1"/>
      <c r="CH622" s="1"/>
      <c r="CP622" s="305"/>
      <c r="CR622" s="116"/>
      <c r="CZ622" s="1"/>
      <c r="DA622" s="1"/>
      <c r="DB622" s="1"/>
      <c r="DC622" s="1"/>
      <c r="DD622" s="1"/>
      <c r="DE622" s="1"/>
      <c r="DF622" s="1"/>
      <c r="DG622" s="1"/>
      <c r="DH622" s="656"/>
      <c r="DJ622" s="116"/>
    </row>
    <row r="623" spans="2:114" ht="15.75" customHeight="1" x14ac:dyDescent="0.25">
      <c r="B623" s="116"/>
      <c r="I623" s="656"/>
      <c r="K623" s="116"/>
      <c r="X623" s="1"/>
      <c r="Y623" s="1"/>
      <c r="Z623" s="1"/>
      <c r="AA623" s="1"/>
      <c r="AB623" s="656"/>
      <c r="AC623" s="1"/>
      <c r="AD623" s="116"/>
      <c r="AL623" s="656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43"/>
      <c r="BL623" s="116"/>
      <c r="BU623" s="1"/>
      <c r="BV623" s="1"/>
      <c r="BW623" s="1"/>
      <c r="BX623" s="656"/>
      <c r="BZ623" s="657"/>
      <c r="CA623" s="1"/>
      <c r="CB623" s="1"/>
      <c r="CC623" s="1"/>
      <c r="CD623" s="1"/>
      <c r="CE623" s="1"/>
      <c r="CF623" s="1"/>
      <c r="CG623" s="1"/>
      <c r="CH623" s="1"/>
      <c r="CP623" s="305"/>
      <c r="CR623" s="116"/>
      <c r="CZ623" s="1"/>
      <c r="DA623" s="1"/>
      <c r="DB623" s="1"/>
      <c r="DC623" s="1"/>
      <c r="DD623" s="1"/>
      <c r="DE623" s="1"/>
      <c r="DF623" s="1"/>
      <c r="DG623" s="1"/>
      <c r="DH623" s="656"/>
      <c r="DJ623" s="116"/>
    </row>
    <row r="624" spans="2:114" ht="15.75" customHeight="1" x14ac:dyDescent="0.25">
      <c r="B624" s="116"/>
      <c r="I624" s="656"/>
      <c r="K624" s="116"/>
      <c r="X624" s="1"/>
      <c r="Y624" s="1"/>
      <c r="Z624" s="1"/>
      <c r="AA624" s="1"/>
      <c r="AB624" s="656"/>
      <c r="AC624" s="1"/>
      <c r="AD624" s="116"/>
      <c r="AL624" s="656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43"/>
      <c r="BL624" s="116"/>
      <c r="BU624" s="1"/>
      <c r="BV624" s="1"/>
      <c r="BW624" s="1"/>
      <c r="BX624" s="656"/>
      <c r="BZ624" s="657"/>
      <c r="CA624" s="1"/>
      <c r="CB624" s="1"/>
      <c r="CC624" s="1"/>
      <c r="CD624" s="1"/>
      <c r="CE624" s="1"/>
      <c r="CF624" s="1"/>
      <c r="CG624" s="1"/>
      <c r="CH624" s="1"/>
      <c r="CP624" s="305"/>
      <c r="CR624" s="116"/>
      <c r="CZ624" s="1"/>
      <c r="DA624" s="1"/>
      <c r="DB624" s="1"/>
      <c r="DC624" s="1"/>
      <c r="DD624" s="1"/>
      <c r="DE624" s="1"/>
      <c r="DF624" s="1"/>
      <c r="DG624" s="1"/>
      <c r="DH624" s="656"/>
      <c r="DJ624" s="116"/>
    </row>
    <row r="625" spans="2:114" ht="15.75" customHeight="1" x14ac:dyDescent="0.25">
      <c r="B625" s="116"/>
      <c r="I625" s="656"/>
      <c r="K625" s="116"/>
      <c r="X625" s="1"/>
      <c r="Y625" s="1"/>
      <c r="Z625" s="1"/>
      <c r="AA625" s="1"/>
      <c r="AB625" s="656"/>
      <c r="AC625" s="1"/>
      <c r="AD625" s="116"/>
      <c r="AL625" s="656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43"/>
      <c r="BL625" s="116"/>
      <c r="BU625" s="1"/>
      <c r="BV625" s="1"/>
      <c r="BW625" s="1"/>
      <c r="BX625" s="656"/>
      <c r="BZ625" s="657"/>
      <c r="CA625" s="1"/>
      <c r="CB625" s="1"/>
      <c r="CC625" s="1"/>
      <c r="CD625" s="1"/>
      <c r="CE625" s="1"/>
      <c r="CF625" s="1"/>
      <c r="CG625" s="1"/>
      <c r="CH625" s="1"/>
      <c r="CP625" s="305"/>
      <c r="CR625" s="116"/>
      <c r="CZ625" s="1"/>
      <c r="DA625" s="1"/>
      <c r="DB625" s="1"/>
      <c r="DC625" s="1"/>
      <c r="DD625" s="1"/>
      <c r="DE625" s="1"/>
      <c r="DF625" s="1"/>
      <c r="DG625" s="1"/>
      <c r="DH625" s="656"/>
      <c r="DJ625" s="116"/>
    </row>
    <row r="626" spans="2:114" ht="15.75" customHeight="1" x14ac:dyDescent="0.25">
      <c r="B626" s="116"/>
      <c r="I626" s="656"/>
      <c r="K626" s="116"/>
      <c r="X626" s="1"/>
      <c r="Y626" s="1"/>
      <c r="Z626" s="1"/>
      <c r="AA626" s="1"/>
      <c r="AB626" s="656"/>
      <c r="AC626" s="1"/>
      <c r="AD626" s="116"/>
      <c r="AL626" s="656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43"/>
      <c r="BL626" s="116"/>
      <c r="BU626" s="1"/>
      <c r="BV626" s="1"/>
      <c r="BW626" s="1"/>
      <c r="BX626" s="656"/>
      <c r="BZ626" s="657"/>
      <c r="CA626" s="1"/>
      <c r="CB626" s="1"/>
      <c r="CC626" s="1"/>
      <c r="CD626" s="1"/>
      <c r="CE626" s="1"/>
      <c r="CF626" s="1"/>
      <c r="CG626" s="1"/>
      <c r="CH626" s="1"/>
      <c r="CP626" s="305"/>
      <c r="CR626" s="116"/>
      <c r="CZ626" s="1"/>
      <c r="DA626" s="1"/>
      <c r="DB626" s="1"/>
      <c r="DC626" s="1"/>
      <c r="DD626" s="1"/>
      <c r="DE626" s="1"/>
      <c r="DF626" s="1"/>
      <c r="DG626" s="1"/>
      <c r="DH626" s="656"/>
      <c r="DJ626" s="116"/>
    </row>
    <row r="627" spans="2:114" ht="15.75" customHeight="1" x14ac:dyDescent="0.25">
      <c r="B627" s="116"/>
      <c r="I627" s="656"/>
      <c r="K627" s="116"/>
      <c r="X627" s="1"/>
      <c r="Y627" s="1"/>
      <c r="Z627" s="1"/>
      <c r="AA627" s="1"/>
      <c r="AB627" s="656"/>
      <c r="AC627" s="1"/>
      <c r="AD627" s="116"/>
      <c r="AL627" s="656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43"/>
      <c r="BL627" s="116"/>
      <c r="BU627" s="1"/>
      <c r="BV627" s="1"/>
      <c r="BW627" s="1"/>
      <c r="BX627" s="656"/>
      <c r="BZ627" s="657"/>
      <c r="CA627" s="1"/>
      <c r="CB627" s="1"/>
      <c r="CC627" s="1"/>
      <c r="CD627" s="1"/>
      <c r="CE627" s="1"/>
      <c r="CF627" s="1"/>
      <c r="CG627" s="1"/>
      <c r="CH627" s="1"/>
      <c r="CP627" s="305"/>
      <c r="CR627" s="116"/>
      <c r="CZ627" s="1"/>
      <c r="DA627" s="1"/>
      <c r="DB627" s="1"/>
      <c r="DC627" s="1"/>
      <c r="DD627" s="1"/>
      <c r="DE627" s="1"/>
      <c r="DF627" s="1"/>
      <c r="DG627" s="1"/>
      <c r="DH627" s="656"/>
      <c r="DJ627" s="116"/>
    </row>
    <row r="628" spans="2:114" ht="15.75" customHeight="1" x14ac:dyDescent="0.25">
      <c r="B628" s="116"/>
      <c r="I628" s="656"/>
      <c r="K628" s="116"/>
      <c r="X628" s="1"/>
      <c r="Y628" s="1"/>
      <c r="Z628" s="1"/>
      <c r="AA628" s="1"/>
      <c r="AB628" s="656"/>
      <c r="AC628" s="1"/>
      <c r="AD628" s="116"/>
      <c r="AL628" s="656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43"/>
      <c r="BL628" s="116"/>
      <c r="BU628" s="1"/>
      <c r="BV628" s="1"/>
      <c r="BW628" s="1"/>
      <c r="BX628" s="656"/>
      <c r="BZ628" s="657"/>
      <c r="CA628" s="1"/>
      <c r="CB628" s="1"/>
      <c r="CC628" s="1"/>
      <c r="CD628" s="1"/>
      <c r="CE628" s="1"/>
      <c r="CF628" s="1"/>
      <c r="CG628" s="1"/>
      <c r="CH628" s="1"/>
      <c r="CP628" s="305"/>
      <c r="CR628" s="116"/>
      <c r="CZ628" s="1"/>
      <c r="DA628" s="1"/>
      <c r="DB628" s="1"/>
      <c r="DC628" s="1"/>
      <c r="DD628" s="1"/>
      <c r="DE628" s="1"/>
      <c r="DF628" s="1"/>
      <c r="DG628" s="1"/>
      <c r="DH628" s="656"/>
      <c r="DJ628" s="116"/>
    </row>
    <row r="629" spans="2:114" ht="15.75" customHeight="1" x14ac:dyDescent="0.25">
      <c r="B629" s="116"/>
      <c r="I629" s="656"/>
      <c r="K629" s="116"/>
      <c r="X629" s="1"/>
      <c r="Y629" s="1"/>
      <c r="Z629" s="1"/>
      <c r="AA629" s="1"/>
      <c r="AB629" s="656"/>
      <c r="AC629" s="1"/>
      <c r="AD629" s="116"/>
      <c r="AL629" s="656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43"/>
      <c r="BL629" s="116"/>
      <c r="BU629" s="1"/>
      <c r="BV629" s="1"/>
      <c r="BW629" s="1"/>
      <c r="BX629" s="656"/>
      <c r="BZ629" s="657"/>
      <c r="CA629" s="1"/>
      <c r="CB629" s="1"/>
      <c r="CC629" s="1"/>
      <c r="CD629" s="1"/>
      <c r="CE629" s="1"/>
      <c r="CF629" s="1"/>
      <c r="CG629" s="1"/>
      <c r="CH629" s="1"/>
      <c r="CP629" s="305"/>
      <c r="CR629" s="116"/>
      <c r="CZ629" s="1"/>
      <c r="DA629" s="1"/>
      <c r="DB629" s="1"/>
      <c r="DC629" s="1"/>
      <c r="DD629" s="1"/>
      <c r="DE629" s="1"/>
      <c r="DF629" s="1"/>
      <c r="DG629" s="1"/>
      <c r="DH629" s="656"/>
      <c r="DJ629" s="116"/>
    </row>
    <row r="630" spans="2:114" ht="15.75" customHeight="1" x14ac:dyDescent="0.25">
      <c r="B630" s="116"/>
      <c r="I630" s="656"/>
      <c r="K630" s="116"/>
      <c r="X630" s="1"/>
      <c r="Y630" s="1"/>
      <c r="Z630" s="1"/>
      <c r="AA630" s="1"/>
      <c r="AB630" s="656"/>
      <c r="AC630" s="1"/>
      <c r="AD630" s="116"/>
      <c r="AL630" s="656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43"/>
      <c r="BL630" s="116"/>
      <c r="BU630" s="1"/>
      <c r="BV630" s="1"/>
      <c r="BW630" s="1"/>
      <c r="BX630" s="656"/>
      <c r="BZ630" s="657"/>
      <c r="CA630" s="1"/>
      <c r="CB630" s="1"/>
      <c r="CC630" s="1"/>
      <c r="CD630" s="1"/>
      <c r="CE630" s="1"/>
      <c r="CF630" s="1"/>
      <c r="CG630" s="1"/>
      <c r="CH630" s="1"/>
      <c r="CP630" s="305"/>
      <c r="CR630" s="116"/>
      <c r="CZ630" s="1"/>
      <c r="DA630" s="1"/>
      <c r="DB630" s="1"/>
      <c r="DC630" s="1"/>
      <c r="DD630" s="1"/>
      <c r="DE630" s="1"/>
      <c r="DF630" s="1"/>
      <c r="DG630" s="1"/>
      <c r="DH630" s="656"/>
      <c r="DJ630" s="116"/>
    </row>
    <row r="631" spans="2:114" ht="15.75" customHeight="1" x14ac:dyDescent="0.25">
      <c r="B631" s="116"/>
      <c r="I631" s="656"/>
      <c r="K631" s="116"/>
      <c r="X631" s="1"/>
      <c r="Y631" s="1"/>
      <c r="Z631" s="1"/>
      <c r="AA631" s="1"/>
      <c r="AB631" s="656"/>
      <c r="AC631" s="1"/>
      <c r="AD631" s="116"/>
      <c r="AL631" s="656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43"/>
      <c r="BL631" s="116"/>
      <c r="BU631" s="1"/>
      <c r="BV631" s="1"/>
      <c r="BW631" s="1"/>
      <c r="BX631" s="656"/>
      <c r="BZ631" s="657"/>
      <c r="CA631" s="1"/>
      <c r="CB631" s="1"/>
      <c r="CC631" s="1"/>
      <c r="CD631" s="1"/>
      <c r="CE631" s="1"/>
      <c r="CF631" s="1"/>
      <c r="CG631" s="1"/>
      <c r="CH631" s="1"/>
      <c r="CP631" s="305"/>
      <c r="CR631" s="116"/>
      <c r="CZ631" s="1"/>
      <c r="DA631" s="1"/>
      <c r="DB631" s="1"/>
      <c r="DC631" s="1"/>
      <c r="DD631" s="1"/>
      <c r="DE631" s="1"/>
      <c r="DF631" s="1"/>
      <c r="DG631" s="1"/>
      <c r="DH631" s="656"/>
      <c r="DJ631" s="116"/>
    </row>
    <row r="632" spans="2:114" ht="15.75" customHeight="1" x14ac:dyDescent="0.25">
      <c r="B632" s="116"/>
      <c r="I632" s="656"/>
      <c r="K632" s="116"/>
      <c r="X632" s="1"/>
      <c r="Y632" s="1"/>
      <c r="Z632" s="1"/>
      <c r="AA632" s="1"/>
      <c r="AB632" s="656"/>
      <c r="AC632" s="1"/>
      <c r="AD632" s="116"/>
      <c r="AL632" s="656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43"/>
      <c r="BL632" s="116"/>
      <c r="BU632" s="1"/>
      <c r="BV632" s="1"/>
      <c r="BW632" s="1"/>
      <c r="BX632" s="656"/>
      <c r="BZ632" s="657"/>
      <c r="CA632" s="1"/>
      <c r="CB632" s="1"/>
      <c r="CC632" s="1"/>
      <c r="CD632" s="1"/>
      <c r="CE632" s="1"/>
      <c r="CF632" s="1"/>
      <c r="CG632" s="1"/>
      <c r="CH632" s="1"/>
      <c r="CP632" s="305"/>
      <c r="CR632" s="116"/>
      <c r="CZ632" s="1"/>
      <c r="DA632" s="1"/>
      <c r="DB632" s="1"/>
      <c r="DC632" s="1"/>
      <c r="DD632" s="1"/>
      <c r="DE632" s="1"/>
      <c r="DF632" s="1"/>
      <c r="DG632" s="1"/>
      <c r="DH632" s="656"/>
      <c r="DJ632" s="116"/>
    </row>
    <row r="633" spans="2:114" ht="15.75" customHeight="1" x14ac:dyDescent="0.25">
      <c r="B633" s="116"/>
      <c r="I633" s="656"/>
      <c r="K633" s="116"/>
      <c r="X633" s="1"/>
      <c r="Y633" s="1"/>
      <c r="Z633" s="1"/>
      <c r="AA633" s="1"/>
      <c r="AB633" s="656"/>
      <c r="AC633" s="1"/>
      <c r="AD633" s="116"/>
      <c r="AL633" s="656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43"/>
      <c r="BL633" s="116"/>
      <c r="BU633" s="1"/>
      <c r="BV633" s="1"/>
      <c r="BW633" s="1"/>
      <c r="BX633" s="656"/>
      <c r="BZ633" s="657"/>
      <c r="CA633" s="1"/>
      <c r="CB633" s="1"/>
      <c r="CC633" s="1"/>
      <c r="CD633" s="1"/>
      <c r="CE633" s="1"/>
      <c r="CF633" s="1"/>
      <c r="CG633" s="1"/>
      <c r="CH633" s="1"/>
      <c r="CP633" s="305"/>
      <c r="CR633" s="116"/>
      <c r="CZ633" s="1"/>
      <c r="DA633" s="1"/>
      <c r="DB633" s="1"/>
      <c r="DC633" s="1"/>
      <c r="DD633" s="1"/>
      <c r="DE633" s="1"/>
      <c r="DF633" s="1"/>
      <c r="DG633" s="1"/>
      <c r="DH633" s="656"/>
      <c r="DJ633" s="116"/>
    </row>
    <row r="634" spans="2:114" ht="15.75" customHeight="1" x14ac:dyDescent="0.25">
      <c r="B634" s="116"/>
      <c r="I634" s="656"/>
      <c r="K634" s="116"/>
      <c r="X634" s="1"/>
      <c r="Y634" s="1"/>
      <c r="Z634" s="1"/>
      <c r="AA634" s="1"/>
      <c r="AB634" s="656"/>
      <c r="AC634" s="1"/>
      <c r="AD634" s="116"/>
      <c r="AL634" s="656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43"/>
      <c r="BL634" s="116"/>
      <c r="BU634" s="1"/>
      <c r="BV634" s="1"/>
      <c r="BW634" s="1"/>
      <c r="BX634" s="656"/>
      <c r="BZ634" s="657"/>
      <c r="CA634" s="1"/>
      <c r="CB634" s="1"/>
      <c r="CC634" s="1"/>
      <c r="CD634" s="1"/>
      <c r="CE634" s="1"/>
      <c r="CF634" s="1"/>
      <c r="CG634" s="1"/>
      <c r="CH634" s="1"/>
      <c r="CP634" s="305"/>
      <c r="CR634" s="116"/>
      <c r="CZ634" s="1"/>
      <c r="DA634" s="1"/>
      <c r="DB634" s="1"/>
      <c r="DC634" s="1"/>
      <c r="DD634" s="1"/>
      <c r="DE634" s="1"/>
      <c r="DF634" s="1"/>
      <c r="DG634" s="1"/>
      <c r="DH634" s="656"/>
      <c r="DJ634" s="116"/>
    </row>
    <row r="635" spans="2:114" ht="15.75" customHeight="1" x14ac:dyDescent="0.25">
      <c r="B635" s="116"/>
      <c r="I635" s="656"/>
      <c r="K635" s="116"/>
      <c r="X635" s="1"/>
      <c r="Y635" s="1"/>
      <c r="Z635" s="1"/>
      <c r="AA635" s="1"/>
      <c r="AB635" s="656"/>
      <c r="AC635" s="1"/>
      <c r="AD635" s="116"/>
      <c r="AL635" s="656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43"/>
      <c r="BL635" s="116"/>
      <c r="BU635" s="1"/>
      <c r="BV635" s="1"/>
      <c r="BW635" s="1"/>
      <c r="BX635" s="656"/>
      <c r="BZ635" s="657"/>
      <c r="CA635" s="1"/>
      <c r="CB635" s="1"/>
      <c r="CC635" s="1"/>
      <c r="CD635" s="1"/>
      <c r="CE635" s="1"/>
      <c r="CF635" s="1"/>
      <c r="CG635" s="1"/>
      <c r="CH635" s="1"/>
      <c r="CP635" s="305"/>
      <c r="CR635" s="116"/>
      <c r="CZ635" s="1"/>
      <c r="DA635" s="1"/>
      <c r="DB635" s="1"/>
      <c r="DC635" s="1"/>
      <c r="DD635" s="1"/>
      <c r="DE635" s="1"/>
      <c r="DF635" s="1"/>
      <c r="DG635" s="1"/>
      <c r="DH635" s="656"/>
      <c r="DJ635" s="116"/>
    </row>
    <row r="636" spans="2:114" ht="15.75" customHeight="1" x14ac:dyDescent="0.25">
      <c r="B636" s="116"/>
      <c r="I636" s="656"/>
      <c r="K636" s="116"/>
      <c r="X636" s="1"/>
      <c r="Y636" s="1"/>
      <c r="Z636" s="1"/>
      <c r="AA636" s="1"/>
      <c r="AB636" s="656"/>
      <c r="AC636" s="1"/>
      <c r="AD636" s="116"/>
      <c r="AL636" s="656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43"/>
      <c r="BL636" s="116"/>
      <c r="BU636" s="1"/>
      <c r="BV636" s="1"/>
      <c r="BW636" s="1"/>
      <c r="BX636" s="656"/>
      <c r="BZ636" s="657"/>
      <c r="CA636" s="1"/>
      <c r="CB636" s="1"/>
      <c r="CC636" s="1"/>
      <c r="CD636" s="1"/>
      <c r="CE636" s="1"/>
      <c r="CF636" s="1"/>
      <c r="CG636" s="1"/>
      <c r="CH636" s="1"/>
      <c r="CP636" s="305"/>
      <c r="CR636" s="116"/>
      <c r="CZ636" s="1"/>
      <c r="DA636" s="1"/>
      <c r="DB636" s="1"/>
      <c r="DC636" s="1"/>
      <c r="DD636" s="1"/>
      <c r="DE636" s="1"/>
      <c r="DF636" s="1"/>
      <c r="DG636" s="1"/>
      <c r="DH636" s="656"/>
      <c r="DJ636" s="116"/>
    </row>
    <row r="637" spans="2:114" ht="15.75" customHeight="1" x14ac:dyDescent="0.25">
      <c r="B637" s="116"/>
      <c r="I637" s="656"/>
      <c r="K637" s="116"/>
      <c r="X637" s="1"/>
      <c r="Y637" s="1"/>
      <c r="Z637" s="1"/>
      <c r="AA637" s="1"/>
      <c r="AB637" s="656"/>
      <c r="AC637" s="1"/>
      <c r="AD637" s="116"/>
      <c r="AL637" s="656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43"/>
      <c r="BL637" s="116"/>
      <c r="BU637" s="1"/>
      <c r="BV637" s="1"/>
      <c r="BW637" s="1"/>
      <c r="BX637" s="656"/>
      <c r="BZ637" s="657"/>
      <c r="CA637" s="1"/>
      <c r="CB637" s="1"/>
      <c r="CC637" s="1"/>
      <c r="CD637" s="1"/>
      <c r="CE637" s="1"/>
      <c r="CF637" s="1"/>
      <c r="CG637" s="1"/>
      <c r="CH637" s="1"/>
      <c r="CP637" s="305"/>
      <c r="CR637" s="116"/>
      <c r="CZ637" s="1"/>
      <c r="DA637" s="1"/>
      <c r="DB637" s="1"/>
      <c r="DC637" s="1"/>
      <c r="DD637" s="1"/>
      <c r="DE637" s="1"/>
      <c r="DF637" s="1"/>
      <c r="DG637" s="1"/>
      <c r="DH637" s="656"/>
      <c r="DJ637" s="116"/>
    </row>
    <row r="638" spans="2:114" ht="15.75" customHeight="1" x14ac:dyDescent="0.25">
      <c r="B638" s="116"/>
      <c r="I638" s="656"/>
      <c r="K638" s="116"/>
      <c r="X638" s="1"/>
      <c r="Y638" s="1"/>
      <c r="Z638" s="1"/>
      <c r="AA638" s="1"/>
      <c r="AB638" s="656"/>
      <c r="AC638" s="1"/>
      <c r="AD638" s="116"/>
      <c r="AL638" s="656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43"/>
      <c r="BL638" s="116"/>
      <c r="BU638" s="1"/>
      <c r="BV638" s="1"/>
      <c r="BW638" s="1"/>
      <c r="BX638" s="656"/>
      <c r="BZ638" s="657"/>
      <c r="CA638" s="1"/>
      <c r="CB638" s="1"/>
      <c r="CC638" s="1"/>
      <c r="CD638" s="1"/>
      <c r="CE638" s="1"/>
      <c r="CF638" s="1"/>
      <c r="CG638" s="1"/>
      <c r="CH638" s="1"/>
      <c r="CP638" s="305"/>
      <c r="CR638" s="116"/>
      <c r="CZ638" s="1"/>
      <c r="DA638" s="1"/>
      <c r="DB638" s="1"/>
      <c r="DC638" s="1"/>
      <c r="DD638" s="1"/>
      <c r="DE638" s="1"/>
      <c r="DF638" s="1"/>
      <c r="DG638" s="1"/>
      <c r="DH638" s="656"/>
      <c r="DJ638" s="116"/>
    </row>
    <row r="639" spans="2:114" ht="15.75" customHeight="1" x14ac:dyDescent="0.25">
      <c r="B639" s="116"/>
      <c r="I639" s="656"/>
      <c r="K639" s="116"/>
      <c r="X639" s="1"/>
      <c r="Y639" s="1"/>
      <c r="Z639" s="1"/>
      <c r="AA639" s="1"/>
      <c r="AB639" s="656"/>
      <c r="AC639" s="1"/>
      <c r="AD639" s="116"/>
      <c r="AL639" s="656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43"/>
      <c r="BL639" s="116"/>
      <c r="BU639" s="1"/>
      <c r="BV639" s="1"/>
      <c r="BW639" s="1"/>
      <c r="BX639" s="656"/>
      <c r="BZ639" s="657"/>
      <c r="CA639" s="1"/>
      <c r="CB639" s="1"/>
      <c r="CC639" s="1"/>
      <c r="CD639" s="1"/>
      <c r="CE639" s="1"/>
      <c r="CF639" s="1"/>
      <c r="CG639" s="1"/>
      <c r="CH639" s="1"/>
      <c r="CP639" s="305"/>
      <c r="CR639" s="116"/>
      <c r="CZ639" s="1"/>
      <c r="DA639" s="1"/>
      <c r="DB639" s="1"/>
      <c r="DC639" s="1"/>
      <c r="DD639" s="1"/>
      <c r="DE639" s="1"/>
      <c r="DF639" s="1"/>
      <c r="DG639" s="1"/>
      <c r="DH639" s="656"/>
      <c r="DJ639" s="116"/>
    </row>
    <row r="640" spans="2:114" ht="15.75" customHeight="1" x14ac:dyDescent="0.25">
      <c r="B640" s="116"/>
      <c r="I640" s="656"/>
      <c r="K640" s="116"/>
      <c r="X640" s="1"/>
      <c r="Y640" s="1"/>
      <c r="Z640" s="1"/>
      <c r="AA640" s="1"/>
      <c r="AB640" s="656"/>
      <c r="AC640" s="1"/>
      <c r="AD640" s="116"/>
      <c r="AL640" s="656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43"/>
      <c r="BL640" s="116"/>
      <c r="BU640" s="1"/>
      <c r="BV640" s="1"/>
      <c r="BW640" s="1"/>
      <c r="BX640" s="656"/>
      <c r="BZ640" s="657"/>
      <c r="CA640" s="1"/>
      <c r="CB640" s="1"/>
      <c r="CC640" s="1"/>
      <c r="CD640" s="1"/>
      <c r="CE640" s="1"/>
      <c r="CF640" s="1"/>
      <c r="CG640" s="1"/>
      <c r="CH640" s="1"/>
      <c r="CP640" s="305"/>
      <c r="CR640" s="116"/>
      <c r="CZ640" s="1"/>
      <c r="DA640" s="1"/>
      <c r="DB640" s="1"/>
      <c r="DC640" s="1"/>
      <c r="DD640" s="1"/>
      <c r="DE640" s="1"/>
      <c r="DF640" s="1"/>
      <c r="DG640" s="1"/>
      <c r="DH640" s="656"/>
      <c r="DJ640" s="116"/>
    </row>
    <row r="641" spans="2:114" ht="15.75" customHeight="1" x14ac:dyDescent="0.25">
      <c r="B641" s="116"/>
      <c r="I641" s="656"/>
      <c r="K641" s="116"/>
      <c r="X641" s="1"/>
      <c r="Y641" s="1"/>
      <c r="Z641" s="1"/>
      <c r="AA641" s="1"/>
      <c r="AB641" s="656"/>
      <c r="AC641" s="1"/>
      <c r="AD641" s="116"/>
      <c r="AL641" s="656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43"/>
      <c r="BL641" s="116"/>
      <c r="BU641" s="1"/>
      <c r="BV641" s="1"/>
      <c r="BW641" s="1"/>
      <c r="BX641" s="656"/>
      <c r="BZ641" s="657"/>
      <c r="CA641" s="1"/>
      <c r="CB641" s="1"/>
      <c r="CC641" s="1"/>
      <c r="CD641" s="1"/>
      <c r="CE641" s="1"/>
      <c r="CF641" s="1"/>
      <c r="CG641" s="1"/>
      <c r="CH641" s="1"/>
      <c r="CP641" s="305"/>
      <c r="CR641" s="116"/>
      <c r="CZ641" s="1"/>
      <c r="DA641" s="1"/>
      <c r="DB641" s="1"/>
      <c r="DC641" s="1"/>
      <c r="DD641" s="1"/>
      <c r="DE641" s="1"/>
      <c r="DF641" s="1"/>
      <c r="DG641" s="1"/>
      <c r="DH641" s="656"/>
      <c r="DJ641" s="116"/>
    </row>
    <row r="642" spans="2:114" ht="15.75" customHeight="1" x14ac:dyDescent="0.25">
      <c r="B642" s="116"/>
      <c r="I642" s="656"/>
      <c r="K642" s="116"/>
      <c r="X642" s="1"/>
      <c r="Y642" s="1"/>
      <c r="Z642" s="1"/>
      <c r="AA642" s="1"/>
      <c r="AB642" s="656"/>
      <c r="AC642" s="1"/>
      <c r="AD642" s="116"/>
      <c r="AL642" s="656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43"/>
      <c r="BL642" s="116"/>
      <c r="BU642" s="1"/>
      <c r="BV642" s="1"/>
      <c r="BW642" s="1"/>
      <c r="BX642" s="656"/>
      <c r="BZ642" s="657"/>
      <c r="CA642" s="1"/>
      <c r="CB642" s="1"/>
      <c r="CC642" s="1"/>
      <c r="CD642" s="1"/>
      <c r="CE642" s="1"/>
      <c r="CF642" s="1"/>
      <c r="CG642" s="1"/>
      <c r="CH642" s="1"/>
      <c r="CP642" s="305"/>
      <c r="CR642" s="116"/>
      <c r="CZ642" s="1"/>
      <c r="DA642" s="1"/>
      <c r="DB642" s="1"/>
      <c r="DC642" s="1"/>
      <c r="DD642" s="1"/>
      <c r="DE642" s="1"/>
      <c r="DF642" s="1"/>
      <c r="DG642" s="1"/>
      <c r="DH642" s="656"/>
      <c r="DJ642" s="116"/>
    </row>
    <row r="643" spans="2:114" ht="15.75" customHeight="1" x14ac:dyDescent="0.25">
      <c r="B643" s="116"/>
      <c r="I643" s="656"/>
      <c r="K643" s="116"/>
      <c r="X643" s="1"/>
      <c r="Y643" s="1"/>
      <c r="Z643" s="1"/>
      <c r="AA643" s="1"/>
      <c r="AB643" s="656"/>
      <c r="AC643" s="1"/>
      <c r="AD643" s="116"/>
      <c r="AL643" s="656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43"/>
      <c r="BL643" s="116"/>
      <c r="BU643" s="1"/>
      <c r="BV643" s="1"/>
      <c r="BW643" s="1"/>
      <c r="BX643" s="656"/>
      <c r="BZ643" s="657"/>
      <c r="CA643" s="1"/>
      <c r="CB643" s="1"/>
      <c r="CC643" s="1"/>
      <c r="CD643" s="1"/>
      <c r="CE643" s="1"/>
      <c r="CF643" s="1"/>
      <c r="CG643" s="1"/>
      <c r="CH643" s="1"/>
      <c r="CP643" s="305"/>
      <c r="CR643" s="116"/>
      <c r="CZ643" s="1"/>
      <c r="DA643" s="1"/>
      <c r="DB643" s="1"/>
      <c r="DC643" s="1"/>
      <c r="DD643" s="1"/>
      <c r="DE643" s="1"/>
      <c r="DF643" s="1"/>
      <c r="DG643" s="1"/>
      <c r="DH643" s="656"/>
      <c r="DJ643" s="116"/>
    </row>
    <row r="644" spans="2:114" ht="15.75" customHeight="1" x14ac:dyDescent="0.25">
      <c r="B644" s="116"/>
      <c r="I644" s="656"/>
      <c r="K644" s="116"/>
      <c r="X644" s="1"/>
      <c r="Y644" s="1"/>
      <c r="Z644" s="1"/>
      <c r="AA644" s="1"/>
      <c r="AB644" s="656"/>
      <c r="AC644" s="1"/>
      <c r="AD644" s="116"/>
      <c r="AL644" s="656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43"/>
      <c r="BL644" s="116"/>
      <c r="BU644" s="1"/>
      <c r="BV644" s="1"/>
      <c r="BW644" s="1"/>
      <c r="BX644" s="656"/>
      <c r="BZ644" s="657"/>
      <c r="CA644" s="1"/>
      <c r="CB644" s="1"/>
      <c r="CC644" s="1"/>
      <c r="CD644" s="1"/>
      <c r="CE644" s="1"/>
      <c r="CF644" s="1"/>
      <c r="CG644" s="1"/>
      <c r="CH644" s="1"/>
      <c r="CP644" s="305"/>
      <c r="CR644" s="116"/>
      <c r="CZ644" s="1"/>
      <c r="DA644" s="1"/>
      <c r="DB644" s="1"/>
      <c r="DC644" s="1"/>
      <c r="DD644" s="1"/>
      <c r="DE644" s="1"/>
      <c r="DF644" s="1"/>
      <c r="DG644" s="1"/>
      <c r="DH644" s="656"/>
      <c r="DJ644" s="116"/>
    </row>
    <row r="645" spans="2:114" ht="15.75" customHeight="1" x14ac:dyDescent="0.25">
      <c r="B645" s="116"/>
      <c r="I645" s="656"/>
      <c r="K645" s="116"/>
      <c r="X645" s="1"/>
      <c r="Y645" s="1"/>
      <c r="Z645" s="1"/>
      <c r="AA645" s="1"/>
      <c r="AB645" s="656"/>
      <c r="AC645" s="1"/>
      <c r="AD645" s="116"/>
      <c r="AL645" s="656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43"/>
      <c r="BL645" s="116"/>
      <c r="BU645" s="1"/>
      <c r="BV645" s="1"/>
      <c r="BW645" s="1"/>
      <c r="BX645" s="656"/>
      <c r="BZ645" s="657"/>
      <c r="CA645" s="1"/>
      <c r="CB645" s="1"/>
      <c r="CC645" s="1"/>
      <c r="CD645" s="1"/>
      <c r="CE645" s="1"/>
      <c r="CF645" s="1"/>
      <c r="CG645" s="1"/>
      <c r="CH645" s="1"/>
      <c r="CP645" s="305"/>
      <c r="CR645" s="116"/>
      <c r="CZ645" s="1"/>
      <c r="DA645" s="1"/>
      <c r="DB645" s="1"/>
      <c r="DC645" s="1"/>
      <c r="DD645" s="1"/>
      <c r="DE645" s="1"/>
      <c r="DF645" s="1"/>
      <c r="DG645" s="1"/>
      <c r="DH645" s="656"/>
      <c r="DJ645" s="116"/>
    </row>
    <row r="646" spans="2:114" ht="15.75" customHeight="1" x14ac:dyDescent="0.25">
      <c r="B646" s="116"/>
      <c r="I646" s="656"/>
      <c r="K646" s="116"/>
      <c r="X646" s="1"/>
      <c r="Y646" s="1"/>
      <c r="Z646" s="1"/>
      <c r="AA646" s="1"/>
      <c r="AB646" s="656"/>
      <c r="AC646" s="1"/>
      <c r="AD646" s="116"/>
      <c r="AL646" s="656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43"/>
      <c r="BL646" s="116"/>
      <c r="BU646" s="1"/>
      <c r="BV646" s="1"/>
      <c r="BW646" s="1"/>
      <c r="BX646" s="656"/>
      <c r="BZ646" s="657"/>
      <c r="CA646" s="1"/>
      <c r="CB646" s="1"/>
      <c r="CC646" s="1"/>
      <c r="CD646" s="1"/>
      <c r="CE646" s="1"/>
      <c r="CF646" s="1"/>
      <c r="CG646" s="1"/>
      <c r="CH646" s="1"/>
      <c r="CP646" s="305"/>
      <c r="CR646" s="116"/>
      <c r="CZ646" s="1"/>
      <c r="DA646" s="1"/>
      <c r="DB646" s="1"/>
      <c r="DC646" s="1"/>
      <c r="DD646" s="1"/>
      <c r="DE646" s="1"/>
      <c r="DF646" s="1"/>
      <c r="DG646" s="1"/>
      <c r="DH646" s="656"/>
      <c r="DJ646" s="116"/>
    </row>
    <row r="647" spans="2:114" ht="15.75" customHeight="1" x14ac:dyDescent="0.25">
      <c r="B647" s="116"/>
      <c r="I647" s="656"/>
      <c r="K647" s="116"/>
      <c r="X647" s="1"/>
      <c r="Y647" s="1"/>
      <c r="Z647" s="1"/>
      <c r="AA647" s="1"/>
      <c r="AB647" s="656"/>
      <c r="AC647" s="1"/>
      <c r="AD647" s="116"/>
      <c r="AL647" s="656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43"/>
      <c r="BL647" s="116"/>
      <c r="BU647" s="1"/>
      <c r="BV647" s="1"/>
      <c r="BW647" s="1"/>
      <c r="BX647" s="656"/>
      <c r="BZ647" s="657"/>
      <c r="CA647" s="1"/>
      <c r="CB647" s="1"/>
      <c r="CC647" s="1"/>
      <c r="CD647" s="1"/>
      <c r="CE647" s="1"/>
      <c r="CF647" s="1"/>
      <c r="CG647" s="1"/>
      <c r="CH647" s="1"/>
      <c r="CP647" s="305"/>
      <c r="CR647" s="116"/>
      <c r="CZ647" s="1"/>
      <c r="DA647" s="1"/>
      <c r="DB647" s="1"/>
      <c r="DC647" s="1"/>
      <c r="DD647" s="1"/>
      <c r="DE647" s="1"/>
      <c r="DF647" s="1"/>
      <c r="DG647" s="1"/>
      <c r="DH647" s="656"/>
      <c r="DJ647" s="116"/>
    </row>
    <row r="648" spans="2:114" ht="15.75" customHeight="1" x14ac:dyDescent="0.25">
      <c r="B648" s="116"/>
      <c r="I648" s="656"/>
      <c r="K648" s="116"/>
      <c r="X648" s="1"/>
      <c r="Y648" s="1"/>
      <c r="Z648" s="1"/>
      <c r="AA648" s="1"/>
      <c r="AB648" s="656"/>
      <c r="AC648" s="1"/>
      <c r="AD648" s="116"/>
      <c r="AL648" s="656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43"/>
      <c r="BL648" s="116"/>
      <c r="BU648" s="1"/>
      <c r="BV648" s="1"/>
      <c r="BW648" s="1"/>
      <c r="BX648" s="656"/>
      <c r="BZ648" s="657"/>
      <c r="CA648" s="1"/>
      <c r="CB648" s="1"/>
      <c r="CC648" s="1"/>
      <c r="CD648" s="1"/>
      <c r="CE648" s="1"/>
      <c r="CF648" s="1"/>
      <c r="CG648" s="1"/>
      <c r="CH648" s="1"/>
      <c r="CP648" s="305"/>
      <c r="CR648" s="116"/>
      <c r="CZ648" s="1"/>
      <c r="DA648" s="1"/>
      <c r="DB648" s="1"/>
      <c r="DC648" s="1"/>
      <c r="DD648" s="1"/>
      <c r="DE648" s="1"/>
      <c r="DF648" s="1"/>
      <c r="DG648" s="1"/>
      <c r="DH648" s="656"/>
      <c r="DJ648" s="116"/>
    </row>
    <row r="649" spans="2:114" ht="15.75" customHeight="1" x14ac:dyDescent="0.25">
      <c r="B649" s="116"/>
      <c r="I649" s="656"/>
      <c r="K649" s="116"/>
      <c r="X649" s="1"/>
      <c r="Y649" s="1"/>
      <c r="Z649" s="1"/>
      <c r="AA649" s="1"/>
      <c r="AB649" s="656"/>
      <c r="AC649" s="1"/>
      <c r="AD649" s="116"/>
      <c r="AL649" s="656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43"/>
      <c r="BL649" s="116"/>
      <c r="BU649" s="1"/>
      <c r="BV649" s="1"/>
      <c r="BW649" s="1"/>
      <c r="BX649" s="656"/>
      <c r="BZ649" s="657"/>
      <c r="CA649" s="1"/>
      <c r="CB649" s="1"/>
      <c r="CC649" s="1"/>
      <c r="CD649" s="1"/>
      <c r="CE649" s="1"/>
      <c r="CF649" s="1"/>
      <c r="CG649" s="1"/>
      <c r="CH649" s="1"/>
      <c r="CP649" s="305"/>
      <c r="CR649" s="116"/>
      <c r="CZ649" s="1"/>
      <c r="DA649" s="1"/>
      <c r="DB649" s="1"/>
      <c r="DC649" s="1"/>
      <c r="DD649" s="1"/>
      <c r="DE649" s="1"/>
      <c r="DF649" s="1"/>
      <c r="DG649" s="1"/>
      <c r="DH649" s="656"/>
      <c r="DJ649" s="116"/>
    </row>
    <row r="650" spans="2:114" ht="15.75" customHeight="1" x14ac:dyDescent="0.25">
      <c r="B650" s="116"/>
      <c r="I650" s="656"/>
      <c r="K650" s="116"/>
      <c r="X650" s="1"/>
      <c r="Y650" s="1"/>
      <c r="Z650" s="1"/>
      <c r="AA650" s="1"/>
      <c r="AB650" s="656"/>
      <c r="AC650" s="1"/>
      <c r="AD650" s="116"/>
      <c r="AL650" s="656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43"/>
      <c r="BL650" s="116"/>
      <c r="BU650" s="1"/>
      <c r="BV650" s="1"/>
      <c r="BW650" s="1"/>
      <c r="BX650" s="656"/>
      <c r="BZ650" s="657"/>
      <c r="CA650" s="1"/>
      <c r="CB650" s="1"/>
      <c r="CC650" s="1"/>
      <c r="CD650" s="1"/>
      <c r="CE650" s="1"/>
      <c r="CF650" s="1"/>
      <c r="CG650" s="1"/>
      <c r="CH650" s="1"/>
      <c r="CP650" s="305"/>
      <c r="CR650" s="116"/>
      <c r="CZ650" s="1"/>
      <c r="DA650" s="1"/>
      <c r="DB650" s="1"/>
      <c r="DC650" s="1"/>
      <c r="DD650" s="1"/>
      <c r="DE650" s="1"/>
      <c r="DF650" s="1"/>
      <c r="DG650" s="1"/>
      <c r="DH650" s="656"/>
      <c r="DJ650" s="116"/>
    </row>
    <row r="651" spans="2:114" ht="15.75" customHeight="1" x14ac:dyDescent="0.25">
      <c r="B651" s="116"/>
      <c r="I651" s="656"/>
      <c r="K651" s="116"/>
      <c r="X651" s="1"/>
      <c r="Y651" s="1"/>
      <c r="Z651" s="1"/>
      <c r="AA651" s="1"/>
      <c r="AB651" s="656"/>
      <c r="AC651" s="1"/>
      <c r="AD651" s="116"/>
      <c r="AL651" s="656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43"/>
      <c r="BL651" s="116"/>
      <c r="BU651" s="1"/>
      <c r="BV651" s="1"/>
      <c r="BW651" s="1"/>
      <c r="BX651" s="656"/>
      <c r="BZ651" s="657"/>
      <c r="CA651" s="1"/>
      <c r="CB651" s="1"/>
      <c r="CC651" s="1"/>
      <c r="CD651" s="1"/>
      <c r="CE651" s="1"/>
      <c r="CF651" s="1"/>
      <c r="CG651" s="1"/>
      <c r="CH651" s="1"/>
      <c r="CP651" s="305"/>
      <c r="CR651" s="116"/>
      <c r="CZ651" s="1"/>
      <c r="DA651" s="1"/>
      <c r="DB651" s="1"/>
      <c r="DC651" s="1"/>
      <c r="DD651" s="1"/>
      <c r="DE651" s="1"/>
      <c r="DF651" s="1"/>
      <c r="DG651" s="1"/>
      <c r="DH651" s="656"/>
      <c r="DJ651" s="116"/>
    </row>
    <row r="652" spans="2:114" ht="15.75" customHeight="1" x14ac:dyDescent="0.25">
      <c r="B652" s="116"/>
      <c r="I652" s="656"/>
      <c r="K652" s="116"/>
      <c r="X652" s="1"/>
      <c r="Y652" s="1"/>
      <c r="Z652" s="1"/>
      <c r="AA652" s="1"/>
      <c r="AB652" s="656"/>
      <c r="AC652" s="1"/>
      <c r="AD652" s="116"/>
      <c r="AL652" s="656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43"/>
      <c r="BL652" s="116"/>
      <c r="BU652" s="1"/>
      <c r="BV652" s="1"/>
      <c r="BW652" s="1"/>
      <c r="BX652" s="656"/>
      <c r="BZ652" s="657"/>
      <c r="CA652" s="1"/>
      <c r="CB652" s="1"/>
      <c r="CC652" s="1"/>
      <c r="CD652" s="1"/>
      <c r="CE652" s="1"/>
      <c r="CF652" s="1"/>
      <c r="CG652" s="1"/>
      <c r="CH652" s="1"/>
      <c r="CP652" s="305"/>
      <c r="CR652" s="116"/>
      <c r="CZ652" s="1"/>
      <c r="DA652" s="1"/>
      <c r="DB652" s="1"/>
      <c r="DC652" s="1"/>
      <c r="DD652" s="1"/>
      <c r="DE652" s="1"/>
      <c r="DF652" s="1"/>
      <c r="DG652" s="1"/>
      <c r="DH652" s="656"/>
      <c r="DJ652" s="116"/>
    </row>
    <row r="653" spans="2:114" ht="15.75" customHeight="1" x14ac:dyDescent="0.25">
      <c r="B653" s="116"/>
      <c r="I653" s="656"/>
      <c r="K653" s="116"/>
      <c r="X653" s="1"/>
      <c r="Y653" s="1"/>
      <c r="Z653" s="1"/>
      <c r="AA653" s="1"/>
      <c r="AB653" s="656"/>
      <c r="AC653" s="1"/>
      <c r="AD653" s="116"/>
      <c r="AL653" s="656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43"/>
      <c r="BL653" s="116"/>
      <c r="BU653" s="1"/>
      <c r="BV653" s="1"/>
      <c r="BW653" s="1"/>
      <c r="BX653" s="656"/>
      <c r="BZ653" s="657"/>
      <c r="CA653" s="1"/>
      <c r="CB653" s="1"/>
      <c r="CC653" s="1"/>
      <c r="CD653" s="1"/>
      <c r="CE653" s="1"/>
      <c r="CF653" s="1"/>
      <c r="CG653" s="1"/>
      <c r="CH653" s="1"/>
      <c r="CP653" s="305"/>
      <c r="CR653" s="116"/>
      <c r="CZ653" s="1"/>
      <c r="DA653" s="1"/>
      <c r="DB653" s="1"/>
      <c r="DC653" s="1"/>
      <c r="DD653" s="1"/>
      <c r="DE653" s="1"/>
      <c r="DF653" s="1"/>
      <c r="DG653" s="1"/>
      <c r="DH653" s="656"/>
      <c r="DJ653" s="116"/>
    </row>
    <row r="654" spans="2:114" ht="15.75" customHeight="1" x14ac:dyDescent="0.25">
      <c r="B654" s="116"/>
      <c r="I654" s="656"/>
      <c r="K654" s="116"/>
      <c r="X654" s="1"/>
      <c r="Y654" s="1"/>
      <c r="Z654" s="1"/>
      <c r="AA654" s="1"/>
      <c r="AB654" s="656"/>
      <c r="AC654" s="1"/>
      <c r="AD654" s="116"/>
      <c r="AL654" s="656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43"/>
      <c r="BL654" s="116"/>
      <c r="BU654" s="1"/>
      <c r="BV654" s="1"/>
      <c r="BW654" s="1"/>
      <c r="BX654" s="656"/>
      <c r="BZ654" s="657"/>
      <c r="CA654" s="1"/>
      <c r="CB654" s="1"/>
      <c r="CC654" s="1"/>
      <c r="CD654" s="1"/>
      <c r="CE654" s="1"/>
      <c r="CF654" s="1"/>
      <c r="CG654" s="1"/>
      <c r="CH654" s="1"/>
      <c r="CP654" s="305"/>
      <c r="CR654" s="116"/>
      <c r="CZ654" s="1"/>
      <c r="DA654" s="1"/>
      <c r="DB654" s="1"/>
      <c r="DC654" s="1"/>
      <c r="DD654" s="1"/>
      <c r="DE654" s="1"/>
      <c r="DF654" s="1"/>
      <c r="DG654" s="1"/>
      <c r="DH654" s="656"/>
      <c r="DJ654" s="116"/>
    </row>
    <row r="655" spans="2:114" ht="15.75" customHeight="1" x14ac:dyDescent="0.25">
      <c r="B655" s="116"/>
      <c r="I655" s="656"/>
      <c r="K655" s="116"/>
      <c r="X655" s="1"/>
      <c r="Y655" s="1"/>
      <c r="Z655" s="1"/>
      <c r="AA655" s="1"/>
      <c r="AB655" s="656"/>
      <c r="AC655" s="1"/>
      <c r="AD655" s="116"/>
      <c r="AL655" s="656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43"/>
      <c r="BL655" s="116"/>
      <c r="BU655" s="1"/>
      <c r="BV655" s="1"/>
      <c r="BW655" s="1"/>
      <c r="BX655" s="656"/>
      <c r="BZ655" s="657"/>
      <c r="CA655" s="1"/>
      <c r="CB655" s="1"/>
      <c r="CC655" s="1"/>
      <c r="CD655" s="1"/>
      <c r="CE655" s="1"/>
      <c r="CF655" s="1"/>
      <c r="CG655" s="1"/>
      <c r="CH655" s="1"/>
      <c r="CP655" s="305"/>
      <c r="CR655" s="116"/>
      <c r="CZ655" s="1"/>
      <c r="DA655" s="1"/>
      <c r="DB655" s="1"/>
      <c r="DC655" s="1"/>
      <c r="DD655" s="1"/>
      <c r="DE655" s="1"/>
      <c r="DF655" s="1"/>
      <c r="DG655" s="1"/>
      <c r="DH655" s="656"/>
      <c r="DJ655" s="116"/>
    </row>
    <row r="656" spans="2:114" ht="15.75" customHeight="1" x14ac:dyDescent="0.25">
      <c r="B656" s="116"/>
      <c r="I656" s="656"/>
      <c r="K656" s="116"/>
      <c r="X656" s="1"/>
      <c r="Y656" s="1"/>
      <c r="Z656" s="1"/>
      <c r="AA656" s="1"/>
      <c r="AB656" s="656"/>
      <c r="AC656" s="1"/>
      <c r="AD656" s="116"/>
      <c r="AL656" s="656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43"/>
      <c r="BL656" s="116"/>
      <c r="BU656" s="1"/>
      <c r="BV656" s="1"/>
      <c r="BW656" s="1"/>
      <c r="BX656" s="656"/>
      <c r="BZ656" s="657"/>
      <c r="CA656" s="1"/>
      <c r="CB656" s="1"/>
      <c r="CC656" s="1"/>
      <c r="CD656" s="1"/>
      <c r="CE656" s="1"/>
      <c r="CF656" s="1"/>
      <c r="CG656" s="1"/>
      <c r="CH656" s="1"/>
      <c r="CP656" s="305"/>
      <c r="CR656" s="116"/>
      <c r="CZ656" s="1"/>
      <c r="DA656" s="1"/>
      <c r="DB656" s="1"/>
      <c r="DC656" s="1"/>
      <c r="DD656" s="1"/>
      <c r="DE656" s="1"/>
      <c r="DF656" s="1"/>
      <c r="DG656" s="1"/>
      <c r="DH656" s="656"/>
      <c r="DJ656" s="116"/>
    </row>
    <row r="657" spans="2:114" ht="15.75" customHeight="1" x14ac:dyDescent="0.25">
      <c r="B657" s="116"/>
      <c r="I657" s="656"/>
      <c r="K657" s="116"/>
      <c r="X657" s="1"/>
      <c r="Y657" s="1"/>
      <c r="Z657" s="1"/>
      <c r="AA657" s="1"/>
      <c r="AB657" s="656"/>
      <c r="AC657" s="1"/>
      <c r="AD657" s="116"/>
      <c r="AL657" s="656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43"/>
      <c r="BL657" s="116"/>
      <c r="BU657" s="1"/>
      <c r="BV657" s="1"/>
      <c r="BW657" s="1"/>
      <c r="BX657" s="656"/>
      <c r="BZ657" s="657"/>
      <c r="CA657" s="1"/>
      <c r="CB657" s="1"/>
      <c r="CC657" s="1"/>
      <c r="CD657" s="1"/>
      <c r="CE657" s="1"/>
      <c r="CF657" s="1"/>
      <c r="CG657" s="1"/>
      <c r="CH657" s="1"/>
      <c r="CP657" s="305"/>
      <c r="CR657" s="116"/>
      <c r="CZ657" s="1"/>
      <c r="DA657" s="1"/>
      <c r="DB657" s="1"/>
      <c r="DC657" s="1"/>
      <c r="DD657" s="1"/>
      <c r="DE657" s="1"/>
      <c r="DF657" s="1"/>
      <c r="DG657" s="1"/>
      <c r="DH657" s="656"/>
      <c r="DJ657" s="116"/>
    </row>
    <row r="658" spans="2:114" ht="15.75" customHeight="1" x14ac:dyDescent="0.25">
      <c r="B658" s="116"/>
      <c r="I658" s="656"/>
      <c r="K658" s="116"/>
      <c r="X658" s="1"/>
      <c r="Y658" s="1"/>
      <c r="Z658" s="1"/>
      <c r="AA658" s="1"/>
      <c r="AB658" s="656"/>
      <c r="AC658" s="1"/>
      <c r="AD658" s="116"/>
      <c r="AL658" s="656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43"/>
      <c r="BL658" s="116"/>
      <c r="BU658" s="1"/>
      <c r="BV658" s="1"/>
      <c r="BW658" s="1"/>
      <c r="BX658" s="656"/>
      <c r="BZ658" s="657"/>
      <c r="CA658" s="1"/>
      <c r="CB658" s="1"/>
      <c r="CC658" s="1"/>
      <c r="CD658" s="1"/>
      <c r="CE658" s="1"/>
      <c r="CF658" s="1"/>
      <c r="CG658" s="1"/>
      <c r="CH658" s="1"/>
      <c r="CP658" s="305"/>
      <c r="CR658" s="116"/>
      <c r="CZ658" s="1"/>
      <c r="DA658" s="1"/>
      <c r="DB658" s="1"/>
      <c r="DC658" s="1"/>
      <c r="DD658" s="1"/>
      <c r="DE658" s="1"/>
      <c r="DF658" s="1"/>
      <c r="DG658" s="1"/>
      <c r="DH658" s="656"/>
      <c r="DJ658" s="116"/>
    </row>
    <row r="659" spans="2:114" ht="15.75" customHeight="1" x14ac:dyDescent="0.25">
      <c r="B659" s="116"/>
      <c r="I659" s="656"/>
      <c r="K659" s="116"/>
      <c r="X659" s="1"/>
      <c r="Y659" s="1"/>
      <c r="Z659" s="1"/>
      <c r="AA659" s="1"/>
      <c r="AB659" s="656"/>
      <c r="AC659" s="1"/>
      <c r="AD659" s="116"/>
      <c r="AL659" s="656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43"/>
      <c r="BL659" s="116"/>
      <c r="BU659" s="1"/>
      <c r="BV659" s="1"/>
      <c r="BW659" s="1"/>
      <c r="BX659" s="656"/>
      <c r="BZ659" s="657"/>
      <c r="CA659" s="1"/>
      <c r="CB659" s="1"/>
      <c r="CC659" s="1"/>
      <c r="CD659" s="1"/>
      <c r="CE659" s="1"/>
      <c r="CF659" s="1"/>
      <c r="CG659" s="1"/>
      <c r="CH659" s="1"/>
      <c r="CP659" s="305"/>
      <c r="CR659" s="116"/>
      <c r="CZ659" s="1"/>
      <c r="DA659" s="1"/>
      <c r="DB659" s="1"/>
      <c r="DC659" s="1"/>
      <c r="DD659" s="1"/>
      <c r="DE659" s="1"/>
      <c r="DF659" s="1"/>
      <c r="DG659" s="1"/>
      <c r="DH659" s="656"/>
      <c r="DJ659" s="116"/>
    </row>
    <row r="660" spans="2:114" ht="15.75" customHeight="1" x14ac:dyDescent="0.25">
      <c r="B660" s="116"/>
      <c r="I660" s="656"/>
      <c r="K660" s="116"/>
      <c r="X660" s="1"/>
      <c r="Y660" s="1"/>
      <c r="Z660" s="1"/>
      <c r="AA660" s="1"/>
      <c r="AB660" s="656"/>
      <c r="AC660" s="1"/>
      <c r="AD660" s="116"/>
      <c r="AL660" s="656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43"/>
      <c r="BL660" s="116"/>
      <c r="BU660" s="1"/>
      <c r="BV660" s="1"/>
      <c r="BW660" s="1"/>
      <c r="BX660" s="656"/>
      <c r="BZ660" s="657"/>
      <c r="CA660" s="1"/>
      <c r="CB660" s="1"/>
      <c r="CC660" s="1"/>
      <c r="CD660" s="1"/>
      <c r="CE660" s="1"/>
      <c r="CF660" s="1"/>
      <c r="CG660" s="1"/>
      <c r="CH660" s="1"/>
      <c r="CP660" s="305"/>
      <c r="CR660" s="116"/>
      <c r="CZ660" s="1"/>
      <c r="DA660" s="1"/>
      <c r="DB660" s="1"/>
      <c r="DC660" s="1"/>
      <c r="DD660" s="1"/>
      <c r="DE660" s="1"/>
      <c r="DF660" s="1"/>
      <c r="DG660" s="1"/>
      <c r="DH660" s="656"/>
      <c r="DJ660" s="116"/>
    </row>
    <row r="661" spans="2:114" ht="15.75" customHeight="1" x14ac:dyDescent="0.25">
      <c r="B661" s="116"/>
      <c r="I661" s="656"/>
      <c r="K661" s="116"/>
      <c r="X661" s="1"/>
      <c r="Y661" s="1"/>
      <c r="Z661" s="1"/>
      <c r="AA661" s="1"/>
      <c r="AB661" s="656"/>
      <c r="AC661" s="1"/>
      <c r="AD661" s="116"/>
      <c r="AL661" s="656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43"/>
      <c r="BL661" s="116"/>
      <c r="BU661" s="1"/>
      <c r="BV661" s="1"/>
      <c r="BW661" s="1"/>
      <c r="BX661" s="656"/>
      <c r="BZ661" s="657"/>
      <c r="CA661" s="1"/>
      <c r="CB661" s="1"/>
      <c r="CC661" s="1"/>
      <c r="CD661" s="1"/>
      <c r="CE661" s="1"/>
      <c r="CF661" s="1"/>
      <c r="CG661" s="1"/>
      <c r="CH661" s="1"/>
      <c r="CP661" s="305"/>
      <c r="CR661" s="116"/>
      <c r="CZ661" s="1"/>
      <c r="DA661" s="1"/>
      <c r="DB661" s="1"/>
      <c r="DC661" s="1"/>
      <c r="DD661" s="1"/>
      <c r="DE661" s="1"/>
      <c r="DF661" s="1"/>
      <c r="DG661" s="1"/>
      <c r="DH661" s="656"/>
      <c r="DJ661" s="116"/>
    </row>
    <row r="662" spans="2:114" ht="15.75" customHeight="1" x14ac:dyDescent="0.25">
      <c r="B662" s="116"/>
      <c r="I662" s="656"/>
      <c r="K662" s="116"/>
      <c r="X662" s="1"/>
      <c r="Y662" s="1"/>
      <c r="Z662" s="1"/>
      <c r="AA662" s="1"/>
      <c r="AB662" s="656"/>
      <c r="AC662" s="1"/>
      <c r="AD662" s="116"/>
      <c r="AL662" s="656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43"/>
      <c r="BL662" s="116"/>
      <c r="BU662" s="1"/>
      <c r="BV662" s="1"/>
      <c r="BW662" s="1"/>
      <c r="BX662" s="656"/>
      <c r="BZ662" s="657"/>
      <c r="CA662" s="1"/>
      <c r="CB662" s="1"/>
      <c r="CC662" s="1"/>
      <c r="CD662" s="1"/>
      <c r="CE662" s="1"/>
      <c r="CF662" s="1"/>
      <c r="CG662" s="1"/>
      <c r="CH662" s="1"/>
      <c r="CP662" s="305"/>
      <c r="CR662" s="116"/>
      <c r="CZ662" s="1"/>
      <c r="DA662" s="1"/>
      <c r="DB662" s="1"/>
      <c r="DC662" s="1"/>
      <c r="DD662" s="1"/>
      <c r="DE662" s="1"/>
      <c r="DF662" s="1"/>
      <c r="DG662" s="1"/>
      <c r="DH662" s="656"/>
      <c r="DJ662" s="116"/>
    </row>
    <row r="663" spans="2:114" ht="15.75" customHeight="1" x14ac:dyDescent="0.25">
      <c r="B663" s="116"/>
      <c r="I663" s="656"/>
      <c r="K663" s="116"/>
      <c r="X663" s="1"/>
      <c r="Y663" s="1"/>
      <c r="Z663" s="1"/>
      <c r="AA663" s="1"/>
      <c r="AB663" s="656"/>
      <c r="AC663" s="1"/>
      <c r="AD663" s="116"/>
      <c r="AL663" s="656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43"/>
      <c r="BL663" s="116"/>
      <c r="BU663" s="1"/>
      <c r="BV663" s="1"/>
      <c r="BW663" s="1"/>
      <c r="BX663" s="656"/>
      <c r="BZ663" s="657"/>
      <c r="CA663" s="1"/>
      <c r="CB663" s="1"/>
      <c r="CC663" s="1"/>
      <c r="CD663" s="1"/>
      <c r="CE663" s="1"/>
      <c r="CF663" s="1"/>
      <c r="CG663" s="1"/>
      <c r="CH663" s="1"/>
      <c r="CP663" s="305"/>
      <c r="CR663" s="116"/>
      <c r="CZ663" s="1"/>
      <c r="DA663" s="1"/>
      <c r="DB663" s="1"/>
      <c r="DC663" s="1"/>
      <c r="DD663" s="1"/>
      <c r="DE663" s="1"/>
      <c r="DF663" s="1"/>
      <c r="DG663" s="1"/>
      <c r="DH663" s="656"/>
      <c r="DJ663" s="116"/>
    </row>
    <row r="664" spans="2:114" ht="15.75" customHeight="1" x14ac:dyDescent="0.25">
      <c r="B664" s="116"/>
      <c r="I664" s="656"/>
      <c r="K664" s="116"/>
      <c r="X664" s="1"/>
      <c r="Y664" s="1"/>
      <c r="Z664" s="1"/>
      <c r="AA664" s="1"/>
      <c r="AB664" s="656"/>
      <c r="AC664" s="1"/>
      <c r="AD664" s="116"/>
      <c r="AL664" s="656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43"/>
      <c r="BL664" s="116"/>
      <c r="BU664" s="1"/>
      <c r="BV664" s="1"/>
      <c r="BW664" s="1"/>
      <c r="BX664" s="656"/>
      <c r="BZ664" s="657"/>
      <c r="CA664" s="1"/>
      <c r="CB664" s="1"/>
      <c r="CC664" s="1"/>
      <c r="CD664" s="1"/>
      <c r="CE664" s="1"/>
      <c r="CF664" s="1"/>
      <c r="CG664" s="1"/>
      <c r="CH664" s="1"/>
      <c r="CP664" s="305"/>
      <c r="CR664" s="116"/>
      <c r="CZ664" s="1"/>
      <c r="DA664" s="1"/>
      <c r="DB664" s="1"/>
      <c r="DC664" s="1"/>
      <c r="DD664" s="1"/>
      <c r="DE664" s="1"/>
      <c r="DF664" s="1"/>
      <c r="DG664" s="1"/>
      <c r="DH664" s="656"/>
      <c r="DJ664" s="116"/>
    </row>
    <row r="665" spans="2:114" ht="15.75" customHeight="1" x14ac:dyDescent="0.25">
      <c r="B665" s="116"/>
      <c r="I665" s="656"/>
      <c r="K665" s="116"/>
      <c r="X665" s="1"/>
      <c r="Y665" s="1"/>
      <c r="Z665" s="1"/>
      <c r="AA665" s="1"/>
      <c r="AB665" s="656"/>
      <c r="AC665" s="1"/>
      <c r="AD665" s="116"/>
      <c r="AL665" s="656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43"/>
      <c r="BL665" s="116"/>
      <c r="BU665" s="1"/>
      <c r="BV665" s="1"/>
      <c r="BW665" s="1"/>
      <c r="BX665" s="656"/>
      <c r="BZ665" s="657"/>
      <c r="CA665" s="1"/>
      <c r="CB665" s="1"/>
      <c r="CC665" s="1"/>
      <c r="CD665" s="1"/>
      <c r="CE665" s="1"/>
      <c r="CF665" s="1"/>
      <c r="CG665" s="1"/>
      <c r="CH665" s="1"/>
      <c r="CP665" s="305"/>
      <c r="CR665" s="116"/>
      <c r="CZ665" s="1"/>
      <c r="DA665" s="1"/>
      <c r="DB665" s="1"/>
      <c r="DC665" s="1"/>
      <c r="DD665" s="1"/>
      <c r="DE665" s="1"/>
      <c r="DF665" s="1"/>
      <c r="DG665" s="1"/>
      <c r="DH665" s="656"/>
      <c r="DJ665" s="116"/>
    </row>
    <row r="666" spans="2:114" ht="15.75" customHeight="1" x14ac:dyDescent="0.25">
      <c r="B666" s="116"/>
      <c r="I666" s="656"/>
      <c r="K666" s="116"/>
      <c r="X666" s="1"/>
      <c r="Y666" s="1"/>
      <c r="Z666" s="1"/>
      <c r="AA666" s="1"/>
      <c r="AB666" s="656"/>
      <c r="AC666" s="1"/>
      <c r="AD666" s="116"/>
      <c r="AL666" s="656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43"/>
      <c r="BL666" s="116"/>
      <c r="BU666" s="1"/>
      <c r="BV666" s="1"/>
      <c r="BW666" s="1"/>
      <c r="BX666" s="656"/>
      <c r="BZ666" s="657"/>
      <c r="CA666" s="1"/>
      <c r="CB666" s="1"/>
      <c r="CC666" s="1"/>
      <c r="CD666" s="1"/>
      <c r="CE666" s="1"/>
      <c r="CF666" s="1"/>
      <c r="CG666" s="1"/>
      <c r="CH666" s="1"/>
      <c r="CP666" s="305"/>
      <c r="CR666" s="116"/>
      <c r="CZ666" s="1"/>
      <c r="DA666" s="1"/>
      <c r="DB666" s="1"/>
      <c r="DC666" s="1"/>
      <c r="DD666" s="1"/>
      <c r="DE666" s="1"/>
      <c r="DF666" s="1"/>
      <c r="DG666" s="1"/>
      <c r="DH666" s="656"/>
      <c r="DJ666" s="116"/>
    </row>
    <row r="667" spans="2:114" ht="15.75" customHeight="1" x14ac:dyDescent="0.25">
      <c r="B667" s="116"/>
      <c r="I667" s="656"/>
      <c r="K667" s="116"/>
      <c r="X667" s="1"/>
      <c r="Y667" s="1"/>
      <c r="Z667" s="1"/>
      <c r="AA667" s="1"/>
      <c r="AB667" s="656"/>
      <c r="AC667" s="1"/>
      <c r="AD667" s="116"/>
      <c r="AL667" s="656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43"/>
      <c r="BL667" s="116"/>
      <c r="BU667" s="1"/>
      <c r="BV667" s="1"/>
      <c r="BW667" s="1"/>
      <c r="BX667" s="656"/>
      <c r="BZ667" s="657"/>
      <c r="CA667" s="1"/>
      <c r="CB667" s="1"/>
      <c r="CC667" s="1"/>
      <c r="CD667" s="1"/>
      <c r="CE667" s="1"/>
      <c r="CF667" s="1"/>
      <c r="CG667" s="1"/>
      <c r="CH667" s="1"/>
      <c r="CP667" s="305"/>
      <c r="CR667" s="116"/>
      <c r="CZ667" s="1"/>
      <c r="DA667" s="1"/>
      <c r="DB667" s="1"/>
      <c r="DC667" s="1"/>
      <c r="DD667" s="1"/>
      <c r="DE667" s="1"/>
      <c r="DF667" s="1"/>
      <c r="DG667" s="1"/>
      <c r="DH667" s="656"/>
      <c r="DJ667" s="116"/>
    </row>
    <row r="668" spans="2:114" ht="15.75" customHeight="1" x14ac:dyDescent="0.25">
      <c r="B668" s="116"/>
      <c r="I668" s="656"/>
      <c r="K668" s="116"/>
      <c r="X668" s="1"/>
      <c r="Y668" s="1"/>
      <c r="Z668" s="1"/>
      <c r="AA668" s="1"/>
      <c r="AB668" s="656"/>
      <c r="AC668" s="1"/>
      <c r="AD668" s="116"/>
      <c r="AL668" s="656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43"/>
      <c r="BL668" s="116"/>
      <c r="BU668" s="1"/>
      <c r="BV668" s="1"/>
      <c r="BW668" s="1"/>
      <c r="BX668" s="656"/>
      <c r="BZ668" s="657"/>
      <c r="CA668" s="1"/>
      <c r="CB668" s="1"/>
      <c r="CC668" s="1"/>
      <c r="CD668" s="1"/>
      <c r="CE668" s="1"/>
      <c r="CF668" s="1"/>
      <c r="CG668" s="1"/>
      <c r="CH668" s="1"/>
      <c r="CP668" s="305"/>
      <c r="CR668" s="116"/>
      <c r="CZ668" s="1"/>
      <c r="DA668" s="1"/>
      <c r="DB668" s="1"/>
      <c r="DC668" s="1"/>
      <c r="DD668" s="1"/>
      <c r="DE668" s="1"/>
      <c r="DF668" s="1"/>
      <c r="DG668" s="1"/>
      <c r="DH668" s="656"/>
      <c r="DJ668" s="116"/>
    </row>
    <row r="669" spans="2:114" ht="15.75" customHeight="1" x14ac:dyDescent="0.25">
      <c r="B669" s="116"/>
      <c r="I669" s="656"/>
      <c r="K669" s="116"/>
      <c r="X669" s="1"/>
      <c r="Y669" s="1"/>
      <c r="Z669" s="1"/>
      <c r="AA669" s="1"/>
      <c r="AB669" s="656"/>
      <c r="AC669" s="1"/>
      <c r="AD669" s="116"/>
      <c r="AL669" s="656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43"/>
      <c r="BL669" s="116"/>
      <c r="BU669" s="1"/>
      <c r="BV669" s="1"/>
      <c r="BW669" s="1"/>
      <c r="BX669" s="656"/>
      <c r="BZ669" s="657"/>
      <c r="CA669" s="1"/>
      <c r="CB669" s="1"/>
      <c r="CC669" s="1"/>
      <c r="CD669" s="1"/>
      <c r="CE669" s="1"/>
      <c r="CF669" s="1"/>
      <c r="CG669" s="1"/>
      <c r="CH669" s="1"/>
      <c r="CP669" s="305"/>
      <c r="CR669" s="116"/>
      <c r="CZ669" s="1"/>
      <c r="DA669" s="1"/>
      <c r="DB669" s="1"/>
      <c r="DC669" s="1"/>
      <c r="DD669" s="1"/>
      <c r="DE669" s="1"/>
      <c r="DF669" s="1"/>
      <c r="DG669" s="1"/>
      <c r="DH669" s="656"/>
      <c r="DJ669" s="116"/>
    </row>
    <row r="670" spans="2:114" ht="15.75" customHeight="1" x14ac:dyDescent="0.25">
      <c r="B670" s="116"/>
      <c r="I670" s="656"/>
      <c r="K670" s="116"/>
      <c r="X670" s="1"/>
      <c r="Y670" s="1"/>
      <c r="Z670" s="1"/>
      <c r="AA670" s="1"/>
      <c r="AB670" s="656"/>
      <c r="AC670" s="1"/>
      <c r="AD670" s="116"/>
      <c r="AL670" s="656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43"/>
      <c r="BL670" s="116"/>
      <c r="BU670" s="1"/>
      <c r="BV670" s="1"/>
      <c r="BW670" s="1"/>
      <c r="BX670" s="656"/>
      <c r="BZ670" s="657"/>
      <c r="CA670" s="1"/>
      <c r="CB670" s="1"/>
      <c r="CC670" s="1"/>
      <c r="CD670" s="1"/>
      <c r="CE670" s="1"/>
      <c r="CF670" s="1"/>
      <c r="CG670" s="1"/>
      <c r="CH670" s="1"/>
      <c r="CP670" s="305"/>
      <c r="CR670" s="116"/>
      <c r="CZ670" s="1"/>
      <c r="DA670" s="1"/>
      <c r="DB670" s="1"/>
      <c r="DC670" s="1"/>
      <c r="DD670" s="1"/>
      <c r="DE670" s="1"/>
      <c r="DF670" s="1"/>
      <c r="DG670" s="1"/>
      <c r="DH670" s="656"/>
      <c r="DJ670" s="116"/>
    </row>
    <row r="671" spans="2:114" ht="15.75" customHeight="1" x14ac:dyDescent="0.25">
      <c r="B671" s="116"/>
      <c r="I671" s="656"/>
      <c r="K671" s="116"/>
      <c r="X671" s="1"/>
      <c r="Y671" s="1"/>
      <c r="Z671" s="1"/>
      <c r="AA671" s="1"/>
      <c r="AB671" s="656"/>
      <c r="AC671" s="1"/>
      <c r="AD671" s="116"/>
      <c r="AL671" s="656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43"/>
      <c r="BL671" s="116"/>
      <c r="BU671" s="1"/>
      <c r="BV671" s="1"/>
      <c r="BW671" s="1"/>
      <c r="BX671" s="656"/>
      <c r="BZ671" s="657"/>
      <c r="CA671" s="1"/>
      <c r="CB671" s="1"/>
      <c r="CC671" s="1"/>
      <c r="CD671" s="1"/>
      <c r="CE671" s="1"/>
      <c r="CF671" s="1"/>
      <c r="CG671" s="1"/>
      <c r="CH671" s="1"/>
      <c r="CP671" s="305"/>
      <c r="CR671" s="116"/>
      <c r="CZ671" s="1"/>
      <c r="DA671" s="1"/>
      <c r="DB671" s="1"/>
      <c r="DC671" s="1"/>
      <c r="DD671" s="1"/>
      <c r="DE671" s="1"/>
      <c r="DF671" s="1"/>
      <c r="DG671" s="1"/>
      <c r="DH671" s="656"/>
      <c r="DJ671" s="116"/>
    </row>
    <row r="672" spans="2:114" ht="15.75" customHeight="1" x14ac:dyDescent="0.25">
      <c r="B672" s="116"/>
      <c r="I672" s="656"/>
      <c r="K672" s="116"/>
      <c r="X672" s="1"/>
      <c r="Y672" s="1"/>
      <c r="Z672" s="1"/>
      <c r="AA672" s="1"/>
      <c r="AB672" s="656"/>
      <c r="AC672" s="1"/>
      <c r="AD672" s="116"/>
      <c r="AL672" s="656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43"/>
      <c r="BL672" s="116"/>
      <c r="BU672" s="1"/>
      <c r="BV672" s="1"/>
      <c r="BW672" s="1"/>
      <c r="BX672" s="656"/>
      <c r="BZ672" s="657"/>
      <c r="CA672" s="1"/>
      <c r="CB672" s="1"/>
      <c r="CC672" s="1"/>
      <c r="CD672" s="1"/>
      <c r="CE672" s="1"/>
      <c r="CF672" s="1"/>
      <c r="CG672" s="1"/>
      <c r="CH672" s="1"/>
      <c r="CP672" s="305"/>
      <c r="CR672" s="116"/>
      <c r="CZ672" s="1"/>
      <c r="DA672" s="1"/>
      <c r="DB672" s="1"/>
      <c r="DC672" s="1"/>
      <c r="DD672" s="1"/>
      <c r="DE672" s="1"/>
      <c r="DF672" s="1"/>
      <c r="DG672" s="1"/>
      <c r="DH672" s="656"/>
      <c r="DJ672" s="116"/>
    </row>
    <row r="673" spans="2:114" ht="15.75" customHeight="1" x14ac:dyDescent="0.25">
      <c r="B673" s="116"/>
      <c r="I673" s="656"/>
      <c r="K673" s="116"/>
      <c r="X673" s="1"/>
      <c r="Y673" s="1"/>
      <c r="Z673" s="1"/>
      <c r="AA673" s="1"/>
      <c r="AB673" s="656"/>
      <c r="AC673" s="1"/>
      <c r="AD673" s="116"/>
      <c r="AL673" s="656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43"/>
      <c r="BL673" s="116"/>
      <c r="BU673" s="1"/>
      <c r="BV673" s="1"/>
      <c r="BW673" s="1"/>
      <c r="BX673" s="656"/>
      <c r="BZ673" s="657"/>
      <c r="CA673" s="1"/>
      <c r="CB673" s="1"/>
      <c r="CC673" s="1"/>
      <c r="CD673" s="1"/>
      <c r="CE673" s="1"/>
      <c r="CF673" s="1"/>
      <c r="CG673" s="1"/>
      <c r="CH673" s="1"/>
      <c r="CP673" s="305"/>
      <c r="CR673" s="116"/>
      <c r="CZ673" s="1"/>
      <c r="DA673" s="1"/>
      <c r="DB673" s="1"/>
      <c r="DC673" s="1"/>
      <c r="DD673" s="1"/>
      <c r="DE673" s="1"/>
      <c r="DF673" s="1"/>
      <c r="DG673" s="1"/>
      <c r="DH673" s="656"/>
      <c r="DJ673" s="116"/>
    </row>
    <row r="674" spans="2:114" ht="15.75" customHeight="1" x14ac:dyDescent="0.25">
      <c r="B674" s="116"/>
      <c r="I674" s="656"/>
      <c r="K674" s="116"/>
      <c r="X674" s="1"/>
      <c r="Y674" s="1"/>
      <c r="Z674" s="1"/>
      <c r="AA674" s="1"/>
      <c r="AB674" s="656"/>
      <c r="AC674" s="1"/>
      <c r="AD674" s="116"/>
      <c r="AL674" s="656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43"/>
      <c r="BL674" s="116"/>
      <c r="BU674" s="1"/>
      <c r="BV674" s="1"/>
      <c r="BW674" s="1"/>
      <c r="BX674" s="656"/>
      <c r="BZ674" s="657"/>
      <c r="CA674" s="1"/>
      <c r="CB674" s="1"/>
      <c r="CC674" s="1"/>
      <c r="CD674" s="1"/>
      <c r="CE674" s="1"/>
      <c r="CF674" s="1"/>
      <c r="CG674" s="1"/>
      <c r="CH674" s="1"/>
      <c r="CP674" s="305"/>
      <c r="CR674" s="116"/>
      <c r="CZ674" s="1"/>
      <c r="DA674" s="1"/>
      <c r="DB674" s="1"/>
      <c r="DC674" s="1"/>
      <c r="DD674" s="1"/>
      <c r="DE674" s="1"/>
      <c r="DF674" s="1"/>
      <c r="DG674" s="1"/>
      <c r="DH674" s="656"/>
      <c r="DJ674" s="116"/>
    </row>
    <row r="675" spans="2:114" ht="15.75" customHeight="1" x14ac:dyDescent="0.25">
      <c r="B675" s="116"/>
      <c r="I675" s="656"/>
      <c r="K675" s="116"/>
      <c r="X675" s="1"/>
      <c r="Y675" s="1"/>
      <c r="Z675" s="1"/>
      <c r="AA675" s="1"/>
      <c r="AB675" s="656"/>
      <c r="AC675" s="1"/>
      <c r="AD675" s="116"/>
      <c r="AL675" s="656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43"/>
      <c r="BL675" s="116"/>
      <c r="BU675" s="1"/>
      <c r="BV675" s="1"/>
      <c r="BW675" s="1"/>
      <c r="BX675" s="656"/>
      <c r="BZ675" s="657"/>
      <c r="CA675" s="1"/>
      <c r="CB675" s="1"/>
      <c r="CC675" s="1"/>
      <c r="CD675" s="1"/>
      <c r="CE675" s="1"/>
      <c r="CF675" s="1"/>
      <c r="CG675" s="1"/>
      <c r="CH675" s="1"/>
      <c r="CP675" s="305"/>
      <c r="CR675" s="116"/>
      <c r="CZ675" s="1"/>
      <c r="DA675" s="1"/>
      <c r="DB675" s="1"/>
      <c r="DC675" s="1"/>
      <c r="DD675" s="1"/>
      <c r="DE675" s="1"/>
      <c r="DF675" s="1"/>
      <c r="DG675" s="1"/>
      <c r="DH675" s="656"/>
      <c r="DJ675" s="116"/>
    </row>
    <row r="676" spans="2:114" ht="15.75" customHeight="1" x14ac:dyDescent="0.25">
      <c r="B676" s="116"/>
      <c r="I676" s="656"/>
      <c r="K676" s="116"/>
      <c r="X676" s="1"/>
      <c r="Y676" s="1"/>
      <c r="Z676" s="1"/>
      <c r="AA676" s="1"/>
      <c r="AB676" s="656"/>
      <c r="AC676" s="1"/>
      <c r="AD676" s="116"/>
      <c r="AL676" s="656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43"/>
      <c r="BL676" s="116"/>
      <c r="BU676" s="1"/>
      <c r="BV676" s="1"/>
      <c r="BW676" s="1"/>
      <c r="BX676" s="656"/>
      <c r="BZ676" s="657"/>
      <c r="CA676" s="1"/>
      <c r="CB676" s="1"/>
      <c r="CC676" s="1"/>
      <c r="CD676" s="1"/>
      <c r="CE676" s="1"/>
      <c r="CF676" s="1"/>
      <c r="CG676" s="1"/>
      <c r="CH676" s="1"/>
      <c r="CP676" s="305"/>
      <c r="CR676" s="116"/>
      <c r="CZ676" s="1"/>
      <c r="DA676" s="1"/>
      <c r="DB676" s="1"/>
      <c r="DC676" s="1"/>
      <c r="DD676" s="1"/>
      <c r="DE676" s="1"/>
      <c r="DF676" s="1"/>
      <c r="DG676" s="1"/>
      <c r="DH676" s="656"/>
      <c r="DJ676" s="116"/>
    </row>
    <row r="677" spans="2:114" ht="15.75" customHeight="1" x14ac:dyDescent="0.25">
      <c r="B677" s="116"/>
      <c r="I677" s="656"/>
      <c r="K677" s="116"/>
      <c r="X677" s="1"/>
      <c r="Y677" s="1"/>
      <c r="Z677" s="1"/>
      <c r="AA677" s="1"/>
      <c r="AB677" s="656"/>
      <c r="AC677" s="1"/>
      <c r="AD677" s="116"/>
      <c r="AL677" s="656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43"/>
      <c r="BL677" s="116"/>
      <c r="BU677" s="1"/>
      <c r="BV677" s="1"/>
      <c r="BW677" s="1"/>
      <c r="BX677" s="656"/>
      <c r="BZ677" s="657"/>
      <c r="CA677" s="1"/>
      <c r="CB677" s="1"/>
      <c r="CC677" s="1"/>
      <c r="CD677" s="1"/>
      <c r="CE677" s="1"/>
      <c r="CF677" s="1"/>
      <c r="CG677" s="1"/>
      <c r="CH677" s="1"/>
      <c r="CP677" s="305"/>
      <c r="CR677" s="116"/>
      <c r="CZ677" s="1"/>
      <c r="DA677" s="1"/>
      <c r="DB677" s="1"/>
      <c r="DC677" s="1"/>
      <c r="DD677" s="1"/>
      <c r="DE677" s="1"/>
      <c r="DF677" s="1"/>
      <c r="DG677" s="1"/>
      <c r="DH677" s="656"/>
      <c r="DJ677" s="116"/>
    </row>
    <row r="678" spans="2:114" ht="15.75" customHeight="1" x14ac:dyDescent="0.25">
      <c r="B678" s="116"/>
      <c r="I678" s="656"/>
      <c r="K678" s="116"/>
      <c r="X678" s="1"/>
      <c r="Y678" s="1"/>
      <c r="Z678" s="1"/>
      <c r="AA678" s="1"/>
      <c r="AB678" s="656"/>
      <c r="AC678" s="1"/>
      <c r="AD678" s="116"/>
      <c r="AL678" s="656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43"/>
      <c r="BL678" s="116"/>
      <c r="BU678" s="1"/>
      <c r="BV678" s="1"/>
      <c r="BW678" s="1"/>
      <c r="BX678" s="656"/>
      <c r="BZ678" s="657"/>
      <c r="CA678" s="1"/>
      <c r="CB678" s="1"/>
      <c r="CC678" s="1"/>
      <c r="CD678" s="1"/>
      <c r="CE678" s="1"/>
      <c r="CF678" s="1"/>
      <c r="CG678" s="1"/>
      <c r="CH678" s="1"/>
      <c r="CP678" s="305"/>
      <c r="CR678" s="116"/>
      <c r="CZ678" s="1"/>
      <c r="DA678" s="1"/>
      <c r="DB678" s="1"/>
      <c r="DC678" s="1"/>
      <c r="DD678" s="1"/>
      <c r="DE678" s="1"/>
      <c r="DF678" s="1"/>
      <c r="DG678" s="1"/>
      <c r="DH678" s="656"/>
      <c r="DJ678" s="116"/>
    </row>
    <row r="679" spans="2:114" ht="15.75" customHeight="1" x14ac:dyDescent="0.25">
      <c r="B679" s="116"/>
      <c r="I679" s="656"/>
      <c r="K679" s="116"/>
      <c r="X679" s="1"/>
      <c r="Y679" s="1"/>
      <c r="Z679" s="1"/>
      <c r="AA679" s="1"/>
      <c r="AB679" s="656"/>
      <c r="AC679" s="1"/>
      <c r="AD679" s="116"/>
      <c r="AL679" s="656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43"/>
      <c r="BL679" s="116"/>
      <c r="BU679" s="1"/>
      <c r="BV679" s="1"/>
      <c r="BW679" s="1"/>
      <c r="BX679" s="656"/>
      <c r="BZ679" s="657"/>
      <c r="CA679" s="1"/>
      <c r="CB679" s="1"/>
      <c r="CC679" s="1"/>
      <c r="CD679" s="1"/>
      <c r="CE679" s="1"/>
      <c r="CF679" s="1"/>
      <c r="CG679" s="1"/>
      <c r="CH679" s="1"/>
      <c r="CP679" s="305"/>
      <c r="CR679" s="116"/>
      <c r="CZ679" s="1"/>
      <c r="DA679" s="1"/>
      <c r="DB679" s="1"/>
      <c r="DC679" s="1"/>
      <c r="DD679" s="1"/>
      <c r="DE679" s="1"/>
      <c r="DF679" s="1"/>
      <c r="DG679" s="1"/>
      <c r="DH679" s="656"/>
      <c r="DJ679" s="116"/>
    </row>
    <row r="680" spans="2:114" ht="15.75" customHeight="1" x14ac:dyDescent="0.25">
      <c r="B680" s="116"/>
      <c r="I680" s="656"/>
      <c r="K680" s="116"/>
      <c r="X680" s="1"/>
      <c r="Y680" s="1"/>
      <c r="Z680" s="1"/>
      <c r="AA680" s="1"/>
      <c r="AB680" s="656"/>
      <c r="AC680" s="1"/>
      <c r="AD680" s="116"/>
      <c r="AL680" s="656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43"/>
      <c r="BL680" s="116"/>
      <c r="BU680" s="1"/>
      <c r="BV680" s="1"/>
      <c r="BW680" s="1"/>
      <c r="BX680" s="656"/>
      <c r="BZ680" s="657"/>
      <c r="CA680" s="1"/>
      <c r="CB680" s="1"/>
      <c r="CC680" s="1"/>
      <c r="CD680" s="1"/>
      <c r="CE680" s="1"/>
      <c r="CF680" s="1"/>
      <c r="CG680" s="1"/>
      <c r="CH680" s="1"/>
      <c r="CP680" s="305"/>
      <c r="CR680" s="116"/>
      <c r="CZ680" s="1"/>
      <c r="DA680" s="1"/>
      <c r="DB680" s="1"/>
      <c r="DC680" s="1"/>
      <c r="DD680" s="1"/>
      <c r="DE680" s="1"/>
      <c r="DF680" s="1"/>
      <c r="DG680" s="1"/>
      <c r="DH680" s="656"/>
      <c r="DJ680" s="116"/>
    </row>
    <row r="681" spans="2:114" ht="15.75" customHeight="1" x14ac:dyDescent="0.25">
      <c r="B681" s="116"/>
      <c r="I681" s="656"/>
      <c r="K681" s="116"/>
      <c r="X681" s="1"/>
      <c r="Y681" s="1"/>
      <c r="Z681" s="1"/>
      <c r="AA681" s="1"/>
      <c r="AB681" s="656"/>
      <c r="AC681" s="1"/>
      <c r="AD681" s="116"/>
      <c r="AL681" s="656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43"/>
      <c r="BL681" s="116"/>
      <c r="BU681" s="1"/>
      <c r="BV681" s="1"/>
      <c r="BW681" s="1"/>
      <c r="BX681" s="656"/>
      <c r="BZ681" s="657"/>
      <c r="CA681" s="1"/>
      <c r="CB681" s="1"/>
      <c r="CC681" s="1"/>
      <c r="CD681" s="1"/>
      <c r="CE681" s="1"/>
      <c r="CF681" s="1"/>
      <c r="CG681" s="1"/>
      <c r="CH681" s="1"/>
      <c r="CP681" s="305"/>
      <c r="CR681" s="116"/>
      <c r="CZ681" s="1"/>
      <c r="DA681" s="1"/>
      <c r="DB681" s="1"/>
      <c r="DC681" s="1"/>
      <c r="DD681" s="1"/>
      <c r="DE681" s="1"/>
      <c r="DF681" s="1"/>
      <c r="DG681" s="1"/>
      <c r="DH681" s="656"/>
      <c r="DJ681" s="116"/>
    </row>
    <row r="682" spans="2:114" ht="15.75" customHeight="1" x14ac:dyDescent="0.25">
      <c r="B682" s="116"/>
      <c r="I682" s="656"/>
      <c r="K682" s="116"/>
      <c r="X682" s="1"/>
      <c r="Y682" s="1"/>
      <c r="Z682" s="1"/>
      <c r="AA682" s="1"/>
      <c r="AB682" s="656"/>
      <c r="AC682" s="1"/>
      <c r="AD682" s="116"/>
      <c r="AL682" s="656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43"/>
      <c r="BL682" s="116"/>
      <c r="BU682" s="1"/>
      <c r="BV682" s="1"/>
      <c r="BW682" s="1"/>
      <c r="BX682" s="656"/>
      <c r="BZ682" s="657"/>
      <c r="CA682" s="1"/>
      <c r="CB682" s="1"/>
      <c r="CC682" s="1"/>
      <c r="CD682" s="1"/>
      <c r="CE682" s="1"/>
      <c r="CF682" s="1"/>
      <c r="CG682" s="1"/>
      <c r="CH682" s="1"/>
      <c r="CP682" s="305"/>
      <c r="CR682" s="116"/>
      <c r="CZ682" s="1"/>
      <c r="DA682" s="1"/>
      <c r="DB682" s="1"/>
      <c r="DC682" s="1"/>
      <c r="DD682" s="1"/>
      <c r="DE682" s="1"/>
      <c r="DF682" s="1"/>
      <c r="DG682" s="1"/>
      <c r="DH682" s="656"/>
      <c r="DJ682" s="116"/>
    </row>
    <row r="683" spans="2:114" ht="15.75" customHeight="1" x14ac:dyDescent="0.25">
      <c r="B683" s="116"/>
      <c r="I683" s="656"/>
      <c r="K683" s="116"/>
      <c r="X683" s="1"/>
      <c r="Y683" s="1"/>
      <c r="Z683" s="1"/>
      <c r="AA683" s="1"/>
      <c r="AB683" s="656"/>
      <c r="AC683" s="1"/>
      <c r="AD683" s="116"/>
      <c r="AL683" s="656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43"/>
      <c r="BL683" s="116"/>
      <c r="BU683" s="1"/>
      <c r="BV683" s="1"/>
      <c r="BW683" s="1"/>
      <c r="BX683" s="656"/>
      <c r="BZ683" s="657"/>
      <c r="CA683" s="1"/>
      <c r="CB683" s="1"/>
      <c r="CC683" s="1"/>
      <c r="CD683" s="1"/>
      <c r="CE683" s="1"/>
      <c r="CF683" s="1"/>
      <c r="CG683" s="1"/>
      <c r="CH683" s="1"/>
      <c r="CP683" s="305"/>
      <c r="CR683" s="116"/>
      <c r="CZ683" s="1"/>
      <c r="DA683" s="1"/>
      <c r="DB683" s="1"/>
      <c r="DC683" s="1"/>
      <c r="DD683" s="1"/>
      <c r="DE683" s="1"/>
      <c r="DF683" s="1"/>
      <c r="DG683" s="1"/>
      <c r="DH683" s="656"/>
      <c r="DJ683" s="116"/>
    </row>
    <row r="684" spans="2:114" ht="15.75" customHeight="1" x14ac:dyDescent="0.25">
      <c r="B684" s="116"/>
      <c r="I684" s="656"/>
      <c r="K684" s="116"/>
      <c r="X684" s="1"/>
      <c r="Y684" s="1"/>
      <c r="Z684" s="1"/>
      <c r="AA684" s="1"/>
      <c r="AB684" s="656"/>
      <c r="AC684" s="1"/>
      <c r="AD684" s="116"/>
      <c r="AL684" s="656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43"/>
      <c r="BL684" s="116"/>
      <c r="BU684" s="1"/>
      <c r="BV684" s="1"/>
      <c r="BW684" s="1"/>
      <c r="BX684" s="656"/>
      <c r="BZ684" s="657"/>
      <c r="CA684" s="1"/>
      <c r="CB684" s="1"/>
      <c r="CC684" s="1"/>
      <c r="CD684" s="1"/>
      <c r="CE684" s="1"/>
      <c r="CF684" s="1"/>
      <c r="CG684" s="1"/>
      <c r="CH684" s="1"/>
      <c r="CP684" s="305"/>
      <c r="CR684" s="116"/>
      <c r="CZ684" s="1"/>
      <c r="DA684" s="1"/>
      <c r="DB684" s="1"/>
      <c r="DC684" s="1"/>
      <c r="DD684" s="1"/>
      <c r="DE684" s="1"/>
      <c r="DF684" s="1"/>
      <c r="DG684" s="1"/>
      <c r="DH684" s="656"/>
      <c r="DJ684" s="116"/>
    </row>
    <row r="685" spans="2:114" ht="15.75" customHeight="1" x14ac:dyDescent="0.25">
      <c r="B685" s="116"/>
      <c r="I685" s="656"/>
      <c r="K685" s="116"/>
      <c r="X685" s="1"/>
      <c r="Y685" s="1"/>
      <c r="Z685" s="1"/>
      <c r="AA685" s="1"/>
      <c r="AB685" s="656"/>
      <c r="AC685" s="1"/>
      <c r="AD685" s="116"/>
      <c r="AL685" s="656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43"/>
      <c r="BL685" s="116"/>
      <c r="BU685" s="1"/>
      <c r="BV685" s="1"/>
      <c r="BW685" s="1"/>
      <c r="BX685" s="656"/>
      <c r="BZ685" s="657"/>
      <c r="CA685" s="1"/>
      <c r="CB685" s="1"/>
      <c r="CC685" s="1"/>
      <c r="CD685" s="1"/>
      <c r="CE685" s="1"/>
      <c r="CF685" s="1"/>
      <c r="CG685" s="1"/>
      <c r="CH685" s="1"/>
      <c r="CP685" s="305"/>
      <c r="CR685" s="116"/>
      <c r="CZ685" s="1"/>
      <c r="DA685" s="1"/>
      <c r="DB685" s="1"/>
      <c r="DC685" s="1"/>
      <c r="DD685" s="1"/>
      <c r="DE685" s="1"/>
      <c r="DF685" s="1"/>
      <c r="DG685" s="1"/>
      <c r="DH685" s="656"/>
      <c r="DJ685" s="116"/>
    </row>
    <row r="686" spans="2:114" ht="15.75" customHeight="1" x14ac:dyDescent="0.25">
      <c r="B686" s="116"/>
      <c r="I686" s="656"/>
      <c r="K686" s="116"/>
      <c r="X686" s="1"/>
      <c r="Y686" s="1"/>
      <c r="Z686" s="1"/>
      <c r="AA686" s="1"/>
      <c r="AB686" s="656"/>
      <c r="AC686" s="1"/>
      <c r="AD686" s="116"/>
      <c r="AL686" s="656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43"/>
      <c r="BL686" s="116"/>
      <c r="BU686" s="1"/>
      <c r="BV686" s="1"/>
      <c r="BW686" s="1"/>
      <c r="BX686" s="656"/>
      <c r="BZ686" s="657"/>
      <c r="CA686" s="1"/>
      <c r="CB686" s="1"/>
      <c r="CC686" s="1"/>
      <c r="CD686" s="1"/>
      <c r="CE686" s="1"/>
      <c r="CF686" s="1"/>
      <c r="CG686" s="1"/>
      <c r="CH686" s="1"/>
      <c r="CP686" s="305"/>
      <c r="CR686" s="116"/>
      <c r="CZ686" s="1"/>
      <c r="DA686" s="1"/>
      <c r="DB686" s="1"/>
      <c r="DC686" s="1"/>
      <c r="DD686" s="1"/>
      <c r="DE686" s="1"/>
      <c r="DF686" s="1"/>
      <c r="DG686" s="1"/>
      <c r="DH686" s="656"/>
      <c r="DJ686" s="116"/>
    </row>
    <row r="687" spans="2:114" ht="15.75" customHeight="1" x14ac:dyDescent="0.25">
      <c r="B687" s="116"/>
      <c r="I687" s="656"/>
      <c r="K687" s="116"/>
      <c r="X687" s="1"/>
      <c r="Y687" s="1"/>
      <c r="Z687" s="1"/>
      <c r="AA687" s="1"/>
      <c r="AB687" s="656"/>
      <c r="AC687" s="1"/>
      <c r="AD687" s="116"/>
      <c r="AL687" s="656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43"/>
      <c r="BL687" s="116"/>
      <c r="BU687" s="1"/>
      <c r="BV687" s="1"/>
      <c r="BW687" s="1"/>
      <c r="BX687" s="656"/>
      <c r="BZ687" s="657"/>
      <c r="CA687" s="1"/>
      <c r="CB687" s="1"/>
      <c r="CC687" s="1"/>
      <c r="CD687" s="1"/>
      <c r="CE687" s="1"/>
      <c r="CF687" s="1"/>
      <c r="CG687" s="1"/>
      <c r="CH687" s="1"/>
      <c r="CP687" s="305"/>
      <c r="CR687" s="116"/>
      <c r="CZ687" s="1"/>
      <c r="DA687" s="1"/>
      <c r="DB687" s="1"/>
      <c r="DC687" s="1"/>
      <c r="DD687" s="1"/>
      <c r="DE687" s="1"/>
      <c r="DF687" s="1"/>
      <c r="DG687" s="1"/>
      <c r="DH687" s="656"/>
      <c r="DJ687" s="116"/>
    </row>
    <row r="688" spans="2:114" ht="15.75" customHeight="1" x14ac:dyDescent="0.25">
      <c r="B688" s="116"/>
      <c r="I688" s="656"/>
      <c r="K688" s="116"/>
      <c r="X688" s="1"/>
      <c r="Y688" s="1"/>
      <c r="Z688" s="1"/>
      <c r="AA688" s="1"/>
      <c r="AB688" s="656"/>
      <c r="AC688" s="1"/>
      <c r="AD688" s="116"/>
      <c r="AL688" s="656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43"/>
      <c r="BL688" s="116"/>
      <c r="BU688" s="1"/>
      <c r="BV688" s="1"/>
      <c r="BW688" s="1"/>
      <c r="BX688" s="656"/>
      <c r="BZ688" s="657"/>
      <c r="CA688" s="1"/>
      <c r="CB688" s="1"/>
      <c r="CC688" s="1"/>
      <c r="CD688" s="1"/>
      <c r="CE688" s="1"/>
      <c r="CF688" s="1"/>
      <c r="CG688" s="1"/>
      <c r="CH688" s="1"/>
      <c r="CP688" s="305"/>
      <c r="CR688" s="116"/>
      <c r="CZ688" s="1"/>
      <c r="DA688" s="1"/>
      <c r="DB688" s="1"/>
      <c r="DC688" s="1"/>
      <c r="DD688" s="1"/>
      <c r="DE688" s="1"/>
      <c r="DF688" s="1"/>
      <c r="DG688" s="1"/>
      <c r="DH688" s="656"/>
      <c r="DJ688" s="116"/>
    </row>
    <row r="689" spans="2:114" ht="15.75" customHeight="1" x14ac:dyDescent="0.25">
      <c r="B689" s="116"/>
      <c r="I689" s="656"/>
      <c r="K689" s="116"/>
      <c r="X689" s="1"/>
      <c r="Y689" s="1"/>
      <c r="Z689" s="1"/>
      <c r="AA689" s="1"/>
      <c r="AB689" s="656"/>
      <c r="AC689" s="1"/>
      <c r="AD689" s="116"/>
      <c r="AL689" s="656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43"/>
      <c r="BL689" s="116"/>
      <c r="BU689" s="1"/>
      <c r="BV689" s="1"/>
      <c r="BW689" s="1"/>
      <c r="BX689" s="656"/>
      <c r="BZ689" s="657"/>
      <c r="CA689" s="1"/>
      <c r="CB689" s="1"/>
      <c r="CC689" s="1"/>
      <c r="CD689" s="1"/>
      <c r="CE689" s="1"/>
      <c r="CF689" s="1"/>
      <c r="CG689" s="1"/>
      <c r="CH689" s="1"/>
      <c r="CP689" s="305"/>
      <c r="CR689" s="116"/>
      <c r="CZ689" s="1"/>
      <c r="DA689" s="1"/>
      <c r="DB689" s="1"/>
      <c r="DC689" s="1"/>
      <c r="DD689" s="1"/>
      <c r="DE689" s="1"/>
      <c r="DF689" s="1"/>
      <c r="DG689" s="1"/>
      <c r="DH689" s="656"/>
      <c r="DJ689" s="116"/>
    </row>
    <row r="690" spans="2:114" ht="15.75" customHeight="1" x14ac:dyDescent="0.25">
      <c r="B690" s="116"/>
      <c r="I690" s="656"/>
      <c r="K690" s="116"/>
      <c r="X690" s="1"/>
      <c r="Y690" s="1"/>
      <c r="Z690" s="1"/>
      <c r="AA690" s="1"/>
      <c r="AB690" s="656"/>
      <c r="AC690" s="1"/>
      <c r="AD690" s="116"/>
      <c r="AL690" s="656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43"/>
      <c r="BL690" s="116"/>
      <c r="BU690" s="1"/>
      <c r="BV690" s="1"/>
      <c r="BW690" s="1"/>
      <c r="BX690" s="656"/>
      <c r="BZ690" s="657"/>
      <c r="CA690" s="1"/>
      <c r="CB690" s="1"/>
      <c r="CC690" s="1"/>
      <c r="CD690" s="1"/>
      <c r="CE690" s="1"/>
      <c r="CF690" s="1"/>
      <c r="CG690" s="1"/>
      <c r="CH690" s="1"/>
      <c r="CP690" s="305"/>
      <c r="CR690" s="116"/>
      <c r="CZ690" s="1"/>
      <c r="DA690" s="1"/>
      <c r="DB690" s="1"/>
      <c r="DC690" s="1"/>
      <c r="DD690" s="1"/>
      <c r="DE690" s="1"/>
      <c r="DF690" s="1"/>
      <c r="DG690" s="1"/>
      <c r="DH690" s="656"/>
      <c r="DJ690" s="116"/>
    </row>
    <row r="691" spans="2:114" ht="15.75" customHeight="1" x14ac:dyDescent="0.25">
      <c r="B691" s="116"/>
      <c r="I691" s="656"/>
      <c r="K691" s="116"/>
      <c r="X691" s="1"/>
      <c r="Y691" s="1"/>
      <c r="Z691" s="1"/>
      <c r="AA691" s="1"/>
      <c r="AB691" s="656"/>
      <c r="AC691" s="1"/>
      <c r="AD691" s="116"/>
      <c r="AL691" s="656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43"/>
      <c r="BL691" s="116"/>
      <c r="BU691" s="1"/>
      <c r="BV691" s="1"/>
      <c r="BW691" s="1"/>
      <c r="BX691" s="656"/>
      <c r="BZ691" s="657"/>
      <c r="CA691" s="1"/>
      <c r="CB691" s="1"/>
      <c r="CC691" s="1"/>
      <c r="CD691" s="1"/>
      <c r="CE691" s="1"/>
      <c r="CF691" s="1"/>
      <c r="CG691" s="1"/>
      <c r="CH691" s="1"/>
      <c r="CP691" s="305"/>
      <c r="CR691" s="116"/>
      <c r="CZ691" s="1"/>
      <c r="DA691" s="1"/>
      <c r="DB691" s="1"/>
      <c r="DC691" s="1"/>
      <c r="DD691" s="1"/>
      <c r="DE691" s="1"/>
      <c r="DF691" s="1"/>
      <c r="DG691" s="1"/>
      <c r="DH691" s="656"/>
      <c r="DJ691" s="116"/>
    </row>
    <row r="692" spans="2:114" ht="15.75" customHeight="1" x14ac:dyDescent="0.25">
      <c r="B692" s="116"/>
      <c r="I692" s="656"/>
      <c r="K692" s="116"/>
      <c r="X692" s="1"/>
      <c r="Y692" s="1"/>
      <c r="Z692" s="1"/>
      <c r="AA692" s="1"/>
      <c r="AB692" s="656"/>
      <c r="AC692" s="1"/>
      <c r="AD692" s="116"/>
      <c r="AL692" s="656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43"/>
      <c r="BL692" s="116"/>
      <c r="BU692" s="1"/>
      <c r="BV692" s="1"/>
      <c r="BW692" s="1"/>
      <c r="BX692" s="656"/>
      <c r="BZ692" s="657"/>
      <c r="CA692" s="1"/>
      <c r="CB692" s="1"/>
      <c r="CC692" s="1"/>
      <c r="CD692" s="1"/>
      <c r="CE692" s="1"/>
      <c r="CF692" s="1"/>
      <c r="CG692" s="1"/>
      <c r="CH692" s="1"/>
      <c r="CP692" s="305"/>
      <c r="CR692" s="116"/>
      <c r="CZ692" s="1"/>
      <c r="DA692" s="1"/>
      <c r="DB692" s="1"/>
      <c r="DC692" s="1"/>
      <c r="DD692" s="1"/>
      <c r="DE692" s="1"/>
      <c r="DF692" s="1"/>
      <c r="DG692" s="1"/>
      <c r="DH692" s="656"/>
      <c r="DJ692" s="116"/>
    </row>
    <row r="693" spans="2:114" ht="15.75" customHeight="1" x14ac:dyDescent="0.25">
      <c r="B693" s="116"/>
      <c r="I693" s="656"/>
      <c r="K693" s="116"/>
      <c r="X693" s="1"/>
      <c r="Y693" s="1"/>
      <c r="Z693" s="1"/>
      <c r="AA693" s="1"/>
      <c r="AB693" s="656"/>
      <c r="AC693" s="1"/>
      <c r="AD693" s="116"/>
      <c r="AL693" s="656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43"/>
      <c r="BL693" s="116"/>
      <c r="BU693" s="1"/>
      <c r="BV693" s="1"/>
      <c r="BW693" s="1"/>
      <c r="BX693" s="656"/>
      <c r="BZ693" s="657"/>
      <c r="CA693" s="1"/>
      <c r="CB693" s="1"/>
      <c r="CC693" s="1"/>
      <c r="CD693" s="1"/>
      <c r="CE693" s="1"/>
      <c r="CF693" s="1"/>
      <c r="CG693" s="1"/>
      <c r="CH693" s="1"/>
      <c r="CP693" s="305"/>
      <c r="CR693" s="116"/>
      <c r="CZ693" s="1"/>
      <c r="DA693" s="1"/>
      <c r="DB693" s="1"/>
      <c r="DC693" s="1"/>
      <c r="DD693" s="1"/>
      <c r="DE693" s="1"/>
      <c r="DF693" s="1"/>
      <c r="DG693" s="1"/>
      <c r="DH693" s="656"/>
      <c r="DJ693" s="116"/>
    </row>
    <row r="694" spans="2:114" ht="15.75" customHeight="1" x14ac:dyDescent="0.25">
      <c r="B694" s="116"/>
      <c r="I694" s="656"/>
      <c r="K694" s="116"/>
      <c r="X694" s="1"/>
      <c r="Y694" s="1"/>
      <c r="Z694" s="1"/>
      <c r="AA694" s="1"/>
      <c r="AB694" s="656"/>
      <c r="AC694" s="1"/>
      <c r="AD694" s="116"/>
      <c r="AL694" s="656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43"/>
      <c r="BL694" s="116"/>
      <c r="BU694" s="1"/>
      <c r="BV694" s="1"/>
      <c r="BW694" s="1"/>
      <c r="BX694" s="656"/>
      <c r="BZ694" s="657"/>
      <c r="CA694" s="1"/>
      <c r="CB694" s="1"/>
      <c r="CC694" s="1"/>
      <c r="CD694" s="1"/>
      <c r="CE694" s="1"/>
      <c r="CF694" s="1"/>
      <c r="CG694" s="1"/>
      <c r="CH694" s="1"/>
      <c r="CP694" s="305"/>
      <c r="CR694" s="116"/>
      <c r="CZ694" s="1"/>
      <c r="DA694" s="1"/>
      <c r="DB694" s="1"/>
      <c r="DC694" s="1"/>
      <c r="DD694" s="1"/>
      <c r="DE694" s="1"/>
      <c r="DF694" s="1"/>
      <c r="DG694" s="1"/>
      <c r="DH694" s="656"/>
      <c r="DJ694" s="116"/>
    </row>
    <row r="695" spans="2:114" ht="15.75" customHeight="1" x14ac:dyDescent="0.25">
      <c r="B695" s="116"/>
      <c r="I695" s="656"/>
      <c r="K695" s="116"/>
      <c r="X695" s="1"/>
      <c r="Y695" s="1"/>
      <c r="Z695" s="1"/>
      <c r="AA695" s="1"/>
      <c r="AB695" s="656"/>
      <c r="AC695" s="1"/>
      <c r="AD695" s="116"/>
      <c r="AL695" s="656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43"/>
      <c r="BL695" s="116"/>
      <c r="BU695" s="1"/>
      <c r="BV695" s="1"/>
      <c r="BW695" s="1"/>
      <c r="BX695" s="656"/>
      <c r="BZ695" s="657"/>
      <c r="CA695" s="1"/>
      <c r="CB695" s="1"/>
      <c r="CC695" s="1"/>
      <c r="CD695" s="1"/>
      <c r="CE695" s="1"/>
      <c r="CF695" s="1"/>
      <c r="CG695" s="1"/>
      <c r="CH695" s="1"/>
      <c r="CP695" s="305"/>
      <c r="CR695" s="116"/>
      <c r="CZ695" s="1"/>
      <c r="DA695" s="1"/>
      <c r="DB695" s="1"/>
      <c r="DC695" s="1"/>
      <c r="DD695" s="1"/>
      <c r="DE695" s="1"/>
      <c r="DF695" s="1"/>
      <c r="DG695" s="1"/>
      <c r="DH695" s="656"/>
      <c r="DJ695" s="116"/>
    </row>
    <row r="696" spans="2:114" ht="15.75" customHeight="1" x14ac:dyDescent="0.25">
      <c r="B696" s="116"/>
      <c r="I696" s="656"/>
      <c r="K696" s="116"/>
      <c r="X696" s="1"/>
      <c r="Y696" s="1"/>
      <c r="Z696" s="1"/>
      <c r="AA696" s="1"/>
      <c r="AB696" s="656"/>
      <c r="AC696" s="1"/>
      <c r="AD696" s="116"/>
      <c r="AL696" s="656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43"/>
      <c r="BL696" s="116"/>
      <c r="BU696" s="1"/>
      <c r="BV696" s="1"/>
      <c r="BW696" s="1"/>
      <c r="BX696" s="656"/>
      <c r="BZ696" s="657"/>
      <c r="CA696" s="1"/>
      <c r="CB696" s="1"/>
      <c r="CC696" s="1"/>
      <c r="CD696" s="1"/>
      <c r="CE696" s="1"/>
      <c r="CF696" s="1"/>
      <c r="CG696" s="1"/>
      <c r="CH696" s="1"/>
      <c r="CP696" s="305"/>
      <c r="CR696" s="116"/>
      <c r="CZ696" s="1"/>
      <c r="DA696" s="1"/>
      <c r="DB696" s="1"/>
      <c r="DC696" s="1"/>
      <c r="DD696" s="1"/>
      <c r="DE696" s="1"/>
      <c r="DF696" s="1"/>
      <c r="DG696" s="1"/>
      <c r="DH696" s="656"/>
      <c r="DJ696" s="116"/>
    </row>
    <row r="697" spans="2:114" ht="15.75" customHeight="1" x14ac:dyDescent="0.25">
      <c r="B697" s="116"/>
      <c r="I697" s="656"/>
      <c r="K697" s="116"/>
      <c r="X697" s="1"/>
      <c r="Y697" s="1"/>
      <c r="Z697" s="1"/>
      <c r="AA697" s="1"/>
      <c r="AB697" s="656"/>
      <c r="AC697" s="1"/>
      <c r="AD697" s="116"/>
      <c r="AL697" s="656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43"/>
      <c r="BL697" s="116"/>
      <c r="BU697" s="1"/>
      <c r="BV697" s="1"/>
      <c r="BW697" s="1"/>
      <c r="BX697" s="656"/>
      <c r="BZ697" s="657"/>
      <c r="CA697" s="1"/>
      <c r="CB697" s="1"/>
      <c r="CC697" s="1"/>
      <c r="CD697" s="1"/>
      <c r="CE697" s="1"/>
      <c r="CF697" s="1"/>
      <c r="CG697" s="1"/>
      <c r="CH697" s="1"/>
      <c r="CP697" s="305"/>
      <c r="CR697" s="116"/>
      <c r="CZ697" s="1"/>
      <c r="DA697" s="1"/>
      <c r="DB697" s="1"/>
      <c r="DC697" s="1"/>
      <c r="DD697" s="1"/>
      <c r="DE697" s="1"/>
      <c r="DF697" s="1"/>
      <c r="DG697" s="1"/>
      <c r="DH697" s="656"/>
      <c r="DJ697" s="116"/>
    </row>
    <row r="698" spans="2:114" ht="15.75" customHeight="1" x14ac:dyDescent="0.25">
      <c r="B698" s="116"/>
      <c r="I698" s="656"/>
      <c r="K698" s="116"/>
      <c r="X698" s="1"/>
      <c r="Y698" s="1"/>
      <c r="Z698" s="1"/>
      <c r="AA698" s="1"/>
      <c r="AB698" s="656"/>
      <c r="AC698" s="1"/>
      <c r="AD698" s="116"/>
      <c r="AL698" s="656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43"/>
      <c r="BL698" s="116"/>
      <c r="BU698" s="1"/>
      <c r="BV698" s="1"/>
      <c r="BW698" s="1"/>
      <c r="BX698" s="656"/>
      <c r="BZ698" s="657"/>
      <c r="CA698" s="1"/>
      <c r="CB698" s="1"/>
      <c r="CC698" s="1"/>
      <c r="CD698" s="1"/>
      <c r="CE698" s="1"/>
      <c r="CF698" s="1"/>
      <c r="CG698" s="1"/>
      <c r="CH698" s="1"/>
      <c r="CP698" s="305"/>
      <c r="CR698" s="116"/>
      <c r="CZ698" s="1"/>
      <c r="DA698" s="1"/>
      <c r="DB698" s="1"/>
      <c r="DC698" s="1"/>
      <c r="DD698" s="1"/>
      <c r="DE698" s="1"/>
      <c r="DF698" s="1"/>
      <c r="DG698" s="1"/>
      <c r="DH698" s="656"/>
      <c r="DJ698" s="116"/>
    </row>
    <row r="699" spans="2:114" ht="15.75" customHeight="1" x14ac:dyDescent="0.25">
      <c r="B699" s="116"/>
      <c r="I699" s="656"/>
      <c r="K699" s="116"/>
      <c r="X699" s="1"/>
      <c r="Y699" s="1"/>
      <c r="Z699" s="1"/>
      <c r="AA699" s="1"/>
      <c r="AB699" s="656"/>
      <c r="AC699" s="1"/>
      <c r="AD699" s="116"/>
      <c r="AL699" s="656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43"/>
      <c r="BL699" s="116"/>
      <c r="BU699" s="1"/>
      <c r="BV699" s="1"/>
      <c r="BW699" s="1"/>
      <c r="BX699" s="656"/>
      <c r="BZ699" s="657"/>
      <c r="CA699" s="1"/>
      <c r="CB699" s="1"/>
      <c r="CC699" s="1"/>
      <c r="CD699" s="1"/>
      <c r="CE699" s="1"/>
      <c r="CF699" s="1"/>
      <c r="CG699" s="1"/>
      <c r="CH699" s="1"/>
      <c r="CP699" s="305"/>
      <c r="CR699" s="116"/>
      <c r="CZ699" s="1"/>
      <c r="DA699" s="1"/>
      <c r="DB699" s="1"/>
      <c r="DC699" s="1"/>
      <c r="DD699" s="1"/>
      <c r="DE699" s="1"/>
      <c r="DF699" s="1"/>
      <c r="DG699" s="1"/>
      <c r="DH699" s="656"/>
      <c r="DJ699" s="116"/>
    </row>
    <row r="700" spans="2:114" ht="15.75" customHeight="1" x14ac:dyDescent="0.25">
      <c r="B700" s="116"/>
      <c r="I700" s="656"/>
      <c r="K700" s="116"/>
      <c r="X700" s="1"/>
      <c r="Y700" s="1"/>
      <c r="Z700" s="1"/>
      <c r="AA700" s="1"/>
      <c r="AB700" s="656"/>
      <c r="AC700" s="1"/>
      <c r="AD700" s="116"/>
      <c r="AL700" s="656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43"/>
      <c r="BL700" s="116"/>
      <c r="BU700" s="1"/>
      <c r="BV700" s="1"/>
      <c r="BW700" s="1"/>
      <c r="BX700" s="656"/>
      <c r="BZ700" s="657"/>
      <c r="CA700" s="1"/>
      <c r="CB700" s="1"/>
      <c r="CC700" s="1"/>
      <c r="CD700" s="1"/>
      <c r="CE700" s="1"/>
      <c r="CF700" s="1"/>
      <c r="CG700" s="1"/>
      <c r="CH700" s="1"/>
      <c r="CP700" s="305"/>
      <c r="CR700" s="116"/>
      <c r="CZ700" s="1"/>
      <c r="DA700" s="1"/>
      <c r="DB700" s="1"/>
      <c r="DC700" s="1"/>
      <c r="DD700" s="1"/>
      <c r="DE700" s="1"/>
      <c r="DF700" s="1"/>
      <c r="DG700" s="1"/>
      <c r="DH700" s="656"/>
      <c r="DJ700" s="116"/>
    </row>
    <row r="701" spans="2:114" ht="15.75" customHeight="1" x14ac:dyDescent="0.25">
      <c r="B701" s="116"/>
      <c r="I701" s="656"/>
      <c r="K701" s="116"/>
      <c r="X701" s="1"/>
      <c r="Y701" s="1"/>
      <c r="Z701" s="1"/>
      <c r="AA701" s="1"/>
      <c r="AB701" s="656"/>
      <c r="AC701" s="1"/>
      <c r="AD701" s="116"/>
      <c r="AL701" s="656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43"/>
      <c r="BL701" s="116"/>
      <c r="BU701" s="1"/>
      <c r="BV701" s="1"/>
      <c r="BW701" s="1"/>
      <c r="BX701" s="656"/>
      <c r="BZ701" s="657"/>
      <c r="CA701" s="1"/>
      <c r="CB701" s="1"/>
      <c r="CC701" s="1"/>
      <c r="CD701" s="1"/>
      <c r="CE701" s="1"/>
      <c r="CF701" s="1"/>
      <c r="CG701" s="1"/>
      <c r="CH701" s="1"/>
      <c r="CP701" s="305"/>
      <c r="CR701" s="116"/>
      <c r="CZ701" s="1"/>
      <c r="DA701" s="1"/>
      <c r="DB701" s="1"/>
      <c r="DC701" s="1"/>
      <c r="DD701" s="1"/>
      <c r="DE701" s="1"/>
      <c r="DF701" s="1"/>
      <c r="DG701" s="1"/>
      <c r="DH701" s="656"/>
      <c r="DJ701" s="116"/>
    </row>
    <row r="702" spans="2:114" ht="15.75" customHeight="1" x14ac:dyDescent="0.25">
      <c r="B702" s="116"/>
      <c r="I702" s="656"/>
      <c r="K702" s="116"/>
      <c r="X702" s="1"/>
      <c r="Y702" s="1"/>
      <c r="Z702" s="1"/>
      <c r="AA702" s="1"/>
      <c r="AB702" s="656"/>
      <c r="AC702" s="1"/>
      <c r="AD702" s="116"/>
      <c r="AL702" s="656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43"/>
      <c r="BL702" s="116"/>
      <c r="BU702" s="1"/>
      <c r="BV702" s="1"/>
      <c r="BW702" s="1"/>
      <c r="BX702" s="656"/>
      <c r="BZ702" s="657"/>
      <c r="CA702" s="1"/>
      <c r="CB702" s="1"/>
      <c r="CC702" s="1"/>
      <c r="CD702" s="1"/>
      <c r="CE702" s="1"/>
      <c r="CF702" s="1"/>
      <c r="CG702" s="1"/>
      <c r="CH702" s="1"/>
      <c r="CP702" s="305"/>
      <c r="CR702" s="116"/>
      <c r="CZ702" s="1"/>
      <c r="DA702" s="1"/>
      <c r="DB702" s="1"/>
      <c r="DC702" s="1"/>
      <c r="DD702" s="1"/>
      <c r="DE702" s="1"/>
      <c r="DF702" s="1"/>
      <c r="DG702" s="1"/>
      <c r="DH702" s="656"/>
      <c r="DJ702" s="116"/>
    </row>
    <row r="703" spans="2:114" ht="15.75" customHeight="1" x14ac:dyDescent="0.25">
      <c r="B703" s="116"/>
      <c r="I703" s="656"/>
      <c r="K703" s="116"/>
      <c r="X703" s="1"/>
      <c r="Y703" s="1"/>
      <c r="Z703" s="1"/>
      <c r="AA703" s="1"/>
      <c r="AB703" s="656"/>
      <c r="AC703" s="1"/>
      <c r="AD703" s="116"/>
      <c r="AL703" s="656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43"/>
      <c r="BL703" s="116"/>
      <c r="BU703" s="1"/>
      <c r="BV703" s="1"/>
      <c r="BW703" s="1"/>
      <c r="BX703" s="656"/>
      <c r="BZ703" s="657"/>
      <c r="CA703" s="1"/>
      <c r="CB703" s="1"/>
      <c r="CC703" s="1"/>
      <c r="CD703" s="1"/>
      <c r="CE703" s="1"/>
      <c r="CF703" s="1"/>
      <c r="CG703" s="1"/>
      <c r="CH703" s="1"/>
      <c r="CP703" s="305"/>
      <c r="CR703" s="116"/>
      <c r="CZ703" s="1"/>
      <c r="DA703" s="1"/>
      <c r="DB703" s="1"/>
      <c r="DC703" s="1"/>
      <c r="DD703" s="1"/>
      <c r="DE703" s="1"/>
      <c r="DF703" s="1"/>
      <c r="DG703" s="1"/>
      <c r="DH703" s="656"/>
      <c r="DJ703" s="116"/>
    </row>
    <row r="704" spans="2:114" ht="15.75" customHeight="1" x14ac:dyDescent="0.25">
      <c r="B704" s="116"/>
      <c r="I704" s="656"/>
      <c r="K704" s="116"/>
      <c r="X704" s="1"/>
      <c r="Y704" s="1"/>
      <c r="Z704" s="1"/>
      <c r="AA704" s="1"/>
      <c r="AB704" s="656"/>
      <c r="AC704" s="1"/>
      <c r="AD704" s="116"/>
      <c r="AL704" s="656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43"/>
      <c r="BL704" s="116"/>
      <c r="BU704" s="1"/>
      <c r="BV704" s="1"/>
      <c r="BW704" s="1"/>
      <c r="BX704" s="656"/>
      <c r="BZ704" s="657"/>
      <c r="CA704" s="1"/>
      <c r="CB704" s="1"/>
      <c r="CC704" s="1"/>
      <c r="CD704" s="1"/>
      <c r="CE704" s="1"/>
      <c r="CF704" s="1"/>
      <c r="CG704" s="1"/>
      <c r="CH704" s="1"/>
      <c r="CP704" s="305"/>
      <c r="CR704" s="116"/>
      <c r="CZ704" s="1"/>
      <c r="DA704" s="1"/>
      <c r="DB704" s="1"/>
      <c r="DC704" s="1"/>
      <c r="DD704" s="1"/>
      <c r="DE704" s="1"/>
      <c r="DF704" s="1"/>
      <c r="DG704" s="1"/>
      <c r="DH704" s="656"/>
      <c r="DJ704" s="116"/>
    </row>
    <row r="705" spans="2:114" ht="15.75" customHeight="1" x14ac:dyDescent="0.25">
      <c r="B705" s="116"/>
      <c r="I705" s="656"/>
      <c r="K705" s="116"/>
      <c r="X705" s="1"/>
      <c r="Y705" s="1"/>
      <c r="Z705" s="1"/>
      <c r="AA705" s="1"/>
      <c r="AB705" s="656"/>
      <c r="AC705" s="1"/>
      <c r="AD705" s="116"/>
      <c r="AL705" s="656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43"/>
      <c r="BL705" s="116"/>
      <c r="BU705" s="1"/>
      <c r="BV705" s="1"/>
      <c r="BW705" s="1"/>
      <c r="BX705" s="656"/>
      <c r="BZ705" s="657"/>
      <c r="CA705" s="1"/>
      <c r="CB705" s="1"/>
      <c r="CC705" s="1"/>
      <c r="CD705" s="1"/>
      <c r="CE705" s="1"/>
      <c r="CF705" s="1"/>
      <c r="CG705" s="1"/>
      <c r="CH705" s="1"/>
      <c r="CP705" s="305"/>
      <c r="CR705" s="116"/>
      <c r="CZ705" s="1"/>
      <c r="DA705" s="1"/>
      <c r="DB705" s="1"/>
      <c r="DC705" s="1"/>
      <c r="DD705" s="1"/>
      <c r="DE705" s="1"/>
      <c r="DF705" s="1"/>
      <c r="DG705" s="1"/>
      <c r="DH705" s="656"/>
      <c r="DJ705" s="116"/>
    </row>
    <row r="706" spans="2:114" ht="15.75" customHeight="1" x14ac:dyDescent="0.25">
      <c r="B706" s="116"/>
      <c r="I706" s="656"/>
      <c r="K706" s="116"/>
      <c r="X706" s="1"/>
      <c r="Y706" s="1"/>
      <c r="Z706" s="1"/>
      <c r="AA706" s="1"/>
      <c r="AB706" s="656"/>
      <c r="AC706" s="1"/>
      <c r="AD706" s="116"/>
      <c r="AL706" s="656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43"/>
      <c r="BL706" s="116"/>
      <c r="BU706" s="1"/>
      <c r="BV706" s="1"/>
      <c r="BW706" s="1"/>
      <c r="BX706" s="656"/>
      <c r="BZ706" s="657"/>
      <c r="CA706" s="1"/>
      <c r="CB706" s="1"/>
      <c r="CC706" s="1"/>
      <c r="CD706" s="1"/>
      <c r="CE706" s="1"/>
      <c r="CF706" s="1"/>
      <c r="CG706" s="1"/>
      <c r="CH706" s="1"/>
      <c r="CP706" s="305"/>
      <c r="CR706" s="116"/>
      <c r="CZ706" s="1"/>
      <c r="DA706" s="1"/>
      <c r="DB706" s="1"/>
      <c r="DC706" s="1"/>
      <c r="DD706" s="1"/>
      <c r="DE706" s="1"/>
      <c r="DF706" s="1"/>
      <c r="DG706" s="1"/>
      <c r="DH706" s="656"/>
      <c r="DJ706" s="116"/>
    </row>
    <row r="707" spans="2:114" ht="15.75" customHeight="1" x14ac:dyDescent="0.25">
      <c r="B707" s="116"/>
      <c r="I707" s="656"/>
      <c r="K707" s="116"/>
      <c r="X707" s="1"/>
      <c r="Y707" s="1"/>
      <c r="Z707" s="1"/>
      <c r="AA707" s="1"/>
      <c r="AB707" s="656"/>
      <c r="AC707" s="1"/>
      <c r="AD707" s="116"/>
      <c r="AL707" s="656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43"/>
      <c r="BL707" s="116"/>
      <c r="BU707" s="1"/>
      <c r="BV707" s="1"/>
      <c r="BW707" s="1"/>
      <c r="BX707" s="656"/>
      <c r="BZ707" s="657"/>
      <c r="CA707" s="1"/>
      <c r="CB707" s="1"/>
      <c r="CC707" s="1"/>
      <c r="CD707" s="1"/>
      <c r="CE707" s="1"/>
      <c r="CF707" s="1"/>
      <c r="CG707" s="1"/>
      <c r="CH707" s="1"/>
      <c r="CP707" s="305"/>
      <c r="CR707" s="116"/>
      <c r="CZ707" s="1"/>
      <c r="DA707" s="1"/>
      <c r="DB707" s="1"/>
      <c r="DC707" s="1"/>
      <c r="DD707" s="1"/>
      <c r="DE707" s="1"/>
      <c r="DF707" s="1"/>
      <c r="DG707" s="1"/>
      <c r="DH707" s="656"/>
      <c r="DJ707" s="116"/>
    </row>
    <row r="708" spans="2:114" ht="15.75" customHeight="1" x14ac:dyDescent="0.25">
      <c r="B708" s="116"/>
      <c r="I708" s="656"/>
      <c r="K708" s="116"/>
      <c r="X708" s="1"/>
      <c r="Y708" s="1"/>
      <c r="Z708" s="1"/>
      <c r="AA708" s="1"/>
      <c r="AB708" s="656"/>
      <c r="AC708" s="1"/>
      <c r="AD708" s="116"/>
      <c r="AL708" s="656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43"/>
      <c r="BL708" s="116"/>
      <c r="BU708" s="1"/>
      <c r="BV708" s="1"/>
      <c r="BW708" s="1"/>
      <c r="BX708" s="656"/>
      <c r="BZ708" s="657"/>
      <c r="CA708" s="1"/>
      <c r="CB708" s="1"/>
      <c r="CC708" s="1"/>
      <c r="CD708" s="1"/>
      <c r="CE708" s="1"/>
      <c r="CF708" s="1"/>
      <c r="CG708" s="1"/>
      <c r="CH708" s="1"/>
      <c r="CP708" s="305"/>
      <c r="CR708" s="116"/>
      <c r="CZ708" s="1"/>
      <c r="DA708" s="1"/>
      <c r="DB708" s="1"/>
      <c r="DC708" s="1"/>
      <c r="DD708" s="1"/>
      <c r="DE708" s="1"/>
      <c r="DF708" s="1"/>
      <c r="DG708" s="1"/>
      <c r="DH708" s="656"/>
      <c r="DJ708" s="116"/>
    </row>
    <row r="709" spans="2:114" ht="15.75" customHeight="1" x14ac:dyDescent="0.25">
      <c r="B709" s="116"/>
      <c r="I709" s="656"/>
      <c r="K709" s="116"/>
      <c r="X709" s="1"/>
      <c r="Y709" s="1"/>
      <c r="Z709" s="1"/>
      <c r="AA709" s="1"/>
      <c r="AB709" s="656"/>
      <c r="AC709" s="1"/>
      <c r="AD709" s="116"/>
      <c r="AL709" s="656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43"/>
      <c r="BL709" s="116"/>
      <c r="BU709" s="1"/>
      <c r="BV709" s="1"/>
      <c r="BW709" s="1"/>
      <c r="BX709" s="656"/>
      <c r="BZ709" s="657"/>
      <c r="CA709" s="1"/>
      <c r="CB709" s="1"/>
      <c r="CC709" s="1"/>
      <c r="CD709" s="1"/>
      <c r="CE709" s="1"/>
      <c r="CF709" s="1"/>
      <c r="CG709" s="1"/>
      <c r="CH709" s="1"/>
      <c r="CP709" s="305"/>
      <c r="CR709" s="116"/>
      <c r="CZ709" s="1"/>
      <c r="DA709" s="1"/>
      <c r="DB709" s="1"/>
      <c r="DC709" s="1"/>
      <c r="DD709" s="1"/>
      <c r="DE709" s="1"/>
      <c r="DF709" s="1"/>
      <c r="DG709" s="1"/>
      <c r="DH709" s="656"/>
      <c r="DJ709" s="116"/>
    </row>
    <row r="710" spans="2:114" ht="15.75" customHeight="1" x14ac:dyDescent="0.25">
      <c r="B710" s="116"/>
      <c r="I710" s="656"/>
      <c r="K710" s="116"/>
      <c r="X710" s="1"/>
      <c r="Y710" s="1"/>
      <c r="Z710" s="1"/>
      <c r="AA710" s="1"/>
      <c r="AB710" s="656"/>
      <c r="AC710" s="1"/>
      <c r="AD710" s="116"/>
      <c r="AL710" s="656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43"/>
      <c r="BL710" s="116"/>
      <c r="BU710" s="1"/>
      <c r="BV710" s="1"/>
      <c r="BW710" s="1"/>
      <c r="BX710" s="656"/>
      <c r="BZ710" s="657"/>
      <c r="CA710" s="1"/>
      <c r="CB710" s="1"/>
      <c r="CC710" s="1"/>
      <c r="CD710" s="1"/>
      <c r="CE710" s="1"/>
      <c r="CF710" s="1"/>
      <c r="CG710" s="1"/>
      <c r="CH710" s="1"/>
      <c r="CP710" s="305"/>
      <c r="CR710" s="116"/>
      <c r="CZ710" s="1"/>
      <c r="DA710" s="1"/>
      <c r="DB710" s="1"/>
      <c r="DC710" s="1"/>
      <c r="DD710" s="1"/>
      <c r="DE710" s="1"/>
      <c r="DF710" s="1"/>
      <c r="DG710" s="1"/>
      <c r="DH710" s="656"/>
      <c r="DJ710" s="116"/>
    </row>
    <row r="711" spans="2:114" ht="15.75" customHeight="1" x14ac:dyDescent="0.25">
      <c r="B711" s="116"/>
      <c r="I711" s="656"/>
      <c r="K711" s="116"/>
      <c r="X711" s="1"/>
      <c r="Y711" s="1"/>
      <c r="Z711" s="1"/>
      <c r="AA711" s="1"/>
      <c r="AB711" s="656"/>
      <c r="AC711" s="1"/>
      <c r="AD711" s="116"/>
      <c r="AL711" s="656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43"/>
      <c r="BL711" s="116"/>
      <c r="BU711" s="1"/>
      <c r="BV711" s="1"/>
      <c r="BW711" s="1"/>
      <c r="BX711" s="656"/>
      <c r="BZ711" s="657"/>
      <c r="CA711" s="1"/>
      <c r="CB711" s="1"/>
      <c r="CC711" s="1"/>
      <c r="CD711" s="1"/>
      <c r="CE711" s="1"/>
      <c r="CF711" s="1"/>
      <c r="CG711" s="1"/>
      <c r="CH711" s="1"/>
      <c r="CP711" s="305"/>
      <c r="CR711" s="116"/>
      <c r="CZ711" s="1"/>
      <c r="DA711" s="1"/>
      <c r="DB711" s="1"/>
      <c r="DC711" s="1"/>
      <c r="DD711" s="1"/>
      <c r="DE711" s="1"/>
      <c r="DF711" s="1"/>
      <c r="DG711" s="1"/>
      <c r="DH711" s="656"/>
      <c r="DJ711" s="116"/>
    </row>
    <row r="712" spans="2:114" ht="15.75" customHeight="1" x14ac:dyDescent="0.25">
      <c r="B712" s="116"/>
      <c r="I712" s="656"/>
      <c r="K712" s="116"/>
      <c r="X712" s="1"/>
      <c r="Y712" s="1"/>
      <c r="Z712" s="1"/>
      <c r="AA712" s="1"/>
      <c r="AB712" s="656"/>
      <c r="AC712" s="1"/>
      <c r="AD712" s="116"/>
      <c r="AL712" s="656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43"/>
      <c r="BL712" s="116"/>
      <c r="BU712" s="1"/>
      <c r="BV712" s="1"/>
      <c r="BW712" s="1"/>
      <c r="BX712" s="656"/>
      <c r="BZ712" s="657"/>
      <c r="CA712" s="1"/>
      <c r="CB712" s="1"/>
      <c r="CC712" s="1"/>
      <c r="CD712" s="1"/>
      <c r="CE712" s="1"/>
      <c r="CF712" s="1"/>
      <c r="CG712" s="1"/>
      <c r="CH712" s="1"/>
      <c r="CP712" s="305"/>
      <c r="CR712" s="116"/>
      <c r="CZ712" s="1"/>
      <c r="DA712" s="1"/>
      <c r="DB712" s="1"/>
      <c r="DC712" s="1"/>
      <c r="DD712" s="1"/>
      <c r="DE712" s="1"/>
      <c r="DF712" s="1"/>
      <c r="DG712" s="1"/>
      <c r="DH712" s="656"/>
      <c r="DJ712" s="116"/>
    </row>
    <row r="713" spans="2:114" ht="15.75" customHeight="1" x14ac:dyDescent="0.25">
      <c r="B713" s="116"/>
      <c r="I713" s="656"/>
      <c r="K713" s="116"/>
      <c r="X713" s="1"/>
      <c r="Y713" s="1"/>
      <c r="Z713" s="1"/>
      <c r="AA713" s="1"/>
      <c r="AB713" s="656"/>
      <c r="AC713" s="1"/>
      <c r="AD713" s="116"/>
      <c r="AL713" s="656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43"/>
      <c r="BL713" s="116"/>
      <c r="BU713" s="1"/>
      <c r="BV713" s="1"/>
      <c r="BW713" s="1"/>
      <c r="BX713" s="656"/>
      <c r="BZ713" s="657"/>
      <c r="CA713" s="1"/>
      <c r="CB713" s="1"/>
      <c r="CC713" s="1"/>
      <c r="CD713" s="1"/>
      <c r="CE713" s="1"/>
      <c r="CF713" s="1"/>
      <c r="CG713" s="1"/>
      <c r="CH713" s="1"/>
      <c r="CP713" s="305"/>
      <c r="CR713" s="116"/>
      <c r="CZ713" s="1"/>
      <c r="DA713" s="1"/>
      <c r="DB713" s="1"/>
      <c r="DC713" s="1"/>
      <c r="DD713" s="1"/>
      <c r="DE713" s="1"/>
      <c r="DF713" s="1"/>
      <c r="DG713" s="1"/>
      <c r="DH713" s="656"/>
      <c r="DJ713" s="116"/>
    </row>
    <row r="714" spans="2:114" ht="15.75" customHeight="1" x14ac:dyDescent="0.25">
      <c r="B714" s="116"/>
      <c r="I714" s="656"/>
      <c r="K714" s="116"/>
      <c r="X714" s="1"/>
      <c r="Y714" s="1"/>
      <c r="Z714" s="1"/>
      <c r="AA714" s="1"/>
      <c r="AB714" s="656"/>
      <c r="AC714" s="1"/>
      <c r="AD714" s="116"/>
      <c r="AL714" s="656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43"/>
      <c r="BL714" s="116"/>
      <c r="BU714" s="1"/>
      <c r="BV714" s="1"/>
      <c r="BW714" s="1"/>
      <c r="BX714" s="656"/>
      <c r="BZ714" s="657"/>
      <c r="CA714" s="1"/>
      <c r="CB714" s="1"/>
      <c r="CC714" s="1"/>
      <c r="CD714" s="1"/>
      <c r="CE714" s="1"/>
      <c r="CF714" s="1"/>
      <c r="CG714" s="1"/>
      <c r="CH714" s="1"/>
      <c r="CP714" s="305"/>
      <c r="CR714" s="116"/>
      <c r="CZ714" s="1"/>
      <c r="DA714" s="1"/>
      <c r="DB714" s="1"/>
      <c r="DC714" s="1"/>
      <c r="DD714" s="1"/>
      <c r="DE714" s="1"/>
      <c r="DF714" s="1"/>
      <c r="DG714" s="1"/>
      <c r="DH714" s="656"/>
      <c r="DJ714" s="116"/>
    </row>
    <row r="715" spans="2:114" ht="15.75" customHeight="1" x14ac:dyDescent="0.25">
      <c r="B715" s="116"/>
      <c r="I715" s="656"/>
      <c r="K715" s="116"/>
      <c r="X715" s="1"/>
      <c r="Y715" s="1"/>
      <c r="Z715" s="1"/>
      <c r="AA715" s="1"/>
      <c r="AB715" s="656"/>
      <c r="AC715" s="1"/>
      <c r="AD715" s="116"/>
      <c r="AL715" s="656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43"/>
      <c r="BL715" s="116"/>
      <c r="BU715" s="1"/>
      <c r="BV715" s="1"/>
      <c r="BW715" s="1"/>
      <c r="BX715" s="656"/>
      <c r="BZ715" s="657"/>
      <c r="CA715" s="1"/>
      <c r="CB715" s="1"/>
      <c r="CC715" s="1"/>
      <c r="CD715" s="1"/>
      <c r="CE715" s="1"/>
      <c r="CF715" s="1"/>
      <c r="CG715" s="1"/>
      <c r="CH715" s="1"/>
      <c r="CP715" s="305"/>
      <c r="CR715" s="116"/>
      <c r="CZ715" s="1"/>
      <c r="DA715" s="1"/>
      <c r="DB715" s="1"/>
      <c r="DC715" s="1"/>
      <c r="DD715" s="1"/>
      <c r="DE715" s="1"/>
      <c r="DF715" s="1"/>
      <c r="DG715" s="1"/>
      <c r="DH715" s="656"/>
      <c r="DJ715" s="116"/>
    </row>
    <row r="716" spans="2:114" ht="15.75" customHeight="1" x14ac:dyDescent="0.25">
      <c r="B716" s="116"/>
      <c r="I716" s="656"/>
      <c r="K716" s="116"/>
      <c r="X716" s="1"/>
      <c r="Y716" s="1"/>
      <c r="Z716" s="1"/>
      <c r="AA716" s="1"/>
      <c r="AB716" s="656"/>
      <c r="AC716" s="1"/>
      <c r="AD716" s="116"/>
      <c r="AL716" s="656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43"/>
      <c r="BL716" s="116"/>
      <c r="BU716" s="1"/>
      <c r="BV716" s="1"/>
      <c r="BW716" s="1"/>
      <c r="BX716" s="656"/>
      <c r="BZ716" s="657"/>
      <c r="CA716" s="1"/>
      <c r="CB716" s="1"/>
      <c r="CC716" s="1"/>
      <c r="CD716" s="1"/>
      <c r="CE716" s="1"/>
      <c r="CF716" s="1"/>
      <c r="CG716" s="1"/>
      <c r="CH716" s="1"/>
      <c r="CP716" s="305"/>
      <c r="CR716" s="116"/>
      <c r="CZ716" s="1"/>
      <c r="DA716" s="1"/>
      <c r="DB716" s="1"/>
      <c r="DC716" s="1"/>
      <c r="DD716" s="1"/>
      <c r="DE716" s="1"/>
      <c r="DF716" s="1"/>
      <c r="DG716" s="1"/>
      <c r="DH716" s="656"/>
      <c r="DJ716" s="116"/>
    </row>
    <row r="717" spans="2:114" ht="15.75" customHeight="1" x14ac:dyDescent="0.25">
      <c r="B717" s="116"/>
      <c r="I717" s="656"/>
      <c r="K717" s="116"/>
      <c r="X717" s="1"/>
      <c r="Y717" s="1"/>
      <c r="Z717" s="1"/>
      <c r="AA717" s="1"/>
      <c r="AB717" s="656"/>
      <c r="AC717" s="1"/>
      <c r="AD717" s="116"/>
      <c r="AL717" s="656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43"/>
      <c r="BL717" s="116"/>
      <c r="BU717" s="1"/>
      <c r="BV717" s="1"/>
      <c r="BW717" s="1"/>
      <c r="BX717" s="656"/>
      <c r="BZ717" s="657"/>
      <c r="CA717" s="1"/>
      <c r="CB717" s="1"/>
      <c r="CC717" s="1"/>
      <c r="CD717" s="1"/>
      <c r="CE717" s="1"/>
      <c r="CF717" s="1"/>
      <c r="CG717" s="1"/>
      <c r="CH717" s="1"/>
      <c r="CP717" s="305"/>
      <c r="CR717" s="116"/>
      <c r="CZ717" s="1"/>
      <c r="DA717" s="1"/>
      <c r="DB717" s="1"/>
      <c r="DC717" s="1"/>
      <c r="DD717" s="1"/>
      <c r="DE717" s="1"/>
      <c r="DF717" s="1"/>
      <c r="DG717" s="1"/>
      <c r="DH717" s="656"/>
      <c r="DJ717" s="116"/>
    </row>
    <row r="718" spans="2:114" ht="15.75" customHeight="1" x14ac:dyDescent="0.25">
      <c r="B718" s="116"/>
      <c r="I718" s="656"/>
      <c r="K718" s="116"/>
      <c r="X718" s="1"/>
      <c r="Y718" s="1"/>
      <c r="Z718" s="1"/>
      <c r="AA718" s="1"/>
      <c r="AB718" s="656"/>
      <c r="AC718" s="1"/>
      <c r="AD718" s="116"/>
      <c r="AL718" s="656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43"/>
      <c r="BL718" s="116"/>
      <c r="BU718" s="1"/>
      <c r="BV718" s="1"/>
      <c r="BW718" s="1"/>
      <c r="BX718" s="656"/>
      <c r="BZ718" s="657"/>
      <c r="CA718" s="1"/>
      <c r="CB718" s="1"/>
      <c r="CC718" s="1"/>
      <c r="CD718" s="1"/>
      <c r="CE718" s="1"/>
      <c r="CF718" s="1"/>
      <c r="CG718" s="1"/>
      <c r="CH718" s="1"/>
      <c r="CP718" s="305"/>
      <c r="CR718" s="116"/>
      <c r="CZ718" s="1"/>
      <c r="DA718" s="1"/>
      <c r="DB718" s="1"/>
      <c r="DC718" s="1"/>
      <c r="DD718" s="1"/>
      <c r="DE718" s="1"/>
      <c r="DF718" s="1"/>
      <c r="DG718" s="1"/>
      <c r="DH718" s="656"/>
      <c r="DJ718" s="116"/>
    </row>
    <row r="719" spans="2:114" ht="15.75" customHeight="1" x14ac:dyDescent="0.25">
      <c r="B719" s="116"/>
      <c r="I719" s="656"/>
      <c r="K719" s="116"/>
      <c r="X719" s="1"/>
      <c r="Y719" s="1"/>
      <c r="Z719" s="1"/>
      <c r="AA719" s="1"/>
      <c r="AB719" s="656"/>
      <c r="AC719" s="1"/>
      <c r="AD719" s="116"/>
      <c r="AL719" s="656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43"/>
      <c r="BL719" s="116"/>
      <c r="BU719" s="1"/>
      <c r="BV719" s="1"/>
      <c r="BW719" s="1"/>
      <c r="BX719" s="656"/>
      <c r="BZ719" s="657"/>
      <c r="CA719" s="1"/>
      <c r="CB719" s="1"/>
      <c r="CC719" s="1"/>
      <c r="CD719" s="1"/>
      <c r="CE719" s="1"/>
      <c r="CF719" s="1"/>
      <c r="CG719" s="1"/>
      <c r="CH719" s="1"/>
      <c r="CP719" s="305"/>
      <c r="CR719" s="116"/>
      <c r="CZ719" s="1"/>
      <c r="DA719" s="1"/>
      <c r="DB719" s="1"/>
      <c r="DC719" s="1"/>
      <c r="DD719" s="1"/>
      <c r="DE719" s="1"/>
      <c r="DF719" s="1"/>
      <c r="DG719" s="1"/>
      <c r="DH719" s="656"/>
      <c r="DJ719" s="116"/>
    </row>
    <row r="720" spans="2:114" ht="15.75" customHeight="1" x14ac:dyDescent="0.25">
      <c r="B720" s="116"/>
      <c r="I720" s="656"/>
      <c r="K720" s="116"/>
      <c r="X720" s="1"/>
      <c r="Y720" s="1"/>
      <c r="Z720" s="1"/>
      <c r="AA720" s="1"/>
      <c r="AB720" s="656"/>
      <c r="AC720" s="1"/>
      <c r="AD720" s="116"/>
      <c r="AL720" s="656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43"/>
      <c r="BL720" s="116"/>
      <c r="BU720" s="1"/>
      <c r="BV720" s="1"/>
      <c r="BW720" s="1"/>
      <c r="BX720" s="656"/>
      <c r="BZ720" s="657"/>
      <c r="CA720" s="1"/>
      <c r="CB720" s="1"/>
      <c r="CC720" s="1"/>
      <c r="CD720" s="1"/>
      <c r="CE720" s="1"/>
      <c r="CF720" s="1"/>
      <c r="CG720" s="1"/>
      <c r="CH720" s="1"/>
      <c r="CP720" s="305"/>
      <c r="CR720" s="116"/>
      <c r="CZ720" s="1"/>
      <c r="DA720" s="1"/>
      <c r="DB720" s="1"/>
      <c r="DC720" s="1"/>
      <c r="DD720" s="1"/>
      <c r="DE720" s="1"/>
      <c r="DF720" s="1"/>
      <c r="DG720" s="1"/>
      <c r="DH720" s="656"/>
      <c r="DJ720" s="116"/>
    </row>
    <row r="721" spans="2:114" ht="15.75" customHeight="1" x14ac:dyDescent="0.25">
      <c r="B721" s="116"/>
      <c r="I721" s="656"/>
      <c r="K721" s="116"/>
      <c r="X721" s="1"/>
      <c r="Y721" s="1"/>
      <c r="Z721" s="1"/>
      <c r="AA721" s="1"/>
      <c r="AB721" s="656"/>
      <c r="AC721" s="1"/>
      <c r="AD721" s="116"/>
      <c r="AL721" s="656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43"/>
      <c r="BL721" s="116"/>
      <c r="BU721" s="1"/>
      <c r="BV721" s="1"/>
      <c r="BW721" s="1"/>
      <c r="BX721" s="656"/>
      <c r="BZ721" s="657"/>
      <c r="CA721" s="1"/>
      <c r="CB721" s="1"/>
      <c r="CC721" s="1"/>
      <c r="CD721" s="1"/>
      <c r="CE721" s="1"/>
      <c r="CF721" s="1"/>
      <c r="CG721" s="1"/>
      <c r="CH721" s="1"/>
      <c r="CP721" s="305"/>
      <c r="CR721" s="116"/>
      <c r="CZ721" s="1"/>
      <c r="DA721" s="1"/>
      <c r="DB721" s="1"/>
      <c r="DC721" s="1"/>
      <c r="DD721" s="1"/>
      <c r="DE721" s="1"/>
      <c r="DF721" s="1"/>
      <c r="DG721" s="1"/>
      <c r="DH721" s="656"/>
      <c r="DJ721" s="116"/>
    </row>
    <row r="722" spans="2:114" ht="15.75" customHeight="1" x14ac:dyDescent="0.25">
      <c r="B722" s="116"/>
      <c r="I722" s="656"/>
      <c r="K722" s="116"/>
      <c r="X722" s="1"/>
      <c r="Y722" s="1"/>
      <c r="Z722" s="1"/>
      <c r="AA722" s="1"/>
      <c r="AB722" s="656"/>
      <c r="AC722" s="1"/>
      <c r="AD722" s="116"/>
      <c r="AL722" s="656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43"/>
      <c r="BL722" s="116"/>
      <c r="BU722" s="1"/>
      <c r="BV722" s="1"/>
      <c r="BW722" s="1"/>
      <c r="BX722" s="656"/>
      <c r="BZ722" s="657"/>
      <c r="CA722" s="1"/>
      <c r="CB722" s="1"/>
      <c r="CC722" s="1"/>
      <c r="CD722" s="1"/>
      <c r="CE722" s="1"/>
      <c r="CF722" s="1"/>
      <c r="CG722" s="1"/>
      <c r="CH722" s="1"/>
      <c r="CP722" s="305"/>
      <c r="CR722" s="116"/>
      <c r="CZ722" s="1"/>
      <c r="DA722" s="1"/>
      <c r="DB722" s="1"/>
      <c r="DC722" s="1"/>
      <c r="DD722" s="1"/>
      <c r="DE722" s="1"/>
      <c r="DF722" s="1"/>
      <c r="DG722" s="1"/>
      <c r="DH722" s="656"/>
      <c r="DJ722" s="116"/>
    </row>
    <row r="723" spans="2:114" ht="15.75" customHeight="1" x14ac:dyDescent="0.25">
      <c r="B723" s="116"/>
      <c r="I723" s="656"/>
      <c r="K723" s="116"/>
      <c r="X723" s="1"/>
      <c r="Y723" s="1"/>
      <c r="Z723" s="1"/>
      <c r="AA723" s="1"/>
      <c r="AB723" s="656"/>
      <c r="AC723" s="1"/>
      <c r="AD723" s="116"/>
      <c r="AL723" s="656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43"/>
      <c r="BL723" s="116"/>
      <c r="BU723" s="1"/>
      <c r="BV723" s="1"/>
      <c r="BW723" s="1"/>
      <c r="BX723" s="656"/>
      <c r="BZ723" s="657"/>
      <c r="CA723" s="1"/>
      <c r="CB723" s="1"/>
      <c r="CC723" s="1"/>
      <c r="CD723" s="1"/>
      <c r="CE723" s="1"/>
      <c r="CF723" s="1"/>
      <c r="CG723" s="1"/>
      <c r="CH723" s="1"/>
      <c r="CP723" s="305"/>
      <c r="CR723" s="116"/>
      <c r="CZ723" s="1"/>
      <c r="DA723" s="1"/>
      <c r="DB723" s="1"/>
      <c r="DC723" s="1"/>
      <c r="DD723" s="1"/>
      <c r="DE723" s="1"/>
      <c r="DF723" s="1"/>
      <c r="DG723" s="1"/>
      <c r="DH723" s="656"/>
      <c r="DJ723" s="116"/>
    </row>
    <row r="724" spans="2:114" ht="15.75" customHeight="1" x14ac:dyDescent="0.25">
      <c r="B724" s="116"/>
      <c r="I724" s="656"/>
      <c r="K724" s="116"/>
      <c r="X724" s="1"/>
      <c r="Y724" s="1"/>
      <c r="Z724" s="1"/>
      <c r="AA724" s="1"/>
      <c r="AB724" s="656"/>
      <c r="AC724" s="1"/>
      <c r="AD724" s="116"/>
      <c r="AL724" s="656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43"/>
      <c r="BL724" s="116"/>
      <c r="BU724" s="1"/>
      <c r="BV724" s="1"/>
      <c r="BW724" s="1"/>
      <c r="BX724" s="656"/>
      <c r="BZ724" s="657"/>
      <c r="CA724" s="1"/>
      <c r="CB724" s="1"/>
      <c r="CC724" s="1"/>
      <c r="CD724" s="1"/>
      <c r="CE724" s="1"/>
      <c r="CF724" s="1"/>
      <c r="CG724" s="1"/>
      <c r="CH724" s="1"/>
      <c r="CP724" s="305"/>
      <c r="CR724" s="116"/>
      <c r="CZ724" s="1"/>
      <c r="DA724" s="1"/>
      <c r="DB724" s="1"/>
      <c r="DC724" s="1"/>
      <c r="DD724" s="1"/>
      <c r="DE724" s="1"/>
      <c r="DF724" s="1"/>
      <c r="DG724" s="1"/>
      <c r="DH724" s="656"/>
      <c r="DJ724" s="116"/>
    </row>
    <row r="725" spans="2:114" ht="15.75" customHeight="1" x14ac:dyDescent="0.25">
      <c r="B725" s="116"/>
      <c r="I725" s="656"/>
      <c r="K725" s="116"/>
      <c r="X725" s="1"/>
      <c r="Y725" s="1"/>
      <c r="Z725" s="1"/>
      <c r="AA725" s="1"/>
      <c r="AB725" s="656"/>
      <c r="AC725" s="1"/>
      <c r="AD725" s="116"/>
      <c r="AL725" s="656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43"/>
      <c r="BL725" s="116"/>
      <c r="BU725" s="1"/>
      <c r="BV725" s="1"/>
      <c r="BW725" s="1"/>
      <c r="BX725" s="656"/>
      <c r="BZ725" s="657"/>
      <c r="CA725" s="1"/>
      <c r="CB725" s="1"/>
      <c r="CC725" s="1"/>
      <c r="CD725" s="1"/>
      <c r="CE725" s="1"/>
      <c r="CF725" s="1"/>
      <c r="CG725" s="1"/>
      <c r="CH725" s="1"/>
      <c r="CP725" s="305"/>
      <c r="CR725" s="116"/>
      <c r="CZ725" s="1"/>
      <c r="DA725" s="1"/>
      <c r="DB725" s="1"/>
      <c r="DC725" s="1"/>
      <c r="DD725" s="1"/>
      <c r="DE725" s="1"/>
      <c r="DF725" s="1"/>
      <c r="DG725" s="1"/>
      <c r="DH725" s="656"/>
      <c r="DJ725" s="116"/>
    </row>
    <row r="726" spans="2:114" ht="15.75" customHeight="1" x14ac:dyDescent="0.25">
      <c r="B726" s="116"/>
      <c r="I726" s="656"/>
      <c r="K726" s="116"/>
      <c r="X726" s="1"/>
      <c r="Y726" s="1"/>
      <c r="Z726" s="1"/>
      <c r="AA726" s="1"/>
      <c r="AB726" s="656"/>
      <c r="AC726" s="1"/>
      <c r="AD726" s="116"/>
      <c r="AL726" s="656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43"/>
      <c r="BL726" s="116"/>
      <c r="BU726" s="1"/>
      <c r="BV726" s="1"/>
      <c r="BW726" s="1"/>
      <c r="BX726" s="656"/>
      <c r="BZ726" s="657"/>
      <c r="CA726" s="1"/>
      <c r="CB726" s="1"/>
      <c r="CC726" s="1"/>
      <c r="CD726" s="1"/>
      <c r="CE726" s="1"/>
      <c r="CF726" s="1"/>
      <c r="CG726" s="1"/>
      <c r="CH726" s="1"/>
      <c r="CP726" s="305"/>
      <c r="CR726" s="116"/>
      <c r="CZ726" s="1"/>
      <c r="DA726" s="1"/>
      <c r="DB726" s="1"/>
      <c r="DC726" s="1"/>
      <c r="DD726" s="1"/>
      <c r="DE726" s="1"/>
      <c r="DF726" s="1"/>
      <c r="DG726" s="1"/>
      <c r="DH726" s="656"/>
      <c r="DJ726" s="116"/>
    </row>
    <row r="727" spans="2:114" ht="15.75" customHeight="1" x14ac:dyDescent="0.25">
      <c r="B727" s="116"/>
      <c r="I727" s="656"/>
      <c r="K727" s="116"/>
      <c r="X727" s="1"/>
      <c r="Y727" s="1"/>
      <c r="Z727" s="1"/>
      <c r="AA727" s="1"/>
      <c r="AB727" s="656"/>
      <c r="AC727" s="1"/>
      <c r="AD727" s="116"/>
      <c r="AL727" s="656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43"/>
      <c r="BL727" s="116"/>
      <c r="BU727" s="1"/>
      <c r="BV727" s="1"/>
      <c r="BW727" s="1"/>
      <c r="BX727" s="656"/>
      <c r="BZ727" s="657"/>
      <c r="CA727" s="1"/>
      <c r="CB727" s="1"/>
      <c r="CC727" s="1"/>
      <c r="CD727" s="1"/>
      <c r="CE727" s="1"/>
      <c r="CF727" s="1"/>
      <c r="CG727" s="1"/>
      <c r="CH727" s="1"/>
      <c r="CP727" s="305"/>
      <c r="CR727" s="116"/>
      <c r="CZ727" s="1"/>
      <c r="DA727" s="1"/>
      <c r="DB727" s="1"/>
      <c r="DC727" s="1"/>
      <c r="DD727" s="1"/>
      <c r="DE727" s="1"/>
      <c r="DF727" s="1"/>
      <c r="DG727" s="1"/>
      <c r="DH727" s="656"/>
      <c r="DJ727" s="116"/>
    </row>
    <row r="728" spans="2:114" ht="15.75" customHeight="1" x14ac:dyDescent="0.25">
      <c r="B728" s="116"/>
      <c r="I728" s="656"/>
      <c r="K728" s="116"/>
      <c r="X728" s="1"/>
      <c r="Y728" s="1"/>
      <c r="Z728" s="1"/>
      <c r="AA728" s="1"/>
      <c r="AB728" s="656"/>
      <c r="AC728" s="1"/>
      <c r="AD728" s="116"/>
      <c r="AL728" s="656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43"/>
      <c r="BL728" s="116"/>
      <c r="BU728" s="1"/>
      <c r="BV728" s="1"/>
      <c r="BW728" s="1"/>
      <c r="BX728" s="656"/>
      <c r="BZ728" s="657"/>
      <c r="CA728" s="1"/>
      <c r="CB728" s="1"/>
      <c r="CC728" s="1"/>
      <c r="CD728" s="1"/>
      <c r="CE728" s="1"/>
      <c r="CF728" s="1"/>
      <c r="CG728" s="1"/>
      <c r="CH728" s="1"/>
      <c r="CP728" s="305"/>
      <c r="CR728" s="116"/>
      <c r="CZ728" s="1"/>
      <c r="DA728" s="1"/>
      <c r="DB728" s="1"/>
      <c r="DC728" s="1"/>
      <c r="DD728" s="1"/>
      <c r="DE728" s="1"/>
      <c r="DF728" s="1"/>
      <c r="DG728" s="1"/>
      <c r="DH728" s="656"/>
      <c r="DJ728" s="116"/>
    </row>
    <row r="729" spans="2:114" ht="15.75" customHeight="1" x14ac:dyDescent="0.25">
      <c r="B729" s="116"/>
      <c r="I729" s="656"/>
      <c r="K729" s="116"/>
      <c r="X729" s="1"/>
      <c r="Y729" s="1"/>
      <c r="Z729" s="1"/>
      <c r="AA729" s="1"/>
      <c r="AB729" s="656"/>
      <c r="AC729" s="1"/>
      <c r="AD729" s="116"/>
      <c r="AL729" s="656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43"/>
      <c r="BL729" s="116"/>
      <c r="BU729" s="1"/>
      <c r="BV729" s="1"/>
      <c r="BW729" s="1"/>
      <c r="BX729" s="656"/>
      <c r="BZ729" s="657"/>
      <c r="CA729" s="1"/>
      <c r="CB729" s="1"/>
      <c r="CC729" s="1"/>
      <c r="CD729" s="1"/>
      <c r="CE729" s="1"/>
      <c r="CF729" s="1"/>
      <c r="CG729" s="1"/>
      <c r="CH729" s="1"/>
      <c r="CP729" s="305"/>
      <c r="CR729" s="116"/>
      <c r="CZ729" s="1"/>
      <c r="DA729" s="1"/>
      <c r="DB729" s="1"/>
      <c r="DC729" s="1"/>
      <c r="DD729" s="1"/>
      <c r="DE729" s="1"/>
      <c r="DF729" s="1"/>
      <c r="DG729" s="1"/>
      <c r="DH729" s="656"/>
      <c r="DJ729" s="116"/>
    </row>
    <row r="730" spans="2:114" ht="15.75" customHeight="1" x14ac:dyDescent="0.25">
      <c r="B730" s="116"/>
      <c r="I730" s="656"/>
      <c r="K730" s="116"/>
      <c r="X730" s="1"/>
      <c r="Y730" s="1"/>
      <c r="Z730" s="1"/>
      <c r="AA730" s="1"/>
      <c r="AB730" s="656"/>
      <c r="AC730" s="1"/>
      <c r="AD730" s="116"/>
      <c r="AL730" s="656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43"/>
      <c r="BL730" s="116"/>
      <c r="BU730" s="1"/>
      <c r="BV730" s="1"/>
      <c r="BW730" s="1"/>
      <c r="BX730" s="656"/>
      <c r="BZ730" s="657"/>
      <c r="CA730" s="1"/>
      <c r="CB730" s="1"/>
      <c r="CC730" s="1"/>
      <c r="CD730" s="1"/>
      <c r="CE730" s="1"/>
      <c r="CF730" s="1"/>
      <c r="CG730" s="1"/>
      <c r="CH730" s="1"/>
      <c r="CP730" s="305"/>
      <c r="CR730" s="116"/>
      <c r="CZ730" s="1"/>
      <c r="DA730" s="1"/>
      <c r="DB730" s="1"/>
      <c r="DC730" s="1"/>
      <c r="DD730" s="1"/>
      <c r="DE730" s="1"/>
      <c r="DF730" s="1"/>
      <c r="DG730" s="1"/>
      <c r="DH730" s="656"/>
      <c r="DJ730" s="116"/>
    </row>
    <row r="731" spans="2:114" ht="15.75" customHeight="1" x14ac:dyDescent="0.25">
      <c r="B731" s="116"/>
      <c r="I731" s="656"/>
      <c r="K731" s="116"/>
      <c r="X731" s="1"/>
      <c r="Y731" s="1"/>
      <c r="Z731" s="1"/>
      <c r="AA731" s="1"/>
      <c r="AB731" s="656"/>
      <c r="AC731" s="1"/>
      <c r="AD731" s="116"/>
      <c r="AL731" s="656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43"/>
      <c r="BL731" s="116"/>
      <c r="BU731" s="1"/>
      <c r="BV731" s="1"/>
      <c r="BW731" s="1"/>
      <c r="BX731" s="656"/>
      <c r="BZ731" s="657"/>
      <c r="CA731" s="1"/>
      <c r="CB731" s="1"/>
      <c r="CC731" s="1"/>
      <c r="CD731" s="1"/>
      <c r="CE731" s="1"/>
      <c r="CF731" s="1"/>
      <c r="CG731" s="1"/>
      <c r="CH731" s="1"/>
      <c r="CP731" s="305"/>
      <c r="CR731" s="116"/>
      <c r="CZ731" s="1"/>
      <c r="DA731" s="1"/>
      <c r="DB731" s="1"/>
      <c r="DC731" s="1"/>
      <c r="DD731" s="1"/>
      <c r="DE731" s="1"/>
      <c r="DF731" s="1"/>
      <c r="DG731" s="1"/>
      <c r="DH731" s="656"/>
      <c r="DJ731" s="116"/>
    </row>
    <row r="732" spans="2:114" ht="15.75" customHeight="1" x14ac:dyDescent="0.25">
      <c r="B732" s="116"/>
      <c r="I732" s="656"/>
      <c r="K732" s="116"/>
      <c r="X732" s="1"/>
      <c r="Y732" s="1"/>
      <c r="Z732" s="1"/>
      <c r="AA732" s="1"/>
      <c r="AB732" s="656"/>
      <c r="AC732" s="1"/>
      <c r="AD732" s="116"/>
      <c r="AL732" s="656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43"/>
      <c r="BL732" s="116"/>
      <c r="BU732" s="1"/>
      <c r="BV732" s="1"/>
      <c r="BW732" s="1"/>
      <c r="BX732" s="656"/>
      <c r="BZ732" s="657"/>
      <c r="CA732" s="1"/>
      <c r="CB732" s="1"/>
      <c r="CC732" s="1"/>
      <c r="CD732" s="1"/>
      <c r="CE732" s="1"/>
      <c r="CF732" s="1"/>
      <c r="CG732" s="1"/>
      <c r="CH732" s="1"/>
      <c r="CP732" s="305"/>
      <c r="CR732" s="116"/>
      <c r="CZ732" s="1"/>
      <c r="DA732" s="1"/>
      <c r="DB732" s="1"/>
      <c r="DC732" s="1"/>
      <c r="DD732" s="1"/>
      <c r="DE732" s="1"/>
      <c r="DF732" s="1"/>
      <c r="DG732" s="1"/>
      <c r="DH732" s="656"/>
      <c r="DJ732" s="116"/>
    </row>
    <row r="733" spans="2:114" ht="15.75" customHeight="1" x14ac:dyDescent="0.25">
      <c r="B733" s="116"/>
      <c r="I733" s="656"/>
      <c r="K733" s="116"/>
      <c r="X733" s="1"/>
      <c r="Y733" s="1"/>
      <c r="Z733" s="1"/>
      <c r="AA733" s="1"/>
      <c r="AB733" s="656"/>
      <c r="AC733" s="1"/>
      <c r="AD733" s="116"/>
      <c r="AL733" s="656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43"/>
      <c r="BL733" s="116"/>
      <c r="BU733" s="1"/>
      <c r="BV733" s="1"/>
      <c r="BW733" s="1"/>
      <c r="BX733" s="656"/>
      <c r="BZ733" s="657"/>
      <c r="CA733" s="1"/>
      <c r="CB733" s="1"/>
      <c r="CC733" s="1"/>
      <c r="CD733" s="1"/>
      <c r="CE733" s="1"/>
      <c r="CF733" s="1"/>
      <c r="CG733" s="1"/>
      <c r="CH733" s="1"/>
      <c r="CP733" s="305"/>
      <c r="CR733" s="116"/>
      <c r="CZ733" s="1"/>
      <c r="DA733" s="1"/>
      <c r="DB733" s="1"/>
      <c r="DC733" s="1"/>
      <c r="DD733" s="1"/>
      <c r="DE733" s="1"/>
      <c r="DF733" s="1"/>
      <c r="DG733" s="1"/>
      <c r="DH733" s="656"/>
      <c r="DJ733" s="116"/>
    </row>
    <row r="734" spans="2:114" ht="15.75" customHeight="1" x14ac:dyDescent="0.25">
      <c r="B734" s="116"/>
      <c r="I734" s="656"/>
      <c r="K734" s="116"/>
      <c r="X734" s="1"/>
      <c r="Y734" s="1"/>
      <c r="Z734" s="1"/>
      <c r="AA734" s="1"/>
      <c r="AB734" s="656"/>
      <c r="AC734" s="1"/>
      <c r="AD734" s="116"/>
      <c r="AL734" s="656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43"/>
      <c r="BL734" s="116"/>
      <c r="BU734" s="1"/>
      <c r="BV734" s="1"/>
      <c r="BW734" s="1"/>
      <c r="BX734" s="656"/>
      <c r="BZ734" s="657"/>
      <c r="CA734" s="1"/>
      <c r="CB734" s="1"/>
      <c r="CC734" s="1"/>
      <c r="CD734" s="1"/>
      <c r="CE734" s="1"/>
      <c r="CF734" s="1"/>
      <c r="CG734" s="1"/>
      <c r="CH734" s="1"/>
      <c r="CP734" s="305"/>
      <c r="CR734" s="116"/>
      <c r="CZ734" s="1"/>
      <c r="DA734" s="1"/>
      <c r="DB734" s="1"/>
      <c r="DC734" s="1"/>
      <c r="DD734" s="1"/>
      <c r="DE734" s="1"/>
      <c r="DF734" s="1"/>
      <c r="DG734" s="1"/>
      <c r="DH734" s="656"/>
      <c r="DJ734" s="116"/>
    </row>
    <row r="735" spans="2:114" ht="15.75" customHeight="1" x14ac:dyDescent="0.25">
      <c r="B735" s="116"/>
      <c r="I735" s="656"/>
      <c r="K735" s="116"/>
      <c r="X735" s="1"/>
      <c r="Y735" s="1"/>
      <c r="Z735" s="1"/>
      <c r="AA735" s="1"/>
      <c r="AB735" s="656"/>
      <c r="AC735" s="1"/>
      <c r="AD735" s="116"/>
      <c r="AL735" s="656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43"/>
      <c r="BL735" s="116"/>
      <c r="BU735" s="1"/>
      <c r="BV735" s="1"/>
      <c r="BW735" s="1"/>
      <c r="BX735" s="656"/>
      <c r="BZ735" s="657"/>
      <c r="CA735" s="1"/>
      <c r="CB735" s="1"/>
      <c r="CC735" s="1"/>
      <c r="CD735" s="1"/>
      <c r="CE735" s="1"/>
      <c r="CF735" s="1"/>
      <c r="CG735" s="1"/>
      <c r="CH735" s="1"/>
      <c r="CP735" s="305"/>
      <c r="CR735" s="116"/>
      <c r="CZ735" s="1"/>
      <c r="DA735" s="1"/>
      <c r="DB735" s="1"/>
      <c r="DC735" s="1"/>
      <c r="DD735" s="1"/>
      <c r="DE735" s="1"/>
      <c r="DF735" s="1"/>
      <c r="DG735" s="1"/>
      <c r="DH735" s="656"/>
      <c r="DJ735" s="116"/>
    </row>
    <row r="736" spans="2:114" ht="15.75" customHeight="1" x14ac:dyDescent="0.25">
      <c r="B736" s="116"/>
      <c r="I736" s="656"/>
      <c r="K736" s="116"/>
      <c r="X736" s="1"/>
      <c r="Y736" s="1"/>
      <c r="Z736" s="1"/>
      <c r="AA736" s="1"/>
      <c r="AB736" s="656"/>
      <c r="AC736" s="1"/>
      <c r="AD736" s="116"/>
      <c r="AL736" s="656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43"/>
      <c r="BL736" s="116"/>
      <c r="BU736" s="1"/>
      <c r="BV736" s="1"/>
      <c r="BW736" s="1"/>
      <c r="BX736" s="656"/>
      <c r="BZ736" s="657"/>
      <c r="CA736" s="1"/>
      <c r="CB736" s="1"/>
      <c r="CC736" s="1"/>
      <c r="CD736" s="1"/>
      <c r="CE736" s="1"/>
      <c r="CF736" s="1"/>
      <c r="CG736" s="1"/>
      <c r="CH736" s="1"/>
      <c r="CP736" s="305"/>
      <c r="CR736" s="116"/>
      <c r="CZ736" s="1"/>
      <c r="DA736" s="1"/>
      <c r="DB736" s="1"/>
      <c r="DC736" s="1"/>
      <c r="DD736" s="1"/>
      <c r="DE736" s="1"/>
      <c r="DF736" s="1"/>
      <c r="DG736" s="1"/>
      <c r="DH736" s="656"/>
      <c r="DJ736" s="116"/>
    </row>
    <row r="737" spans="2:114" ht="15.75" customHeight="1" x14ac:dyDescent="0.25">
      <c r="B737" s="116"/>
      <c r="I737" s="656"/>
      <c r="K737" s="116"/>
      <c r="X737" s="1"/>
      <c r="Y737" s="1"/>
      <c r="Z737" s="1"/>
      <c r="AA737" s="1"/>
      <c r="AB737" s="656"/>
      <c r="AC737" s="1"/>
      <c r="AD737" s="116"/>
      <c r="AL737" s="656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43"/>
      <c r="BL737" s="116"/>
      <c r="BU737" s="1"/>
      <c r="BV737" s="1"/>
      <c r="BW737" s="1"/>
      <c r="BX737" s="656"/>
      <c r="BZ737" s="657"/>
      <c r="CA737" s="1"/>
      <c r="CB737" s="1"/>
      <c r="CC737" s="1"/>
      <c r="CD737" s="1"/>
      <c r="CE737" s="1"/>
      <c r="CF737" s="1"/>
      <c r="CG737" s="1"/>
      <c r="CH737" s="1"/>
      <c r="CP737" s="305"/>
      <c r="CR737" s="116"/>
      <c r="CZ737" s="1"/>
      <c r="DA737" s="1"/>
      <c r="DB737" s="1"/>
      <c r="DC737" s="1"/>
      <c r="DD737" s="1"/>
      <c r="DE737" s="1"/>
      <c r="DF737" s="1"/>
      <c r="DG737" s="1"/>
      <c r="DH737" s="656"/>
      <c r="DJ737" s="116"/>
    </row>
    <row r="738" spans="2:114" ht="15.75" customHeight="1" x14ac:dyDescent="0.25">
      <c r="B738" s="116"/>
      <c r="I738" s="656"/>
      <c r="K738" s="116"/>
      <c r="X738" s="1"/>
      <c r="Y738" s="1"/>
      <c r="Z738" s="1"/>
      <c r="AA738" s="1"/>
      <c r="AB738" s="656"/>
      <c r="AC738" s="1"/>
      <c r="AD738" s="116"/>
      <c r="AL738" s="656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43"/>
      <c r="BL738" s="116"/>
      <c r="BU738" s="1"/>
      <c r="BV738" s="1"/>
      <c r="BW738" s="1"/>
      <c r="BX738" s="656"/>
      <c r="BZ738" s="657"/>
      <c r="CA738" s="1"/>
      <c r="CB738" s="1"/>
      <c r="CC738" s="1"/>
      <c r="CD738" s="1"/>
      <c r="CE738" s="1"/>
      <c r="CF738" s="1"/>
      <c r="CG738" s="1"/>
      <c r="CH738" s="1"/>
      <c r="CP738" s="305"/>
      <c r="CR738" s="116"/>
      <c r="CZ738" s="1"/>
      <c r="DA738" s="1"/>
      <c r="DB738" s="1"/>
      <c r="DC738" s="1"/>
      <c r="DD738" s="1"/>
      <c r="DE738" s="1"/>
      <c r="DF738" s="1"/>
      <c r="DG738" s="1"/>
      <c r="DH738" s="656"/>
      <c r="DJ738" s="116"/>
    </row>
    <row r="739" spans="2:114" ht="15.75" customHeight="1" x14ac:dyDescent="0.25">
      <c r="B739" s="116"/>
      <c r="I739" s="656"/>
      <c r="K739" s="116"/>
      <c r="X739" s="1"/>
      <c r="Y739" s="1"/>
      <c r="Z739" s="1"/>
      <c r="AA739" s="1"/>
      <c r="AB739" s="656"/>
      <c r="AC739" s="1"/>
      <c r="AD739" s="116"/>
      <c r="AL739" s="656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43"/>
      <c r="BL739" s="116"/>
      <c r="BU739" s="1"/>
      <c r="BV739" s="1"/>
      <c r="BW739" s="1"/>
      <c r="BX739" s="656"/>
      <c r="BZ739" s="657"/>
      <c r="CA739" s="1"/>
      <c r="CB739" s="1"/>
      <c r="CC739" s="1"/>
      <c r="CD739" s="1"/>
      <c r="CE739" s="1"/>
      <c r="CF739" s="1"/>
      <c r="CG739" s="1"/>
      <c r="CH739" s="1"/>
      <c r="CP739" s="305"/>
      <c r="CR739" s="116"/>
      <c r="CZ739" s="1"/>
      <c r="DA739" s="1"/>
      <c r="DB739" s="1"/>
      <c r="DC739" s="1"/>
      <c r="DD739" s="1"/>
      <c r="DE739" s="1"/>
      <c r="DF739" s="1"/>
      <c r="DG739" s="1"/>
      <c r="DH739" s="656"/>
      <c r="DJ739" s="116"/>
    </row>
    <row r="740" spans="2:114" ht="15.75" customHeight="1" x14ac:dyDescent="0.25">
      <c r="B740" s="116"/>
      <c r="I740" s="656"/>
      <c r="K740" s="116"/>
      <c r="X740" s="1"/>
      <c r="Y740" s="1"/>
      <c r="Z740" s="1"/>
      <c r="AA740" s="1"/>
      <c r="AB740" s="656"/>
      <c r="AC740" s="1"/>
      <c r="AD740" s="116"/>
      <c r="AL740" s="656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43"/>
      <c r="BL740" s="116"/>
      <c r="BU740" s="1"/>
      <c r="BV740" s="1"/>
      <c r="BW740" s="1"/>
      <c r="BX740" s="656"/>
      <c r="BZ740" s="657"/>
      <c r="CA740" s="1"/>
      <c r="CB740" s="1"/>
      <c r="CC740" s="1"/>
      <c r="CD740" s="1"/>
      <c r="CE740" s="1"/>
      <c r="CF740" s="1"/>
      <c r="CG740" s="1"/>
      <c r="CH740" s="1"/>
      <c r="CP740" s="305"/>
      <c r="CR740" s="116"/>
      <c r="CZ740" s="1"/>
      <c r="DA740" s="1"/>
      <c r="DB740" s="1"/>
      <c r="DC740" s="1"/>
      <c r="DD740" s="1"/>
      <c r="DE740" s="1"/>
      <c r="DF740" s="1"/>
      <c r="DG740" s="1"/>
      <c r="DH740" s="656"/>
      <c r="DJ740" s="116"/>
    </row>
    <row r="741" spans="2:114" ht="15.75" customHeight="1" x14ac:dyDescent="0.25">
      <c r="B741" s="116"/>
      <c r="I741" s="656"/>
      <c r="K741" s="116"/>
      <c r="X741" s="1"/>
      <c r="Y741" s="1"/>
      <c r="Z741" s="1"/>
      <c r="AA741" s="1"/>
      <c r="AB741" s="656"/>
      <c r="AC741" s="1"/>
      <c r="AD741" s="116"/>
      <c r="AL741" s="656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43"/>
      <c r="BL741" s="116"/>
      <c r="BU741" s="1"/>
      <c r="BV741" s="1"/>
      <c r="BW741" s="1"/>
      <c r="BX741" s="656"/>
      <c r="BZ741" s="657"/>
      <c r="CA741" s="1"/>
      <c r="CB741" s="1"/>
      <c r="CC741" s="1"/>
      <c r="CD741" s="1"/>
      <c r="CE741" s="1"/>
      <c r="CF741" s="1"/>
      <c r="CG741" s="1"/>
      <c r="CH741" s="1"/>
      <c r="CP741" s="305"/>
      <c r="CR741" s="116"/>
      <c r="CZ741" s="1"/>
      <c r="DA741" s="1"/>
      <c r="DB741" s="1"/>
      <c r="DC741" s="1"/>
      <c r="DD741" s="1"/>
      <c r="DE741" s="1"/>
      <c r="DF741" s="1"/>
      <c r="DG741" s="1"/>
      <c r="DH741" s="656"/>
      <c r="DJ741" s="116"/>
    </row>
    <row r="742" spans="2:114" ht="15.75" customHeight="1" x14ac:dyDescent="0.25">
      <c r="B742" s="116"/>
      <c r="I742" s="656"/>
      <c r="K742" s="116"/>
      <c r="X742" s="1"/>
      <c r="Y742" s="1"/>
      <c r="Z742" s="1"/>
      <c r="AA742" s="1"/>
      <c r="AB742" s="656"/>
      <c r="AC742" s="1"/>
      <c r="AD742" s="116"/>
      <c r="AL742" s="656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43"/>
      <c r="BL742" s="116"/>
      <c r="BU742" s="1"/>
      <c r="BV742" s="1"/>
      <c r="BW742" s="1"/>
      <c r="BX742" s="656"/>
      <c r="BZ742" s="657"/>
      <c r="CA742" s="1"/>
      <c r="CB742" s="1"/>
      <c r="CC742" s="1"/>
      <c r="CD742" s="1"/>
      <c r="CE742" s="1"/>
      <c r="CF742" s="1"/>
      <c r="CG742" s="1"/>
      <c r="CH742" s="1"/>
      <c r="CP742" s="305"/>
      <c r="CR742" s="116"/>
      <c r="CZ742" s="1"/>
      <c r="DA742" s="1"/>
      <c r="DB742" s="1"/>
      <c r="DC742" s="1"/>
      <c r="DD742" s="1"/>
      <c r="DE742" s="1"/>
      <c r="DF742" s="1"/>
      <c r="DG742" s="1"/>
      <c r="DH742" s="656"/>
      <c r="DJ742" s="116"/>
    </row>
    <row r="743" spans="2:114" ht="15.75" customHeight="1" x14ac:dyDescent="0.25">
      <c r="B743" s="116"/>
      <c r="I743" s="656"/>
      <c r="K743" s="116"/>
      <c r="X743" s="1"/>
      <c r="Y743" s="1"/>
      <c r="Z743" s="1"/>
      <c r="AA743" s="1"/>
      <c r="AB743" s="656"/>
      <c r="AC743" s="1"/>
      <c r="AD743" s="116"/>
      <c r="AL743" s="656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43"/>
      <c r="BL743" s="116"/>
      <c r="BU743" s="1"/>
      <c r="BV743" s="1"/>
      <c r="BW743" s="1"/>
      <c r="BX743" s="656"/>
      <c r="BZ743" s="657"/>
      <c r="CA743" s="1"/>
      <c r="CB743" s="1"/>
      <c r="CC743" s="1"/>
      <c r="CD743" s="1"/>
      <c r="CE743" s="1"/>
      <c r="CF743" s="1"/>
      <c r="CG743" s="1"/>
      <c r="CH743" s="1"/>
      <c r="CP743" s="305"/>
      <c r="CR743" s="116"/>
      <c r="CZ743" s="1"/>
      <c r="DA743" s="1"/>
      <c r="DB743" s="1"/>
      <c r="DC743" s="1"/>
      <c r="DD743" s="1"/>
      <c r="DE743" s="1"/>
      <c r="DF743" s="1"/>
      <c r="DG743" s="1"/>
      <c r="DH743" s="656"/>
      <c r="DJ743" s="116"/>
    </row>
    <row r="744" spans="2:114" ht="15.75" customHeight="1" x14ac:dyDescent="0.25">
      <c r="B744" s="116"/>
      <c r="I744" s="656"/>
      <c r="K744" s="116"/>
      <c r="X744" s="1"/>
      <c r="Y744" s="1"/>
      <c r="Z744" s="1"/>
      <c r="AA744" s="1"/>
      <c r="AB744" s="656"/>
      <c r="AC744" s="1"/>
      <c r="AD744" s="116"/>
      <c r="AL744" s="656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43"/>
      <c r="BL744" s="116"/>
      <c r="BU744" s="1"/>
      <c r="BV744" s="1"/>
      <c r="BW744" s="1"/>
      <c r="BX744" s="656"/>
      <c r="BZ744" s="657"/>
      <c r="CA744" s="1"/>
      <c r="CB744" s="1"/>
      <c r="CC744" s="1"/>
      <c r="CD744" s="1"/>
      <c r="CE744" s="1"/>
      <c r="CF744" s="1"/>
      <c r="CG744" s="1"/>
      <c r="CH744" s="1"/>
      <c r="CP744" s="305"/>
      <c r="CR744" s="116"/>
      <c r="CZ744" s="1"/>
      <c r="DA744" s="1"/>
      <c r="DB744" s="1"/>
      <c r="DC744" s="1"/>
      <c r="DD744" s="1"/>
      <c r="DE744" s="1"/>
      <c r="DF744" s="1"/>
      <c r="DG744" s="1"/>
      <c r="DH744" s="656"/>
      <c r="DJ744" s="116"/>
    </row>
    <row r="745" spans="2:114" ht="15.75" customHeight="1" x14ac:dyDescent="0.25">
      <c r="B745" s="116"/>
      <c r="I745" s="656"/>
      <c r="K745" s="116"/>
      <c r="X745" s="1"/>
      <c r="Y745" s="1"/>
      <c r="Z745" s="1"/>
      <c r="AA745" s="1"/>
      <c r="AB745" s="656"/>
      <c r="AC745" s="1"/>
      <c r="AD745" s="116"/>
      <c r="AL745" s="656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43"/>
      <c r="BL745" s="116"/>
      <c r="BU745" s="1"/>
      <c r="BV745" s="1"/>
      <c r="BW745" s="1"/>
      <c r="BX745" s="656"/>
      <c r="BZ745" s="657"/>
      <c r="CA745" s="1"/>
      <c r="CB745" s="1"/>
      <c r="CC745" s="1"/>
      <c r="CD745" s="1"/>
      <c r="CE745" s="1"/>
      <c r="CF745" s="1"/>
      <c r="CG745" s="1"/>
      <c r="CH745" s="1"/>
      <c r="CP745" s="305"/>
      <c r="CR745" s="116"/>
      <c r="CZ745" s="1"/>
      <c r="DA745" s="1"/>
      <c r="DB745" s="1"/>
      <c r="DC745" s="1"/>
      <c r="DD745" s="1"/>
      <c r="DE745" s="1"/>
      <c r="DF745" s="1"/>
      <c r="DG745" s="1"/>
      <c r="DH745" s="656"/>
      <c r="DJ745" s="116"/>
    </row>
    <row r="746" spans="2:114" ht="15.75" customHeight="1" x14ac:dyDescent="0.25">
      <c r="B746" s="116"/>
      <c r="I746" s="656"/>
      <c r="K746" s="116"/>
      <c r="X746" s="1"/>
      <c r="Y746" s="1"/>
      <c r="Z746" s="1"/>
      <c r="AA746" s="1"/>
      <c r="AB746" s="656"/>
      <c r="AC746" s="1"/>
      <c r="AD746" s="116"/>
      <c r="AL746" s="656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43"/>
      <c r="BL746" s="116"/>
      <c r="BU746" s="1"/>
      <c r="BV746" s="1"/>
      <c r="BW746" s="1"/>
      <c r="BX746" s="656"/>
      <c r="BZ746" s="657"/>
      <c r="CA746" s="1"/>
      <c r="CB746" s="1"/>
      <c r="CC746" s="1"/>
      <c r="CD746" s="1"/>
      <c r="CE746" s="1"/>
      <c r="CF746" s="1"/>
      <c r="CG746" s="1"/>
      <c r="CH746" s="1"/>
      <c r="CP746" s="305"/>
      <c r="CR746" s="116"/>
      <c r="CZ746" s="1"/>
      <c r="DA746" s="1"/>
      <c r="DB746" s="1"/>
      <c r="DC746" s="1"/>
      <c r="DD746" s="1"/>
      <c r="DE746" s="1"/>
      <c r="DF746" s="1"/>
      <c r="DG746" s="1"/>
      <c r="DH746" s="656"/>
      <c r="DJ746" s="116"/>
    </row>
    <row r="747" spans="2:114" ht="15.75" customHeight="1" x14ac:dyDescent="0.25">
      <c r="B747" s="116"/>
      <c r="I747" s="656"/>
      <c r="K747" s="116"/>
      <c r="X747" s="1"/>
      <c r="Y747" s="1"/>
      <c r="Z747" s="1"/>
      <c r="AA747" s="1"/>
      <c r="AB747" s="656"/>
      <c r="AC747" s="1"/>
      <c r="AD747" s="116"/>
      <c r="AL747" s="656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43"/>
      <c r="BL747" s="116"/>
      <c r="BU747" s="1"/>
      <c r="BV747" s="1"/>
      <c r="BW747" s="1"/>
      <c r="BX747" s="656"/>
      <c r="BZ747" s="657"/>
      <c r="CA747" s="1"/>
      <c r="CB747" s="1"/>
      <c r="CC747" s="1"/>
      <c r="CD747" s="1"/>
      <c r="CE747" s="1"/>
      <c r="CF747" s="1"/>
      <c r="CG747" s="1"/>
      <c r="CH747" s="1"/>
      <c r="CP747" s="305"/>
      <c r="CR747" s="116"/>
      <c r="CZ747" s="1"/>
      <c r="DA747" s="1"/>
      <c r="DB747" s="1"/>
      <c r="DC747" s="1"/>
      <c r="DD747" s="1"/>
      <c r="DE747" s="1"/>
      <c r="DF747" s="1"/>
      <c r="DG747" s="1"/>
      <c r="DH747" s="656"/>
      <c r="DJ747" s="116"/>
    </row>
    <row r="748" spans="2:114" ht="15.75" customHeight="1" x14ac:dyDescent="0.25">
      <c r="B748" s="116"/>
      <c r="I748" s="656"/>
      <c r="K748" s="116"/>
      <c r="X748" s="1"/>
      <c r="Y748" s="1"/>
      <c r="Z748" s="1"/>
      <c r="AA748" s="1"/>
      <c r="AB748" s="656"/>
      <c r="AC748" s="1"/>
      <c r="AD748" s="116"/>
      <c r="AL748" s="656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43"/>
      <c r="BL748" s="116"/>
      <c r="BU748" s="1"/>
      <c r="BV748" s="1"/>
      <c r="BW748" s="1"/>
      <c r="BX748" s="656"/>
      <c r="BZ748" s="657"/>
      <c r="CA748" s="1"/>
      <c r="CB748" s="1"/>
      <c r="CC748" s="1"/>
      <c r="CD748" s="1"/>
      <c r="CE748" s="1"/>
      <c r="CF748" s="1"/>
      <c r="CG748" s="1"/>
      <c r="CH748" s="1"/>
      <c r="CP748" s="305"/>
      <c r="CR748" s="116"/>
      <c r="CZ748" s="1"/>
      <c r="DA748" s="1"/>
      <c r="DB748" s="1"/>
      <c r="DC748" s="1"/>
      <c r="DD748" s="1"/>
      <c r="DE748" s="1"/>
      <c r="DF748" s="1"/>
      <c r="DG748" s="1"/>
      <c r="DH748" s="656"/>
      <c r="DJ748" s="116"/>
    </row>
    <row r="749" spans="2:114" ht="15.75" customHeight="1" x14ac:dyDescent="0.25">
      <c r="B749" s="116"/>
      <c r="I749" s="656"/>
      <c r="K749" s="116"/>
      <c r="X749" s="1"/>
      <c r="Y749" s="1"/>
      <c r="Z749" s="1"/>
      <c r="AA749" s="1"/>
      <c r="AB749" s="656"/>
      <c r="AC749" s="1"/>
      <c r="AD749" s="116"/>
      <c r="AL749" s="656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43"/>
      <c r="BL749" s="116"/>
      <c r="BU749" s="1"/>
      <c r="BV749" s="1"/>
      <c r="BW749" s="1"/>
      <c r="BX749" s="656"/>
      <c r="BZ749" s="657"/>
      <c r="CA749" s="1"/>
      <c r="CB749" s="1"/>
      <c r="CC749" s="1"/>
      <c r="CD749" s="1"/>
      <c r="CE749" s="1"/>
      <c r="CF749" s="1"/>
      <c r="CG749" s="1"/>
      <c r="CH749" s="1"/>
      <c r="CP749" s="305"/>
      <c r="CR749" s="116"/>
      <c r="CZ749" s="1"/>
      <c r="DA749" s="1"/>
      <c r="DB749" s="1"/>
      <c r="DC749" s="1"/>
      <c r="DD749" s="1"/>
      <c r="DE749" s="1"/>
      <c r="DF749" s="1"/>
      <c r="DG749" s="1"/>
      <c r="DH749" s="656"/>
      <c r="DJ749" s="116"/>
    </row>
    <row r="750" spans="2:114" ht="15.75" customHeight="1" x14ac:dyDescent="0.25">
      <c r="B750" s="116"/>
      <c r="I750" s="656"/>
      <c r="K750" s="116"/>
      <c r="X750" s="1"/>
      <c r="Y750" s="1"/>
      <c r="Z750" s="1"/>
      <c r="AA750" s="1"/>
      <c r="AB750" s="656"/>
      <c r="AC750" s="1"/>
      <c r="AD750" s="116"/>
      <c r="AL750" s="656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43"/>
      <c r="BL750" s="116"/>
      <c r="BU750" s="1"/>
      <c r="BV750" s="1"/>
      <c r="BW750" s="1"/>
      <c r="BX750" s="656"/>
      <c r="BZ750" s="657"/>
      <c r="CA750" s="1"/>
      <c r="CB750" s="1"/>
      <c r="CC750" s="1"/>
      <c r="CD750" s="1"/>
      <c r="CE750" s="1"/>
      <c r="CF750" s="1"/>
      <c r="CG750" s="1"/>
      <c r="CH750" s="1"/>
      <c r="CP750" s="305"/>
      <c r="CR750" s="116"/>
      <c r="CZ750" s="1"/>
      <c r="DA750" s="1"/>
      <c r="DB750" s="1"/>
      <c r="DC750" s="1"/>
      <c r="DD750" s="1"/>
      <c r="DE750" s="1"/>
      <c r="DF750" s="1"/>
      <c r="DG750" s="1"/>
      <c r="DH750" s="656"/>
      <c r="DJ750" s="116"/>
    </row>
    <row r="751" spans="2:114" ht="15.75" customHeight="1" x14ac:dyDescent="0.25">
      <c r="B751" s="116"/>
      <c r="I751" s="656"/>
      <c r="K751" s="116"/>
      <c r="X751" s="1"/>
      <c r="Y751" s="1"/>
      <c r="Z751" s="1"/>
      <c r="AA751" s="1"/>
      <c r="AB751" s="656"/>
      <c r="AC751" s="1"/>
      <c r="AD751" s="116"/>
      <c r="AL751" s="656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43"/>
      <c r="BL751" s="116"/>
      <c r="BU751" s="1"/>
      <c r="BV751" s="1"/>
      <c r="BW751" s="1"/>
      <c r="BX751" s="656"/>
      <c r="BZ751" s="657"/>
      <c r="CA751" s="1"/>
      <c r="CB751" s="1"/>
      <c r="CC751" s="1"/>
      <c r="CD751" s="1"/>
      <c r="CE751" s="1"/>
      <c r="CF751" s="1"/>
      <c r="CG751" s="1"/>
      <c r="CH751" s="1"/>
      <c r="CP751" s="305"/>
      <c r="CR751" s="116"/>
      <c r="CZ751" s="1"/>
      <c r="DA751" s="1"/>
      <c r="DB751" s="1"/>
      <c r="DC751" s="1"/>
      <c r="DD751" s="1"/>
      <c r="DE751" s="1"/>
      <c r="DF751" s="1"/>
      <c r="DG751" s="1"/>
      <c r="DH751" s="656"/>
      <c r="DJ751" s="116"/>
    </row>
    <row r="752" spans="2:114" ht="15.75" customHeight="1" x14ac:dyDescent="0.25">
      <c r="B752" s="116"/>
      <c r="I752" s="656"/>
      <c r="K752" s="116"/>
      <c r="X752" s="1"/>
      <c r="Y752" s="1"/>
      <c r="Z752" s="1"/>
      <c r="AA752" s="1"/>
      <c r="AB752" s="656"/>
      <c r="AC752" s="1"/>
      <c r="AD752" s="116"/>
      <c r="AL752" s="656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43"/>
      <c r="BL752" s="116"/>
      <c r="BU752" s="1"/>
      <c r="BV752" s="1"/>
      <c r="BW752" s="1"/>
      <c r="BX752" s="656"/>
      <c r="BZ752" s="657"/>
      <c r="CA752" s="1"/>
      <c r="CB752" s="1"/>
      <c r="CC752" s="1"/>
      <c r="CD752" s="1"/>
      <c r="CE752" s="1"/>
      <c r="CF752" s="1"/>
      <c r="CG752" s="1"/>
      <c r="CH752" s="1"/>
      <c r="CP752" s="305"/>
      <c r="CR752" s="116"/>
      <c r="CZ752" s="1"/>
      <c r="DA752" s="1"/>
      <c r="DB752" s="1"/>
      <c r="DC752" s="1"/>
      <c r="DD752" s="1"/>
      <c r="DE752" s="1"/>
      <c r="DF752" s="1"/>
      <c r="DG752" s="1"/>
      <c r="DH752" s="656"/>
      <c r="DJ752" s="116"/>
    </row>
    <row r="753" spans="2:114" ht="15.75" customHeight="1" x14ac:dyDescent="0.25">
      <c r="B753" s="116"/>
      <c r="I753" s="656"/>
      <c r="K753" s="116"/>
      <c r="X753" s="1"/>
      <c r="Y753" s="1"/>
      <c r="Z753" s="1"/>
      <c r="AA753" s="1"/>
      <c r="AB753" s="656"/>
      <c r="AC753" s="1"/>
      <c r="AD753" s="116"/>
      <c r="AL753" s="656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43"/>
      <c r="BL753" s="116"/>
      <c r="BU753" s="1"/>
      <c r="BV753" s="1"/>
      <c r="BW753" s="1"/>
      <c r="BX753" s="656"/>
      <c r="BZ753" s="657"/>
      <c r="CA753" s="1"/>
      <c r="CB753" s="1"/>
      <c r="CC753" s="1"/>
      <c r="CD753" s="1"/>
      <c r="CE753" s="1"/>
      <c r="CF753" s="1"/>
      <c r="CG753" s="1"/>
      <c r="CH753" s="1"/>
      <c r="CP753" s="305"/>
      <c r="CR753" s="116"/>
      <c r="CZ753" s="1"/>
      <c r="DA753" s="1"/>
      <c r="DB753" s="1"/>
      <c r="DC753" s="1"/>
      <c r="DD753" s="1"/>
      <c r="DE753" s="1"/>
      <c r="DF753" s="1"/>
      <c r="DG753" s="1"/>
      <c r="DH753" s="656"/>
      <c r="DJ753" s="116"/>
    </row>
    <row r="754" spans="2:114" ht="15.75" customHeight="1" x14ac:dyDescent="0.25">
      <c r="B754" s="116"/>
      <c r="I754" s="656"/>
      <c r="K754" s="116"/>
      <c r="X754" s="1"/>
      <c r="Y754" s="1"/>
      <c r="Z754" s="1"/>
      <c r="AA754" s="1"/>
      <c r="AB754" s="656"/>
      <c r="AC754" s="1"/>
      <c r="AD754" s="116"/>
      <c r="AL754" s="656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43"/>
      <c r="BL754" s="116"/>
      <c r="BU754" s="1"/>
      <c r="BV754" s="1"/>
      <c r="BW754" s="1"/>
      <c r="BX754" s="656"/>
      <c r="BZ754" s="657"/>
      <c r="CA754" s="1"/>
      <c r="CB754" s="1"/>
      <c r="CC754" s="1"/>
      <c r="CD754" s="1"/>
      <c r="CE754" s="1"/>
      <c r="CF754" s="1"/>
      <c r="CG754" s="1"/>
      <c r="CH754" s="1"/>
      <c r="CP754" s="305"/>
      <c r="CR754" s="116"/>
      <c r="CZ754" s="1"/>
      <c r="DA754" s="1"/>
      <c r="DB754" s="1"/>
      <c r="DC754" s="1"/>
      <c r="DD754" s="1"/>
      <c r="DE754" s="1"/>
      <c r="DF754" s="1"/>
      <c r="DG754" s="1"/>
      <c r="DH754" s="656"/>
      <c r="DJ754" s="116"/>
    </row>
    <row r="755" spans="2:114" ht="15.75" customHeight="1" x14ac:dyDescent="0.25">
      <c r="B755" s="116"/>
      <c r="I755" s="656"/>
      <c r="K755" s="116"/>
      <c r="X755" s="1"/>
      <c r="Y755" s="1"/>
      <c r="Z755" s="1"/>
      <c r="AA755" s="1"/>
      <c r="AB755" s="656"/>
      <c r="AC755" s="1"/>
      <c r="AD755" s="116"/>
      <c r="AL755" s="656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43"/>
      <c r="BL755" s="116"/>
      <c r="BU755" s="1"/>
      <c r="BV755" s="1"/>
      <c r="BW755" s="1"/>
      <c r="BX755" s="656"/>
      <c r="BZ755" s="657"/>
      <c r="CA755" s="1"/>
      <c r="CB755" s="1"/>
      <c r="CC755" s="1"/>
      <c r="CD755" s="1"/>
      <c r="CE755" s="1"/>
      <c r="CF755" s="1"/>
      <c r="CG755" s="1"/>
      <c r="CH755" s="1"/>
      <c r="CP755" s="305"/>
      <c r="CR755" s="116"/>
      <c r="CZ755" s="1"/>
      <c r="DA755" s="1"/>
      <c r="DB755" s="1"/>
      <c r="DC755" s="1"/>
      <c r="DD755" s="1"/>
      <c r="DE755" s="1"/>
      <c r="DF755" s="1"/>
      <c r="DG755" s="1"/>
      <c r="DH755" s="656"/>
      <c r="DJ755" s="116"/>
    </row>
    <row r="756" spans="2:114" ht="15.75" customHeight="1" x14ac:dyDescent="0.25">
      <c r="B756" s="116"/>
      <c r="I756" s="656"/>
      <c r="K756" s="116"/>
      <c r="X756" s="1"/>
      <c r="Y756" s="1"/>
      <c r="Z756" s="1"/>
      <c r="AA756" s="1"/>
      <c r="AB756" s="656"/>
      <c r="AC756" s="1"/>
      <c r="AD756" s="116"/>
      <c r="AL756" s="656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43"/>
      <c r="BL756" s="116"/>
      <c r="BU756" s="1"/>
      <c r="BV756" s="1"/>
      <c r="BW756" s="1"/>
      <c r="BX756" s="656"/>
      <c r="BZ756" s="657"/>
      <c r="CA756" s="1"/>
      <c r="CB756" s="1"/>
      <c r="CC756" s="1"/>
      <c r="CD756" s="1"/>
      <c r="CE756" s="1"/>
      <c r="CF756" s="1"/>
      <c r="CG756" s="1"/>
      <c r="CH756" s="1"/>
      <c r="CP756" s="305"/>
      <c r="CR756" s="116"/>
      <c r="CZ756" s="1"/>
      <c r="DA756" s="1"/>
      <c r="DB756" s="1"/>
      <c r="DC756" s="1"/>
      <c r="DD756" s="1"/>
      <c r="DE756" s="1"/>
      <c r="DF756" s="1"/>
      <c r="DG756" s="1"/>
      <c r="DH756" s="656"/>
      <c r="DJ756" s="116"/>
    </row>
    <row r="757" spans="2:114" ht="15.75" customHeight="1" x14ac:dyDescent="0.25">
      <c r="B757" s="116"/>
      <c r="I757" s="656"/>
      <c r="K757" s="116"/>
      <c r="X757" s="1"/>
      <c r="Y757" s="1"/>
      <c r="Z757" s="1"/>
      <c r="AA757" s="1"/>
      <c r="AB757" s="656"/>
      <c r="AC757" s="1"/>
      <c r="AD757" s="116"/>
      <c r="AL757" s="656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43"/>
      <c r="BL757" s="116"/>
      <c r="BU757" s="1"/>
      <c r="BV757" s="1"/>
      <c r="BW757" s="1"/>
      <c r="BX757" s="656"/>
      <c r="BZ757" s="657"/>
      <c r="CA757" s="1"/>
      <c r="CB757" s="1"/>
      <c r="CC757" s="1"/>
      <c r="CD757" s="1"/>
      <c r="CE757" s="1"/>
      <c r="CF757" s="1"/>
      <c r="CG757" s="1"/>
      <c r="CH757" s="1"/>
      <c r="CP757" s="305"/>
      <c r="CR757" s="116"/>
      <c r="CZ757" s="1"/>
      <c r="DA757" s="1"/>
      <c r="DB757" s="1"/>
      <c r="DC757" s="1"/>
      <c r="DD757" s="1"/>
      <c r="DE757" s="1"/>
      <c r="DF757" s="1"/>
      <c r="DG757" s="1"/>
      <c r="DH757" s="656"/>
      <c r="DJ757" s="116"/>
    </row>
    <row r="758" spans="2:114" ht="15.75" customHeight="1" x14ac:dyDescent="0.25">
      <c r="B758" s="116"/>
      <c r="I758" s="656"/>
      <c r="K758" s="116"/>
      <c r="X758" s="1"/>
      <c r="Y758" s="1"/>
      <c r="Z758" s="1"/>
      <c r="AA758" s="1"/>
      <c r="AB758" s="656"/>
      <c r="AC758" s="1"/>
      <c r="AD758" s="116"/>
      <c r="AL758" s="656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43"/>
      <c r="BL758" s="116"/>
      <c r="BU758" s="1"/>
      <c r="BV758" s="1"/>
      <c r="BW758" s="1"/>
      <c r="BX758" s="656"/>
      <c r="BZ758" s="657"/>
      <c r="CA758" s="1"/>
      <c r="CB758" s="1"/>
      <c r="CC758" s="1"/>
      <c r="CD758" s="1"/>
      <c r="CE758" s="1"/>
      <c r="CF758" s="1"/>
      <c r="CG758" s="1"/>
      <c r="CH758" s="1"/>
      <c r="CP758" s="305"/>
      <c r="CR758" s="116"/>
      <c r="CZ758" s="1"/>
      <c r="DA758" s="1"/>
      <c r="DB758" s="1"/>
      <c r="DC758" s="1"/>
      <c r="DD758" s="1"/>
      <c r="DE758" s="1"/>
      <c r="DF758" s="1"/>
      <c r="DG758" s="1"/>
      <c r="DH758" s="656"/>
      <c r="DJ758" s="116"/>
    </row>
    <row r="759" spans="2:114" ht="15.75" customHeight="1" x14ac:dyDescent="0.25">
      <c r="B759" s="116"/>
      <c r="I759" s="656"/>
      <c r="K759" s="116"/>
      <c r="X759" s="1"/>
      <c r="Y759" s="1"/>
      <c r="Z759" s="1"/>
      <c r="AA759" s="1"/>
      <c r="AB759" s="656"/>
      <c r="AC759" s="1"/>
      <c r="AD759" s="116"/>
      <c r="AL759" s="656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43"/>
      <c r="BL759" s="116"/>
      <c r="BU759" s="1"/>
      <c r="BV759" s="1"/>
      <c r="BW759" s="1"/>
      <c r="BX759" s="656"/>
      <c r="BZ759" s="657"/>
      <c r="CA759" s="1"/>
      <c r="CB759" s="1"/>
      <c r="CC759" s="1"/>
      <c r="CD759" s="1"/>
      <c r="CE759" s="1"/>
      <c r="CF759" s="1"/>
      <c r="CG759" s="1"/>
      <c r="CH759" s="1"/>
      <c r="CP759" s="305"/>
      <c r="CR759" s="116"/>
      <c r="CZ759" s="1"/>
      <c r="DA759" s="1"/>
      <c r="DB759" s="1"/>
      <c r="DC759" s="1"/>
      <c r="DD759" s="1"/>
      <c r="DE759" s="1"/>
      <c r="DF759" s="1"/>
      <c r="DG759" s="1"/>
      <c r="DH759" s="656"/>
      <c r="DJ759" s="116"/>
    </row>
    <row r="760" spans="2:114" ht="15.75" customHeight="1" x14ac:dyDescent="0.25">
      <c r="B760" s="116"/>
      <c r="I760" s="656"/>
      <c r="K760" s="116"/>
      <c r="X760" s="1"/>
      <c r="Y760" s="1"/>
      <c r="Z760" s="1"/>
      <c r="AA760" s="1"/>
      <c r="AB760" s="656"/>
      <c r="AC760" s="1"/>
      <c r="AD760" s="116"/>
      <c r="AL760" s="656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43"/>
      <c r="BL760" s="116"/>
      <c r="BU760" s="1"/>
      <c r="BV760" s="1"/>
      <c r="BW760" s="1"/>
      <c r="BX760" s="656"/>
      <c r="BZ760" s="657"/>
      <c r="CA760" s="1"/>
      <c r="CB760" s="1"/>
      <c r="CC760" s="1"/>
      <c r="CD760" s="1"/>
      <c r="CE760" s="1"/>
      <c r="CF760" s="1"/>
      <c r="CG760" s="1"/>
      <c r="CH760" s="1"/>
      <c r="CP760" s="305"/>
      <c r="CR760" s="116"/>
      <c r="CZ760" s="1"/>
      <c r="DA760" s="1"/>
      <c r="DB760" s="1"/>
      <c r="DC760" s="1"/>
      <c r="DD760" s="1"/>
      <c r="DE760" s="1"/>
      <c r="DF760" s="1"/>
      <c r="DG760" s="1"/>
      <c r="DH760" s="656"/>
      <c r="DJ760" s="116"/>
    </row>
    <row r="761" spans="2:114" ht="15.75" customHeight="1" x14ac:dyDescent="0.25">
      <c r="B761" s="116"/>
      <c r="I761" s="656"/>
      <c r="K761" s="116"/>
      <c r="X761" s="1"/>
      <c r="Y761" s="1"/>
      <c r="Z761" s="1"/>
      <c r="AA761" s="1"/>
      <c r="AB761" s="656"/>
      <c r="AC761" s="1"/>
      <c r="AD761" s="116"/>
      <c r="AL761" s="656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43"/>
      <c r="BL761" s="116"/>
      <c r="BU761" s="1"/>
      <c r="BV761" s="1"/>
      <c r="BW761" s="1"/>
      <c r="BX761" s="656"/>
      <c r="BZ761" s="657"/>
      <c r="CA761" s="1"/>
      <c r="CB761" s="1"/>
      <c r="CC761" s="1"/>
      <c r="CD761" s="1"/>
      <c r="CE761" s="1"/>
      <c r="CF761" s="1"/>
      <c r="CG761" s="1"/>
      <c r="CH761" s="1"/>
      <c r="CP761" s="305"/>
      <c r="CR761" s="116"/>
      <c r="CZ761" s="1"/>
      <c r="DA761" s="1"/>
      <c r="DB761" s="1"/>
      <c r="DC761" s="1"/>
      <c r="DD761" s="1"/>
      <c r="DE761" s="1"/>
      <c r="DF761" s="1"/>
      <c r="DG761" s="1"/>
      <c r="DH761" s="656"/>
      <c r="DJ761" s="116"/>
    </row>
    <row r="762" spans="2:114" ht="15.75" customHeight="1" x14ac:dyDescent="0.25">
      <c r="B762" s="116"/>
      <c r="I762" s="656"/>
      <c r="K762" s="116"/>
      <c r="X762" s="1"/>
      <c r="Y762" s="1"/>
      <c r="Z762" s="1"/>
      <c r="AA762" s="1"/>
      <c r="AB762" s="656"/>
      <c r="AC762" s="1"/>
      <c r="AD762" s="116"/>
      <c r="AL762" s="656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43"/>
      <c r="BL762" s="116"/>
      <c r="BU762" s="1"/>
      <c r="BV762" s="1"/>
      <c r="BW762" s="1"/>
      <c r="BX762" s="656"/>
      <c r="BZ762" s="657"/>
      <c r="CA762" s="1"/>
      <c r="CB762" s="1"/>
      <c r="CC762" s="1"/>
      <c r="CD762" s="1"/>
      <c r="CE762" s="1"/>
      <c r="CF762" s="1"/>
      <c r="CG762" s="1"/>
      <c r="CH762" s="1"/>
      <c r="CP762" s="305"/>
      <c r="CR762" s="116"/>
      <c r="CZ762" s="1"/>
      <c r="DA762" s="1"/>
      <c r="DB762" s="1"/>
      <c r="DC762" s="1"/>
      <c r="DD762" s="1"/>
      <c r="DE762" s="1"/>
      <c r="DF762" s="1"/>
      <c r="DG762" s="1"/>
      <c r="DH762" s="656"/>
      <c r="DJ762" s="116"/>
    </row>
    <row r="763" spans="2:114" ht="15.75" customHeight="1" x14ac:dyDescent="0.25">
      <c r="B763" s="116"/>
      <c r="I763" s="656"/>
      <c r="K763" s="116"/>
      <c r="X763" s="1"/>
      <c r="Y763" s="1"/>
      <c r="Z763" s="1"/>
      <c r="AA763" s="1"/>
      <c r="AB763" s="656"/>
      <c r="AC763" s="1"/>
      <c r="AD763" s="116"/>
      <c r="AL763" s="656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43"/>
      <c r="BL763" s="116"/>
      <c r="BU763" s="1"/>
      <c r="BV763" s="1"/>
      <c r="BW763" s="1"/>
      <c r="BX763" s="656"/>
      <c r="BZ763" s="657"/>
      <c r="CA763" s="1"/>
      <c r="CB763" s="1"/>
      <c r="CC763" s="1"/>
      <c r="CD763" s="1"/>
      <c r="CE763" s="1"/>
      <c r="CF763" s="1"/>
      <c r="CG763" s="1"/>
      <c r="CH763" s="1"/>
      <c r="CP763" s="305"/>
      <c r="CR763" s="116"/>
      <c r="CZ763" s="1"/>
      <c r="DA763" s="1"/>
      <c r="DB763" s="1"/>
      <c r="DC763" s="1"/>
      <c r="DD763" s="1"/>
      <c r="DE763" s="1"/>
      <c r="DF763" s="1"/>
      <c r="DG763" s="1"/>
      <c r="DH763" s="656"/>
      <c r="DJ763" s="116"/>
    </row>
    <row r="764" spans="2:114" ht="15.75" customHeight="1" x14ac:dyDescent="0.25">
      <c r="B764" s="116"/>
      <c r="I764" s="656"/>
      <c r="K764" s="116"/>
      <c r="X764" s="1"/>
      <c r="Y764" s="1"/>
      <c r="Z764" s="1"/>
      <c r="AA764" s="1"/>
      <c r="AB764" s="656"/>
      <c r="AC764" s="1"/>
      <c r="AD764" s="116"/>
      <c r="AL764" s="656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43"/>
      <c r="BL764" s="116"/>
      <c r="BU764" s="1"/>
      <c r="BV764" s="1"/>
      <c r="BW764" s="1"/>
      <c r="BX764" s="656"/>
      <c r="BZ764" s="657"/>
      <c r="CA764" s="1"/>
      <c r="CB764" s="1"/>
      <c r="CC764" s="1"/>
      <c r="CD764" s="1"/>
      <c r="CE764" s="1"/>
      <c r="CF764" s="1"/>
      <c r="CG764" s="1"/>
      <c r="CH764" s="1"/>
      <c r="CP764" s="305"/>
      <c r="CR764" s="116"/>
      <c r="CZ764" s="1"/>
      <c r="DA764" s="1"/>
      <c r="DB764" s="1"/>
      <c r="DC764" s="1"/>
      <c r="DD764" s="1"/>
      <c r="DE764" s="1"/>
      <c r="DF764" s="1"/>
      <c r="DG764" s="1"/>
      <c r="DH764" s="656"/>
      <c r="DJ764" s="116"/>
    </row>
    <row r="765" spans="2:114" ht="15.75" customHeight="1" x14ac:dyDescent="0.25">
      <c r="B765" s="116"/>
      <c r="I765" s="656"/>
      <c r="K765" s="116"/>
      <c r="X765" s="1"/>
      <c r="Y765" s="1"/>
      <c r="Z765" s="1"/>
      <c r="AA765" s="1"/>
      <c r="AB765" s="656"/>
      <c r="AC765" s="1"/>
      <c r="AD765" s="116"/>
      <c r="AL765" s="656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43"/>
      <c r="BL765" s="116"/>
      <c r="BU765" s="1"/>
      <c r="BV765" s="1"/>
      <c r="BW765" s="1"/>
      <c r="BX765" s="656"/>
      <c r="BZ765" s="657"/>
      <c r="CA765" s="1"/>
      <c r="CB765" s="1"/>
      <c r="CC765" s="1"/>
      <c r="CD765" s="1"/>
      <c r="CE765" s="1"/>
      <c r="CF765" s="1"/>
      <c r="CG765" s="1"/>
      <c r="CH765" s="1"/>
      <c r="CP765" s="305"/>
      <c r="CR765" s="116"/>
      <c r="CZ765" s="1"/>
      <c r="DA765" s="1"/>
      <c r="DB765" s="1"/>
      <c r="DC765" s="1"/>
      <c r="DD765" s="1"/>
      <c r="DE765" s="1"/>
      <c r="DF765" s="1"/>
      <c r="DG765" s="1"/>
      <c r="DH765" s="656"/>
      <c r="DJ765" s="116"/>
    </row>
    <row r="766" spans="2:114" ht="15.75" customHeight="1" x14ac:dyDescent="0.25">
      <c r="B766" s="116"/>
      <c r="I766" s="656"/>
      <c r="K766" s="116"/>
      <c r="X766" s="1"/>
      <c r="Y766" s="1"/>
      <c r="Z766" s="1"/>
      <c r="AA766" s="1"/>
      <c r="AB766" s="656"/>
      <c r="AC766" s="1"/>
      <c r="AD766" s="116"/>
      <c r="AL766" s="656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43"/>
      <c r="BL766" s="116"/>
      <c r="BU766" s="1"/>
      <c r="BV766" s="1"/>
      <c r="BW766" s="1"/>
      <c r="BX766" s="656"/>
      <c r="BZ766" s="657"/>
      <c r="CA766" s="1"/>
      <c r="CB766" s="1"/>
      <c r="CC766" s="1"/>
      <c r="CD766" s="1"/>
      <c r="CE766" s="1"/>
      <c r="CF766" s="1"/>
      <c r="CG766" s="1"/>
      <c r="CH766" s="1"/>
      <c r="CP766" s="305"/>
      <c r="CR766" s="116"/>
      <c r="CZ766" s="1"/>
      <c r="DA766" s="1"/>
      <c r="DB766" s="1"/>
      <c r="DC766" s="1"/>
      <c r="DD766" s="1"/>
      <c r="DE766" s="1"/>
      <c r="DF766" s="1"/>
      <c r="DG766" s="1"/>
      <c r="DH766" s="656"/>
      <c r="DJ766" s="116"/>
    </row>
    <row r="767" spans="2:114" ht="15.75" customHeight="1" x14ac:dyDescent="0.25">
      <c r="B767" s="116"/>
      <c r="I767" s="656"/>
      <c r="K767" s="116"/>
      <c r="X767" s="1"/>
      <c r="Y767" s="1"/>
      <c r="Z767" s="1"/>
      <c r="AA767" s="1"/>
      <c r="AB767" s="656"/>
      <c r="AC767" s="1"/>
      <c r="AD767" s="116"/>
      <c r="AL767" s="656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43"/>
      <c r="BL767" s="116"/>
      <c r="BU767" s="1"/>
      <c r="BV767" s="1"/>
      <c r="BW767" s="1"/>
      <c r="BX767" s="656"/>
      <c r="BZ767" s="657"/>
      <c r="CA767" s="1"/>
      <c r="CB767" s="1"/>
      <c r="CC767" s="1"/>
      <c r="CD767" s="1"/>
      <c r="CE767" s="1"/>
      <c r="CF767" s="1"/>
      <c r="CG767" s="1"/>
      <c r="CH767" s="1"/>
      <c r="CP767" s="305"/>
      <c r="CR767" s="116"/>
      <c r="CZ767" s="1"/>
      <c r="DA767" s="1"/>
      <c r="DB767" s="1"/>
      <c r="DC767" s="1"/>
      <c r="DD767" s="1"/>
      <c r="DE767" s="1"/>
      <c r="DF767" s="1"/>
      <c r="DG767" s="1"/>
      <c r="DH767" s="656"/>
      <c r="DJ767" s="116"/>
    </row>
    <row r="768" spans="2:114" ht="15.75" customHeight="1" x14ac:dyDescent="0.25">
      <c r="B768" s="116"/>
      <c r="I768" s="656"/>
      <c r="K768" s="116"/>
      <c r="X768" s="1"/>
      <c r="Y768" s="1"/>
      <c r="Z768" s="1"/>
      <c r="AA768" s="1"/>
      <c r="AB768" s="656"/>
      <c r="AC768" s="1"/>
      <c r="AD768" s="116"/>
      <c r="AL768" s="656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43"/>
      <c r="BL768" s="116"/>
      <c r="BU768" s="1"/>
      <c r="BV768" s="1"/>
      <c r="BW768" s="1"/>
      <c r="BX768" s="656"/>
      <c r="BZ768" s="657"/>
      <c r="CA768" s="1"/>
      <c r="CB768" s="1"/>
      <c r="CC768" s="1"/>
      <c r="CD768" s="1"/>
      <c r="CE768" s="1"/>
      <c r="CF768" s="1"/>
      <c r="CG768" s="1"/>
      <c r="CH768" s="1"/>
      <c r="CP768" s="305"/>
      <c r="CR768" s="116"/>
      <c r="CZ768" s="1"/>
      <c r="DA768" s="1"/>
      <c r="DB768" s="1"/>
      <c r="DC768" s="1"/>
      <c r="DD768" s="1"/>
      <c r="DE768" s="1"/>
      <c r="DF768" s="1"/>
      <c r="DG768" s="1"/>
      <c r="DH768" s="656"/>
      <c r="DJ768" s="116"/>
    </row>
    <row r="769" spans="2:114" ht="15.75" customHeight="1" x14ac:dyDescent="0.25">
      <c r="B769" s="116"/>
      <c r="I769" s="656"/>
      <c r="K769" s="116"/>
      <c r="X769" s="1"/>
      <c r="Y769" s="1"/>
      <c r="Z769" s="1"/>
      <c r="AA769" s="1"/>
      <c r="AB769" s="656"/>
      <c r="AC769" s="1"/>
      <c r="AD769" s="116"/>
      <c r="AL769" s="656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43"/>
      <c r="BL769" s="116"/>
      <c r="BU769" s="1"/>
      <c r="BV769" s="1"/>
      <c r="BW769" s="1"/>
      <c r="BX769" s="656"/>
      <c r="BZ769" s="657"/>
      <c r="CA769" s="1"/>
      <c r="CB769" s="1"/>
      <c r="CC769" s="1"/>
      <c r="CD769" s="1"/>
      <c r="CE769" s="1"/>
      <c r="CF769" s="1"/>
      <c r="CG769" s="1"/>
      <c r="CH769" s="1"/>
      <c r="CP769" s="305"/>
      <c r="CR769" s="116"/>
      <c r="CZ769" s="1"/>
      <c r="DA769" s="1"/>
      <c r="DB769" s="1"/>
      <c r="DC769" s="1"/>
      <c r="DD769" s="1"/>
      <c r="DE769" s="1"/>
      <c r="DF769" s="1"/>
      <c r="DG769" s="1"/>
      <c r="DH769" s="656"/>
      <c r="DJ769" s="116"/>
    </row>
    <row r="770" spans="2:114" ht="15.75" customHeight="1" x14ac:dyDescent="0.25">
      <c r="B770" s="116"/>
      <c r="I770" s="656"/>
      <c r="K770" s="116"/>
      <c r="X770" s="1"/>
      <c r="Y770" s="1"/>
      <c r="Z770" s="1"/>
      <c r="AA770" s="1"/>
      <c r="AB770" s="656"/>
      <c r="AC770" s="1"/>
      <c r="AD770" s="116"/>
      <c r="AL770" s="656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43"/>
      <c r="BL770" s="116"/>
      <c r="BU770" s="1"/>
      <c r="BV770" s="1"/>
      <c r="BW770" s="1"/>
      <c r="BX770" s="656"/>
      <c r="BZ770" s="657"/>
      <c r="CA770" s="1"/>
      <c r="CB770" s="1"/>
      <c r="CC770" s="1"/>
      <c r="CD770" s="1"/>
      <c r="CE770" s="1"/>
      <c r="CF770" s="1"/>
      <c r="CG770" s="1"/>
      <c r="CH770" s="1"/>
      <c r="CP770" s="305"/>
      <c r="CR770" s="116"/>
      <c r="CZ770" s="1"/>
      <c r="DA770" s="1"/>
      <c r="DB770" s="1"/>
      <c r="DC770" s="1"/>
      <c r="DD770" s="1"/>
      <c r="DE770" s="1"/>
      <c r="DF770" s="1"/>
      <c r="DG770" s="1"/>
      <c r="DH770" s="656"/>
      <c r="DJ770" s="116"/>
    </row>
    <row r="771" spans="2:114" ht="15.75" customHeight="1" x14ac:dyDescent="0.25">
      <c r="B771" s="116"/>
      <c r="I771" s="656"/>
      <c r="K771" s="116"/>
      <c r="X771" s="1"/>
      <c r="Y771" s="1"/>
      <c r="Z771" s="1"/>
      <c r="AA771" s="1"/>
      <c r="AB771" s="656"/>
      <c r="AC771" s="1"/>
      <c r="AD771" s="116"/>
      <c r="AL771" s="656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43"/>
      <c r="BL771" s="116"/>
      <c r="BU771" s="1"/>
      <c r="BV771" s="1"/>
      <c r="BW771" s="1"/>
      <c r="BX771" s="656"/>
      <c r="BZ771" s="657"/>
      <c r="CA771" s="1"/>
      <c r="CB771" s="1"/>
      <c r="CC771" s="1"/>
      <c r="CD771" s="1"/>
      <c r="CE771" s="1"/>
      <c r="CF771" s="1"/>
      <c r="CG771" s="1"/>
      <c r="CH771" s="1"/>
      <c r="CP771" s="305"/>
      <c r="CR771" s="116"/>
      <c r="CZ771" s="1"/>
      <c r="DA771" s="1"/>
      <c r="DB771" s="1"/>
      <c r="DC771" s="1"/>
      <c r="DD771" s="1"/>
      <c r="DE771" s="1"/>
      <c r="DF771" s="1"/>
      <c r="DG771" s="1"/>
      <c r="DH771" s="656"/>
      <c r="DJ771" s="116"/>
    </row>
    <row r="772" spans="2:114" ht="15.75" customHeight="1" x14ac:dyDescent="0.25">
      <c r="B772" s="116"/>
      <c r="I772" s="656"/>
      <c r="K772" s="116"/>
      <c r="X772" s="1"/>
      <c r="Y772" s="1"/>
      <c r="Z772" s="1"/>
      <c r="AA772" s="1"/>
      <c r="AB772" s="656"/>
      <c r="AC772" s="1"/>
      <c r="AD772" s="116"/>
      <c r="AL772" s="656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43"/>
      <c r="BL772" s="116"/>
      <c r="BU772" s="1"/>
      <c r="BV772" s="1"/>
      <c r="BW772" s="1"/>
      <c r="BX772" s="656"/>
      <c r="BZ772" s="657"/>
      <c r="CA772" s="1"/>
      <c r="CB772" s="1"/>
      <c r="CC772" s="1"/>
      <c r="CD772" s="1"/>
      <c r="CE772" s="1"/>
      <c r="CF772" s="1"/>
      <c r="CG772" s="1"/>
      <c r="CH772" s="1"/>
      <c r="CP772" s="305"/>
      <c r="CR772" s="116"/>
      <c r="CZ772" s="1"/>
      <c r="DA772" s="1"/>
      <c r="DB772" s="1"/>
      <c r="DC772" s="1"/>
      <c r="DD772" s="1"/>
      <c r="DE772" s="1"/>
      <c r="DF772" s="1"/>
      <c r="DG772" s="1"/>
      <c r="DH772" s="656"/>
      <c r="DJ772" s="116"/>
    </row>
    <row r="773" spans="2:114" ht="15.75" customHeight="1" x14ac:dyDescent="0.25">
      <c r="B773" s="116"/>
      <c r="I773" s="656"/>
      <c r="K773" s="116"/>
      <c r="X773" s="1"/>
      <c r="Y773" s="1"/>
      <c r="Z773" s="1"/>
      <c r="AA773" s="1"/>
      <c r="AB773" s="656"/>
      <c r="AC773" s="1"/>
      <c r="AD773" s="116"/>
      <c r="AL773" s="656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43"/>
      <c r="BL773" s="116"/>
      <c r="BU773" s="1"/>
      <c r="BV773" s="1"/>
      <c r="BW773" s="1"/>
      <c r="BX773" s="656"/>
      <c r="BZ773" s="657"/>
      <c r="CA773" s="1"/>
      <c r="CB773" s="1"/>
      <c r="CC773" s="1"/>
      <c r="CD773" s="1"/>
      <c r="CE773" s="1"/>
      <c r="CF773" s="1"/>
      <c r="CG773" s="1"/>
      <c r="CH773" s="1"/>
      <c r="CP773" s="305"/>
      <c r="CR773" s="116"/>
      <c r="CZ773" s="1"/>
      <c r="DA773" s="1"/>
      <c r="DB773" s="1"/>
      <c r="DC773" s="1"/>
      <c r="DD773" s="1"/>
      <c r="DE773" s="1"/>
      <c r="DF773" s="1"/>
      <c r="DG773" s="1"/>
      <c r="DH773" s="656"/>
      <c r="DJ773" s="116"/>
    </row>
    <row r="774" spans="2:114" ht="15.75" customHeight="1" x14ac:dyDescent="0.25">
      <c r="B774" s="116"/>
      <c r="I774" s="656"/>
      <c r="K774" s="116"/>
      <c r="X774" s="1"/>
      <c r="Y774" s="1"/>
      <c r="Z774" s="1"/>
      <c r="AA774" s="1"/>
      <c r="AB774" s="656"/>
      <c r="AC774" s="1"/>
      <c r="AD774" s="116"/>
      <c r="AL774" s="656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43"/>
      <c r="BL774" s="116"/>
      <c r="BU774" s="1"/>
      <c r="BV774" s="1"/>
      <c r="BW774" s="1"/>
      <c r="BX774" s="656"/>
      <c r="BZ774" s="657"/>
      <c r="CA774" s="1"/>
      <c r="CB774" s="1"/>
      <c r="CC774" s="1"/>
      <c r="CD774" s="1"/>
      <c r="CE774" s="1"/>
      <c r="CF774" s="1"/>
      <c r="CG774" s="1"/>
      <c r="CH774" s="1"/>
      <c r="CP774" s="305"/>
      <c r="CR774" s="116"/>
      <c r="CZ774" s="1"/>
      <c r="DA774" s="1"/>
      <c r="DB774" s="1"/>
      <c r="DC774" s="1"/>
      <c r="DD774" s="1"/>
      <c r="DE774" s="1"/>
      <c r="DF774" s="1"/>
      <c r="DG774" s="1"/>
      <c r="DH774" s="656"/>
      <c r="DJ774" s="116"/>
    </row>
    <row r="775" spans="2:114" ht="15.75" customHeight="1" x14ac:dyDescent="0.25">
      <c r="B775" s="116"/>
      <c r="I775" s="656"/>
      <c r="K775" s="116"/>
      <c r="X775" s="1"/>
      <c r="Y775" s="1"/>
      <c r="Z775" s="1"/>
      <c r="AA775" s="1"/>
      <c r="AB775" s="656"/>
      <c r="AC775" s="1"/>
      <c r="AD775" s="116"/>
      <c r="AL775" s="656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43"/>
      <c r="BL775" s="116"/>
      <c r="BU775" s="1"/>
      <c r="BV775" s="1"/>
      <c r="BW775" s="1"/>
      <c r="BX775" s="656"/>
      <c r="BZ775" s="657"/>
      <c r="CA775" s="1"/>
      <c r="CB775" s="1"/>
      <c r="CC775" s="1"/>
      <c r="CD775" s="1"/>
      <c r="CE775" s="1"/>
      <c r="CF775" s="1"/>
      <c r="CG775" s="1"/>
      <c r="CH775" s="1"/>
      <c r="CP775" s="305"/>
      <c r="CR775" s="116"/>
      <c r="CZ775" s="1"/>
      <c r="DA775" s="1"/>
      <c r="DB775" s="1"/>
      <c r="DC775" s="1"/>
      <c r="DD775" s="1"/>
      <c r="DE775" s="1"/>
      <c r="DF775" s="1"/>
      <c r="DG775" s="1"/>
      <c r="DH775" s="656"/>
      <c r="DJ775" s="116"/>
    </row>
    <row r="776" spans="2:114" ht="15.75" customHeight="1" x14ac:dyDescent="0.25">
      <c r="B776" s="116"/>
      <c r="I776" s="656"/>
      <c r="K776" s="116"/>
      <c r="X776" s="1"/>
      <c r="Y776" s="1"/>
      <c r="Z776" s="1"/>
      <c r="AA776" s="1"/>
      <c r="AB776" s="656"/>
      <c r="AC776" s="1"/>
      <c r="AD776" s="116"/>
      <c r="AL776" s="656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43"/>
      <c r="BL776" s="116"/>
      <c r="BU776" s="1"/>
      <c r="BV776" s="1"/>
      <c r="BW776" s="1"/>
      <c r="BX776" s="656"/>
      <c r="BZ776" s="657"/>
      <c r="CA776" s="1"/>
      <c r="CB776" s="1"/>
      <c r="CC776" s="1"/>
      <c r="CD776" s="1"/>
      <c r="CE776" s="1"/>
      <c r="CF776" s="1"/>
      <c r="CG776" s="1"/>
      <c r="CH776" s="1"/>
      <c r="CP776" s="305"/>
      <c r="CR776" s="116"/>
      <c r="CZ776" s="1"/>
      <c r="DA776" s="1"/>
      <c r="DB776" s="1"/>
      <c r="DC776" s="1"/>
      <c r="DD776" s="1"/>
      <c r="DE776" s="1"/>
      <c r="DF776" s="1"/>
      <c r="DG776" s="1"/>
      <c r="DH776" s="656"/>
      <c r="DJ776" s="116"/>
    </row>
    <row r="777" spans="2:114" ht="15.75" customHeight="1" x14ac:dyDescent="0.25">
      <c r="B777" s="116"/>
      <c r="I777" s="656"/>
      <c r="K777" s="116"/>
      <c r="X777" s="1"/>
      <c r="Y777" s="1"/>
      <c r="Z777" s="1"/>
      <c r="AA777" s="1"/>
      <c r="AB777" s="656"/>
      <c r="AC777" s="1"/>
      <c r="AD777" s="116"/>
      <c r="AL777" s="656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43"/>
      <c r="BL777" s="116"/>
      <c r="BU777" s="1"/>
      <c r="BV777" s="1"/>
      <c r="BW777" s="1"/>
      <c r="BX777" s="656"/>
      <c r="BZ777" s="657"/>
      <c r="CA777" s="1"/>
      <c r="CB777" s="1"/>
      <c r="CC777" s="1"/>
      <c r="CD777" s="1"/>
      <c r="CE777" s="1"/>
      <c r="CF777" s="1"/>
      <c r="CG777" s="1"/>
      <c r="CH777" s="1"/>
      <c r="CP777" s="305"/>
      <c r="CR777" s="116"/>
      <c r="CZ777" s="1"/>
      <c r="DA777" s="1"/>
      <c r="DB777" s="1"/>
      <c r="DC777" s="1"/>
      <c r="DD777" s="1"/>
      <c r="DE777" s="1"/>
      <c r="DF777" s="1"/>
      <c r="DG777" s="1"/>
      <c r="DH777" s="656"/>
      <c r="DJ777" s="116"/>
    </row>
    <row r="778" spans="2:114" ht="15.75" customHeight="1" x14ac:dyDescent="0.25">
      <c r="B778" s="116"/>
      <c r="I778" s="656"/>
      <c r="K778" s="116"/>
      <c r="X778" s="1"/>
      <c r="Y778" s="1"/>
      <c r="Z778" s="1"/>
      <c r="AA778" s="1"/>
      <c r="AB778" s="656"/>
      <c r="AC778" s="1"/>
      <c r="AD778" s="116"/>
      <c r="AL778" s="656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43"/>
      <c r="BL778" s="116"/>
      <c r="BU778" s="1"/>
      <c r="BV778" s="1"/>
      <c r="BW778" s="1"/>
      <c r="BX778" s="656"/>
      <c r="BZ778" s="657"/>
      <c r="CA778" s="1"/>
      <c r="CB778" s="1"/>
      <c r="CC778" s="1"/>
      <c r="CD778" s="1"/>
      <c r="CE778" s="1"/>
      <c r="CF778" s="1"/>
      <c r="CG778" s="1"/>
      <c r="CH778" s="1"/>
      <c r="CP778" s="305"/>
      <c r="CR778" s="116"/>
      <c r="CZ778" s="1"/>
      <c r="DA778" s="1"/>
      <c r="DB778" s="1"/>
      <c r="DC778" s="1"/>
      <c r="DD778" s="1"/>
      <c r="DE778" s="1"/>
      <c r="DF778" s="1"/>
      <c r="DG778" s="1"/>
      <c r="DH778" s="656"/>
      <c r="DJ778" s="116"/>
    </row>
    <row r="779" spans="2:114" ht="15.75" customHeight="1" x14ac:dyDescent="0.25">
      <c r="B779" s="116"/>
      <c r="I779" s="656"/>
      <c r="K779" s="116"/>
      <c r="X779" s="1"/>
      <c r="Y779" s="1"/>
      <c r="Z779" s="1"/>
      <c r="AA779" s="1"/>
      <c r="AB779" s="656"/>
      <c r="AC779" s="1"/>
      <c r="AD779" s="116"/>
      <c r="AL779" s="656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43"/>
      <c r="BL779" s="116"/>
      <c r="BU779" s="1"/>
      <c r="BV779" s="1"/>
      <c r="BW779" s="1"/>
      <c r="BX779" s="656"/>
      <c r="BZ779" s="657"/>
      <c r="CA779" s="1"/>
      <c r="CB779" s="1"/>
      <c r="CC779" s="1"/>
      <c r="CD779" s="1"/>
      <c r="CE779" s="1"/>
      <c r="CF779" s="1"/>
      <c r="CG779" s="1"/>
      <c r="CH779" s="1"/>
      <c r="CP779" s="305"/>
      <c r="CR779" s="116"/>
      <c r="CZ779" s="1"/>
      <c r="DA779" s="1"/>
      <c r="DB779" s="1"/>
      <c r="DC779" s="1"/>
      <c r="DD779" s="1"/>
      <c r="DE779" s="1"/>
      <c r="DF779" s="1"/>
      <c r="DG779" s="1"/>
      <c r="DH779" s="656"/>
      <c r="DJ779" s="116"/>
    </row>
    <row r="780" spans="2:114" ht="15.75" customHeight="1" x14ac:dyDescent="0.25">
      <c r="B780" s="116"/>
      <c r="I780" s="656"/>
      <c r="K780" s="116"/>
      <c r="X780" s="1"/>
      <c r="Y780" s="1"/>
      <c r="Z780" s="1"/>
      <c r="AA780" s="1"/>
      <c r="AB780" s="656"/>
      <c r="AC780" s="1"/>
      <c r="AD780" s="116"/>
      <c r="AL780" s="656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43"/>
      <c r="BL780" s="116"/>
      <c r="BU780" s="1"/>
      <c r="BV780" s="1"/>
      <c r="BW780" s="1"/>
      <c r="BX780" s="656"/>
      <c r="BZ780" s="657"/>
      <c r="CA780" s="1"/>
      <c r="CB780" s="1"/>
      <c r="CC780" s="1"/>
      <c r="CD780" s="1"/>
      <c r="CE780" s="1"/>
      <c r="CF780" s="1"/>
      <c r="CG780" s="1"/>
      <c r="CH780" s="1"/>
      <c r="CP780" s="305"/>
      <c r="CR780" s="116"/>
      <c r="CZ780" s="1"/>
      <c r="DA780" s="1"/>
      <c r="DB780" s="1"/>
      <c r="DC780" s="1"/>
      <c r="DD780" s="1"/>
      <c r="DE780" s="1"/>
      <c r="DF780" s="1"/>
      <c r="DG780" s="1"/>
      <c r="DH780" s="656"/>
      <c r="DJ780" s="116"/>
    </row>
    <row r="781" spans="2:114" ht="15.75" customHeight="1" x14ac:dyDescent="0.25">
      <c r="B781" s="116"/>
      <c r="I781" s="656"/>
      <c r="K781" s="116"/>
      <c r="X781" s="1"/>
      <c r="Y781" s="1"/>
      <c r="Z781" s="1"/>
      <c r="AA781" s="1"/>
      <c r="AB781" s="656"/>
      <c r="AC781" s="1"/>
      <c r="AD781" s="116"/>
      <c r="AL781" s="656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43"/>
      <c r="BL781" s="116"/>
      <c r="BU781" s="1"/>
      <c r="BV781" s="1"/>
      <c r="BW781" s="1"/>
      <c r="BX781" s="656"/>
      <c r="BZ781" s="657"/>
      <c r="CA781" s="1"/>
      <c r="CB781" s="1"/>
      <c r="CC781" s="1"/>
      <c r="CD781" s="1"/>
      <c r="CE781" s="1"/>
      <c r="CF781" s="1"/>
      <c r="CG781" s="1"/>
      <c r="CH781" s="1"/>
      <c r="CP781" s="305"/>
      <c r="CR781" s="116"/>
      <c r="CZ781" s="1"/>
      <c r="DA781" s="1"/>
      <c r="DB781" s="1"/>
      <c r="DC781" s="1"/>
      <c r="DD781" s="1"/>
      <c r="DE781" s="1"/>
      <c r="DF781" s="1"/>
      <c r="DG781" s="1"/>
      <c r="DH781" s="656"/>
      <c r="DJ781" s="116"/>
    </row>
    <row r="782" spans="2:114" ht="15.75" customHeight="1" x14ac:dyDescent="0.25">
      <c r="B782" s="116"/>
      <c r="I782" s="656"/>
      <c r="K782" s="116"/>
      <c r="X782" s="1"/>
      <c r="Y782" s="1"/>
      <c r="Z782" s="1"/>
      <c r="AA782" s="1"/>
      <c r="AB782" s="656"/>
      <c r="AC782" s="1"/>
      <c r="AD782" s="116"/>
      <c r="AL782" s="656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43"/>
      <c r="BL782" s="116"/>
      <c r="BU782" s="1"/>
      <c r="BV782" s="1"/>
      <c r="BW782" s="1"/>
      <c r="BX782" s="656"/>
      <c r="BZ782" s="657"/>
      <c r="CA782" s="1"/>
      <c r="CB782" s="1"/>
      <c r="CC782" s="1"/>
      <c r="CD782" s="1"/>
      <c r="CE782" s="1"/>
      <c r="CF782" s="1"/>
      <c r="CG782" s="1"/>
      <c r="CH782" s="1"/>
      <c r="CP782" s="305"/>
      <c r="CR782" s="116"/>
      <c r="CZ782" s="1"/>
      <c r="DA782" s="1"/>
      <c r="DB782" s="1"/>
      <c r="DC782" s="1"/>
      <c r="DD782" s="1"/>
      <c r="DE782" s="1"/>
      <c r="DF782" s="1"/>
      <c r="DG782" s="1"/>
      <c r="DH782" s="656"/>
      <c r="DJ782" s="116"/>
    </row>
    <row r="783" spans="2:114" ht="15.75" customHeight="1" x14ac:dyDescent="0.25">
      <c r="B783" s="116"/>
      <c r="I783" s="656"/>
      <c r="K783" s="116"/>
      <c r="X783" s="1"/>
      <c r="Y783" s="1"/>
      <c r="Z783" s="1"/>
      <c r="AA783" s="1"/>
      <c r="AB783" s="656"/>
      <c r="AC783" s="1"/>
      <c r="AD783" s="116"/>
      <c r="AL783" s="656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43"/>
      <c r="BL783" s="116"/>
      <c r="BU783" s="1"/>
      <c r="BV783" s="1"/>
      <c r="BW783" s="1"/>
      <c r="BX783" s="656"/>
      <c r="BZ783" s="657"/>
      <c r="CA783" s="1"/>
      <c r="CB783" s="1"/>
      <c r="CC783" s="1"/>
      <c r="CD783" s="1"/>
      <c r="CE783" s="1"/>
      <c r="CF783" s="1"/>
      <c r="CG783" s="1"/>
      <c r="CH783" s="1"/>
      <c r="CP783" s="305"/>
      <c r="CR783" s="116"/>
      <c r="CZ783" s="1"/>
      <c r="DA783" s="1"/>
      <c r="DB783" s="1"/>
      <c r="DC783" s="1"/>
      <c r="DD783" s="1"/>
      <c r="DE783" s="1"/>
      <c r="DF783" s="1"/>
      <c r="DG783" s="1"/>
      <c r="DH783" s="656"/>
      <c r="DJ783" s="116"/>
    </row>
    <row r="784" spans="2:114" ht="15.75" customHeight="1" x14ac:dyDescent="0.25">
      <c r="B784" s="116"/>
      <c r="I784" s="656"/>
      <c r="K784" s="116"/>
      <c r="X784" s="1"/>
      <c r="Y784" s="1"/>
      <c r="Z784" s="1"/>
      <c r="AA784" s="1"/>
      <c r="AB784" s="656"/>
      <c r="AC784" s="1"/>
      <c r="AD784" s="116"/>
      <c r="AL784" s="656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43"/>
      <c r="BL784" s="116"/>
      <c r="BU784" s="1"/>
      <c r="BV784" s="1"/>
      <c r="BW784" s="1"/>
      <c r="BX784" s="656"/>
      <c r="BZ784" s="657"/>
      <c r="CA784" s="1"/>
      <c r="CB784" s="1"/>
      <c r="CC784" s="1"/>
      <c r="CD784" s="1"/>
      <c r="CE784" s="1"/>
      <c r="CF784" s="1"/>
      <c r="CG784" s="1"/>
      <c r="CH784" s="1"/>
      <c r="CP784" s="305"/>
      <c r="CR784" s="116"/>
      <c r="CZ784" s="1"/>
      <c r="DA784" s="1"/>
      <c r="DB784" s="1"/>
      <c r="DC784" s="1"/>
      <c r="DD784" s="1"/>
      <c r="DE784" s="1"/>
      <c r="DF784" s="1"/>
      <c r="DG784" s="1"/>
      <c r="DH784" s="656"/>
      <c r="DJ784" s="116"/>
    </row>
    <row r="785" spans="2:114" ht="15.75" customHeight="1" x14ac:dyDescent="0.25">
      <c r="B785" s="116"/>
      <c r="I785" s="656"/>
      <c r="K785" s="116"/>
      <c r="X785" s="1"/>
      <c r="Y785" s="1"/>
      <c r="Z785" s="1"/>
      <c r="AA785" s="1"/>
      <c r="AB785" s="656"/>
      <c r="AC785" s="1"/>
      <c r="AD785" s="116"/>
      <c r="AL785" s="656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43"/>
      <c r="BL785" s="116"/>
      <c r="BU785" s="1"/>
      <c r="BV785" s="1"/>
      <c r="BW785" s="1"/>
      <c r="BX785" s="656"/>
      <c r="BZ785" s="657"/>
      <c r="CA785" s="1"/>
      <c r="CB785" s="1"/>
      <c r="CC785" s="1"/>
      <c r="CD785" s="1"/>
      <c r="CE785" s="1"/>
      <c r="CF785" s="1"/>
      <c r="CG785" s="1"/>
      <c r="CH785" s="1"/>
      <c r="CP785" s="305"/>
      <c r="CR785" s="116"/>
      <c r="CZ785" s="1"/>
      <c r="DA785" s="1"/>
      <c r="DB785" s="1"/>
      <c r="DC785" s="1"/>
      <c r="DD785" s="1"/>
      <c r="DE785" s="1"/>
      <c r="DF785" s="1"/>
      <c r="DG785" s="1"/>
      <c r="DH785" s="656"/>
      <c r="DJ785" s="116"/>
    </row>
    <row r="786" spans="2:114" ht="15.75" customHeight="1" x14ac:dyDescent="0.25">
      <c r="B786" s="116"/>
      <c r="I786" s="656"/>
      <c r="K786" s="116"/>
      <c r="X786" s="1"/>
      <c r="Y786" s="1"/>
      <c r="Z786" s="1"/>
      <c r="AA786" s="1"/>
      <c r="AB786" s="656"/>
      <c r="AC786" s="1"/>
      <c r="AD786" s="116"/>
      <c r="AL786" s="656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43"/>
      <c r="BL786" s="116"/>
      <c r="BU786" s="1"/>
      <c r="BV786" s="1"/>
      <c r="BW786" s="1"/>
      <c r="BX786" s="656"/>
      <c r="BZ786" s="657"/>
      <c r="CA786" s="1"/>
      <c r="CB786" s="1"/>
      <c r="CC786" s="1"/>
      <c r="CD786" s="1"/>
      <c r="CE786" s="1"/>
      <c r="CF786" s="1"/>
      <c r="CG786" s="1"/>
      <c r="CH786" s="1"/>
      <c r="CP786" s="305"/>
      <c r="CR786" s="116"/>
      <c r="CZ786" s="1"/>
      <c r="DA786" s="1"/>
      <c r="DB786" s="1"/>
      <c r="DC786" s="1"/>
      <c r="DD786" s="1"/>
      <c r="DE786" s="1"/>
      <c r="DF786" s="1"/>
      <c r="DG786" s="1"/>
      <c r="DH786" s="656"/>
      <c r="DJ786" s="116"/>
    </row>
    <row r="787" spans="2:114" ht="15.75" customHeight="1" x14ac:dyDescent="0.25">
      <c r="B787" s="116"/>
      <c r="I787" s="656"/>
      <c r="K787" s="116"/>
      <c r="X787" s="1"/>
      <c r="Y787" s="1"/>
      <c r="Z787" s="1"/>
      <c r="AA787" s="1"/>
      <c r="AB787" s="656"/>
      <c r="AC787" s="1"/>
      <c r="AD787" s="116"/>
      <c r="AL787" s="656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43"/>
      <c r="BL787" s="116"/>
      <c r="BU787" s="1"/>
      <c r="BV787" s="1"/>
      <c r="BW787" s="1"/>
      <c r="BX787" s="656"/>
      <c r="BZ787" s="657"/>
      <c r="CA787" s="1"/>
      <c r="CB787" s="1"/>
      <c r="CC787" s="1"/>
      <c r="CD787" s="1"/>
      <c r="CE787" s="1"/>
      <c r="CF787" s="1"/>
      <c r="CG787" s="1"/>
      <c r="CH787" s="1"/>
      <c r="CP787" s="305"/>
      <c r="CR787" s="116"/>
      <c r="CZ787" s="1"/>
      <c r="DA787" s="1"/>
      <c r="DB787" s="1"/>
      <c r="DC787" s="1"/>
      <c r="DD787" s="1"/>
      <c r="DE787" s="1"/>
      <c r="DF787" s="1"/>
      <c r="DG787" s="1"/>
      <c r="DH787" s="656"/>
      <c r="DJ787" s="116"/>
    </row>
    <row r="788" spans="2:114" ht="15.75" customHeight="1" x14ac:dyDescent="0.25">
      <c r="B788" s="116"/>
      <c r="I788" s="656"/>
      <c r="K788" s="116"/>
      <c r="X788" s="1"/>
      <c r="Y788" s="1"/>
      <c r="Z788" s="1"/>
      <c r="AA788" s="1"/>
      <c r="AB788" s="656"/>
      <c r="AC788" s="1"/>
      <c r="AD788" s="116"/>
      <c r="AL788" s="656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43"/>
      <c r="BL788" s="116"/>
      <c r="BU788" s="1"/>
      <c r="BV788" s="1"/>
      <c r="BW788" s="1"/>
      <c r="BX788" s="656"/>
      <c r="BZ788" s="657"/>
      <c r="CA788" s="1"/>
      <c r="CB788" s="1"/>
      <c r="CC788" s="1"/>
      <c r="CD788" s="1"/>
      <c r="CE788" s="1"/>
      <c r="CF788" s="1"/>
      <c r="CG788" s="1"/>
      <c r="CH788" s="1"/>
      <c r="CP788" s="305"/>
      <c r="CR788" s="116"/>
      <c r="CZ788" s="1"/>
      <c r="DA788" s="1"/>
      <c r="DB788" s="1"/>
      <c r="DC788" s="1"/>
      <c r="DD788" s="1"/>
      <c r="DE788" s="1"/>
      <c r="DF788" s="1"/>
      <c r="DG788" s="1"/>
      <c r="DH788" s="656"/>
      <c r="DJ788" s="116"/>
    </row>
    <row r="789" spans="2:114" ht="15.75" customHeight="1" x14ac:dyDescent="0.25">
      <c r="B789" s="116"/>
      <c r="I789" s="656"/>
      <c r="K789" s="116"/>
      <c r="X789" s="1"/>
      <c r="Y789" s="1"/>
      <c r="Z789" s="1"/>
      <c r="AA789" s="1"/>
      <c r="AB789" s="656"/>
      <c r="AC789" s="1"/>
      <c r="AD789" s="116"/>
      <c r="AL789" s="656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43"/>
      <c r="BL789" s="116"/>
      <c r="BU789" s="1"/>
      <c r="BV789" s="1"/>
      <c r="BW789" s="1"/>
      <c r="BX789" s="656"/>
      <c r="BZ789" s="657"/>
      <c r="CA789" s="1"/>
      <c r="CB789" s="1"/>
      <c r="CC789" s="1"/>
      <c r="CD789" s="1"/>
      <c r="CE789" s="1"/>
      <c r="CF789" s="1"/>
      <c r="CG789" s="1"/>
      <c r="CH789" s="1"/>
      <c r="CP789" s="305"/>
      <c r="CR789" s="116"/>
      <c r="CZ789" s="1"/>
      <c r="DA789" s="1"/>
      <c r="DB789" s="1"/>
      <c r="DC789" s="1"/>
      <c r="DD789" s="1"/>
      <c r="DE789" s="1"/>
      <c r="DF789" s="1"/>
      <c r="DG789" s="1"/>
      <c r="DH789" s="656"/>
      <c r="DJ789" s="116"/>
    </row>
    <row r="790" spans="2:114" ht="15.75" customHeight="1" x14ac:dyDescent="0.25">
      <c r="B790" s="116"/>
      <c r="I790" s="656"/>
      <c r="K790" s="116"/>
      <c r="X790" s="1"/>
      <c r="Y790" s="1"/>
      <c r="Z790" s="1"/>
      <c r="AA790" s="1"/>
      <c r="AB790" s="656"/>
      <c r="AC790" s="1"/>
      <c r="AD790" s="116"/>
      <c r="AL790" s="656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43"/>
      <c r="BL790" s="116"/>
      <c r="BU790" s="1"/>
      <c r="BV790" s="1"/>
      <c r="BW790" s="1"/>
      <c r="BX790" s="656"/>
      <c r="BZ790" s="657"/>
      <c r="CA790" s="1"/>
      <c r="CB790" s="1"/>
      <c r="CC790" s="1"/>
      <c r="CD790" s="1"/>
      <c r="CE790" s="1"/>
      <c r="CF790" s="1"/>
      <c r="CG790" s="1"/>
      <c r="CH790" s="1"/>
      <c r="CP790" s="305"/>
      <c r="CR790" s="116"/>
      <c r="CZ790" s="1"/>
      <c r="DA790" s="1"/>
      <c r="DB790" s="1"/>
      <c r="DC790" s="1"/>
      <c r="DD790" s="1"/>
      <c r="DE790" s="1"/>
      <c r="DF790" s="1"/>
      <c r="DG790" s="1"/>
      <c r="DH790" s="656"/>
      <c r="DJ790" s="116"/>
    </row>
    <row r="791" spans="2:114" ht="15.75" customHeight="1" x14ac:dyDescent="0.25">
      <c r="B791" s="116"/>
      <c r="I791" s="656"/>
      <c r="K791" s="116"/>
      <c r="X791" s="1"/>
      <c r="Y791" s="1"/>
      <c r="Z791" s="1"/>
      <c r="AA791" s="1"/>
      <c r="AB791" s="656"/>
      <c r="AC791" s="1"/>
      <c r="AD791" s="116"/>
      <c r="AL791" s="656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43"/>
      <c r="BL791" s="116"/>
      <c r="BU791" s="1"/>
      <c r="BV791" s="1"/>
      <c r="BW791" s="1"/>
      <c r="BX791" s="656"/>
      <c r="BZ791" s="657"/>
      <c r="CA791" s="1"/>
      <c r="CB791" s="1"/>
      <c r="CC791" s="1"/>
      <c r="CD791" s="1"/>
      <c r="CE791" s="1"/>
      <c r="CF791" s="1"/>
      <c r="CG791" s="1"/>
      <c r="CH791" s="1"/>
      <c r="CP791" s="305"/>
      <c r="CR791" s="116"/>
      <c r="CZ791" s="1"/>
      <c r="DA791" s="1"/>
      <c r="DB791" s="1"/>
      <c r="DC791" s="1"/>
      <c r="DD791" s="1"/>
      <c r="DE791" s="1"/>
      <c r="DF791" s="1"/>
      <c r="DG791" s="1"/>
      <c r="DH791" s="656"/>
      <c r="DJ791" s="116"/>
    </row>
    <row r="792" spans="2:114" ht="15.75" customHeight="1" x14ac:dyDescent="0.25">
      <c r="B792" s="116"/>
      <c r="I792" s="656"/>
      <c r="K792" s="116"/>
      <c r="X792" s="1"/>
      <c r="Y792" s="1"/>
      <c r="Z792" s="1"/>
      <c r="AA792" s="1"/>
      <c r="AB792" s="656"/>
      <c r="AC792" s="1"/>
      <c r="AD792" s="116"/>
      <c r="AL792" s="656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43"/>
      <c r="BL792" s="116"/>
      <c r="BU792" s="1"/>
      <c r="BV792" s="1"/>
      <c r="BW792" s="1"/>
      <c r="BX792" s="656"/>
      <c r="BZ792" s="657"/>
      <c r="CA792" s="1"/>
      <c r="CB792" s="1"/>
      <c r="CC792" s="1"/>
      <c r="CD792" s="1"/>
      <c r="CE792" s="1"/>
      <c r="CF792" s="1"/>
      <c r="CG792" s="1"/>
      <c r="CH792" s="1"/>
      <c r="CP792" s="305"/>
      <c r="CR792" s="116"/>
      <c r="CZ792" s="1"/>
      <c r="DA792" s="1"/>
      <c r="DB792" s="1"/>
      <c r="DC792" s="1"/>
      <c r="DD792" s="1"/>
      <c r="DE792" s="1"/>
      <c r="DF792" s="1"/>
      <c r="DG792" s="1"/>
      <c r="DH792" s="656"/>
      <c r="DJ792" s="116"/>
    </row>
    <row r="793" spans="2:114" ht="15.75" customHeight="1" x14ac:dyDescent="0.25">
      <c r="B793" s="116"/>
      <c r="I793" s="656"/>
      <c r="K793" s="116"/>
      <c r="X793" s="1"/>
      <c r="Y793" s="1"/>
      <c r="Z793" s="1"/>
      <c r="AA793" s="1"/>
      <c r="AB793" s="656"/>
      <c r="AC793" s="1"/>
      <c r="AD793" s="116"/>
      <c r="AL793" s="656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43"/>
      <c r="BL793" s="116"/>
      <c r="BU793" s="1"/>
      <c r="BV793" s="1"/>
      <c r="BW793" s="1"/>
      <c r="BX793" s="656"/>
      <c r="BZ793" s="657"/>
      <c r="CA793" s="1"/>
      <c r="CB793" s="1"/>
      <c r="CC793" s="1"/>
      <c r="CD793" s="1"/>
      <c r="CE793" s="1"/>
      <c r="CF793" s="1"/>
      <c r="CG793" s="1"/>
      <c r="CH793" s="1"/>
      <c r="CP793" s="305"/>
      <c r="CR793" s="116"/>
      <c r="CZ793" s="1"/>
      <c r="DA793" s="1"/>
      <c r="DB793" s="1"/>
      <c r="DC793" s="1"/>
      <c r="DD793" s="1"/>
      <c r="DE793" s="1"/>
      <c r="DF793" s="1"/>
      <c r="DG793" s="1"/>
      <c r="DH793" s="656"/>
      <c r="DJ793" s="116"/>
    </row>
    <row r="794" spans="2:114" ht="15.75" customHeight="1" x14ac:dyDescent="0.25">
      <c r="B794" s="116"/>
      <c r="I794" s="656"/>
      <c r="K794" s="116"/>
      <c r="X794" s="1"/>
      <c r="Y794" s="1"/>
      <c r="Z794" s="1"/>
      <c r="AA794" s="1"/>
      <c r="AB794" s="656"/>
      <c r="AC794" s="1"/>
      <c r="AD794" s="116"/>
      <c r="AL794" s="656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43"/>
      <c r="BL794" s="116"/>
      <c r="BU794" s="1"/>
      <c r="BV794" s="1"/>
      <c r="BW794" s="1"/>
      <c r="BX794" s="656"/>
      <c r="BZ794" s="657"/>
      <c r="CA794" s="1"/>
      <c r="CB794" s="1"/>
      <c r="CC794" s="1"/>
      <c r="CD794" s="1"/>
      <c r="CE794" s="1"/>
      <c r="CF794" s="1"/>
      <c r="CG794" s="1"/>
      <c r="CH794" s="1"/>
      <c r="CP794" s="305"/>
      <c r="CR794" s="116"/>
      <c r="CZ794" s="1"/>
      <c r="DA794" s="1"/>
      <c r="DB794" s="1"/>
      <c r="DC794" s="1"/>
      <c r="DD794" s="1"/>
      <c r="DE794" s="1"/>
      <c r="DF794" s="1"/>
      <c r="DG794" s="1"/>
      <c r="DH794" s="656"/>
      <c r="DJ794" s="116"/>
    </row>
    <row r="795" spans="2:114" ht="15.75" customHeight="1" x14ac:dyDescent="0.25">
      <c r="B795" s="116"/>
      <c r="I795" s="656"/>
      <c r="K795" s="116"/>
      <c r="X795" s="1"/>
      <c r="Y795" s="1"/>
      <c r="Z795" s="1"/>
      <c r="AA795" s="1"/>
      <c r="AB795" s="656"/>
      <c r="AC795" s="1"/>
      <c r="AD795" s="116"/>
      <c r="AL795" s="656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43"/>
      <c r="BL795" s="116"/>
      <c r="BU795" s="1"/>
      <c r="BV795" s="1"/>
      <c r="BW795" s="1"/>
      <c r="BX795" s="656"/>
      <c r="BZ795" s="657"/>
      <c r="CA795" s="1"/>
      <c r="CB795" s="1"/>
      <c r="CC795" s="1"/>
      <c r="CD795" s="1"/>
      <c r="CE795" s="1"/>
      <c r="CF795" s="1"/>
      <c r="CG795" s="1"/>
      <c r="CH795" s="1"/>
      <c r="CP795" s="305"/>
      <c r="CR795" s="116"/>
      <c r="CZ795" s="1"/>
      <c r="DA795" s="1"/>
      <c r="DB795" s="1"/>
      <c r="DC795" s="1"/>
      <c r="DD795" s="1"/>
      <c r="DE795" s="1"/>
      <c r="DF795" s="1"/>
      <c r="DG795" s="1"/>
      <c r="DH795" s="656"/>
      <c r="DJ795" s="116"/>
    </row>
    <row r="796" spans="2:114" ht="15.75" customHeight="1" x14ac:dyDescent="0.25">
      <c r="B796" s="116"/>
      <c r="I796" s="656"/>
      <c r="K796" s="116"/>
      <c r="X796" s="1"/>
      <c r="Y796" s="1"/>
      <c r="Z796" s="1"/>
      <c r="AA796" s="1"/>
      <c r="AB796" s="656"/>
      <c r="AC796" s="1"/>
      <c r="AD796" s="116"/>
      <c r="AL796" s="656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43"/>
      <c r="BL796" s="116"/>
      <c r="BU796" s="1"/>
      <c r="BV796" s="1"/>
      <c r="BW796" s="1"/>
      <c r="BX796" s="656"/>
      <c r="BZ796" s="657"/>
      <c r="CA796" s="1"/>
      <c r="CB796" s="1"/>
      <c r="CC796" s="1"/>
      <c r="CD796" s="1"/>
      <c r="CE796" s="1"/>
      <c r="CF796" s="1"/>
      <c r="CG796" s="1"/>
      <c r="CH796" s="1"/>
      <c r="CP796" s="305"/>
      <c r="CR796" s="116"/>
      <c r="CZ796" s="1"/>
      <c r="DA796" s="1"/>
      <c r="DB796" s="1"/>
      <c r="DC796" s="1"/>
      <c r="DD796" s="1"/>
      <c r="DE796" s="1"/>
      <c r="DF796" s="1"/>
      <c r="DG796" s="1"/>
      <c r="DH796" s="656"/>
      <c r="DJ796" s="116"/>
    </row>
    <row r="797" spans="2:114" ht="15.75" customHeight="1" x14ac:dyDescent="0.25">
      <c r="B797" s="116"/>
      <c r="I797" s="656"/>
      <c r="K797" s="116"/>
      <c r="X797" s="1"/>
      <c r="Y797" s="1"/>
      <c r="Z797" s="1"/>
      <c r="AA797" s="1"/>
      <c r="AB797" s="656"/>
      <c r="AC797" s="1"/>
      <c r="AD797" s="116"/>
      <c r="AL797" s="656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43"/>
      <c r="BL797" s="116"/>
      <c r="BU797" s="1"/>
      <c r="BV797" s="1"/>
      <c r="BW797" s="1"/>
      <c r="BX797" s="656"/>
      <c r="BZ797" s="657"/>
      <c r="CA797" s="1"/>
      <c r="CB797" s="1"/>
      <c r="CC797" s="1"/>
      <c r="CD797" s="1"/>
      <c r="CE797" s="1"/>
      <c r="CF797" s="1"/>
      <c r="CG797" s="1"/>
      <c r="CH797" s="1"/>
      <c r="CP797" s="305"/>
      <c r="CR797" s="116"/>
      <c r="CZ797" s="1"/>
      <c r="DA797" s="1"/>
      <c r="DB797" s="1"/>
      <c r="DC797" s="1"/>
      <c r="DD797" s="1"/>
      <c r="DE797" s="1"/>
      <c r="DF797" s="1"/>
      <c r="DG797" s="1"/>
      <c r="DH797" s="656"/>
      <c r="DJ797" s="116"/>
    </row>
    <row r="798" spans="2:114" ht="15.75" customHeight="1" x14ac:dyDescent="0.25">
      <c r="B798" s="116"/>
      <c r="I798" s="656"/>
      <c r="K798" s="116"/>
      <c r="X798" s="1"/>
      <c r="Y798" s="1"/>
      <c r="Z798" s="1"/>
      <c r="AA798" s="1"/>
      <c r="AB798" s="656"/>
      <c r="AC798" s="1"/>
      <c r="AD798" s="116"/>
      <c r="AL798" s="656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43"/>
      <c r="BL798" s="116"/>
      <c r="BU798" s="1"/>
      <c r="BV798" s="1"/>
      <c r="BW798" s="1"/>
      <c r="BX798" s="656"/>
      <c r="BZ798" s="657"/>
      <c r="CA798" s="1"/>
      <c r="CB798" s="1"/>
      <c r="CC798" s="1"/>
      <c r="CD798" s="1"/>
      <c r="CE798" s="1"/>
      <c r="CF798" s="1"/>
      <c r="CG798" s="1"/>
      <c r="CH798" s="1"/>
      <c r="CP798" s="305"/>
      <c r="CR798" s="116"/>
      <c r="CZ798" s="1"/>
      <c r="DA798" s="1"/>
      <c r="DB798" s="1"/>
      <c r="DC798" s="1"/>
      <c r="DD798" s="1"/>
      <c r="DE798" s="1"/>
      <c r="DF798" s="1"/>
      <c r="DG798" s="1"/>
      <c r="DH798" s="656"/>
      <c r="DJ798" s="116"/>
    </row>
    <row r="799" spans="2:114" ht="15.75" customHeight="1" x14ac:dyDescent="0.25">
      <c r="B799" s="116"/>
      <c r="I799" s="656"/>
      <c r="K799" s="116"/>
      <c r="X799" s="1"/>
      <c r="Y799" s="1"/>
      <c r="Z799" s="1"/>
      <c r="AA799" s="1"/>
      <c r="AB799" s="656"/>
      <c r="AC799" s="1"/>
      <c r="AD799" s="116"/>
      <c r="AL799" s="656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43"/>
      <c r="BL799" s="116"/>
      <c r="BU799" s="1"/>
      <c r="BV799" s="1"/>
      <c r="BW799" s="1"/>
      <c r="BX799" s="656"/>
      <c r="BZ799" s="657"/>
      <c r="CA799" s="1"/>
      <c r="CB799" s="1"/>
      <c r="CC799" s="1"/>
      <c r="CD799" s="1"/>
      <c r="CE799" s="1"/>
      <c r="CF799" s="1"/>
      <c r="CG799" s="1"/>
      <c r="CH799" s="1"/>
      <c r="CP799" s="305"/>
      <c r="CR799" s="116"/>
      <c r="CZ799" s="1"/>
      <c r="DA799" s="1"/>
      <c r="DB799" s="1"/>
      <c r="DC799" s="1"/>
      <c r="DD799" s="1"/>
      <c r="DE799" s="1"/>
      <c r="DF799" s="1"/>
      <c r="DG799" s="1"/>
      <c r="DH799" s="656"/>
      <c r="DJ799" s="116"/>
    </row>
    <row r="800" spans="2:114" ht="15.75" customHeight="1" x14ac:dyDescent="0.25">
      <c r="B800" s="116"/>
      <c r="I800" s="656"/>
      <c r="K800" s="116"/>
      <c r="X800" s="1"/>
      <c r="Y800" s="1"/>
      <c r="Z800" s="1"/>
      <c r="AA800" s="1"/>
      <c r="AB800" s="656"/>
      <c r="AC800" s="1"/>
      <c r="AD800" s="116"/>
      <c r="AL800" s="656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43"/>
      <c r="BL800" s="116"/>
      <c r="BU800" s="1"/>
      <c r="BV800" s="1"/>
      <c r="BW800" s="1"/>
      <c r="BX800" s="656"/>
      <c r="BZ800" s="657"/>
      <c r="CA800" s="1"/>
      <c r="CB800" s="1"/>
      <c r="CC800" s="1"/>
      <c r="CD800" s="1"/>
      <c r="CE800" s="1"/>
      <c r="CF800" s="1"/>
      <c r="CG800" s="1"/>
      <c r="CH800" s="1"/>
      <c r="CP800" s="305"/>
      <c r="CR800" s="116"/>
      <c r="CZ800" s="1"/>
      <c r="DA800" s="1"/>
      <c r="DB800" s="1"/>
      <c r="DC800" s="1"/>
      <c r="DD800" s="1"/>
      <c r="DE800" s="1"/>
      <c r="DF800" s="1"/>
      <c r="DG800" s="1"/>
      <c r="DH800" s="656"/>
      <c r="DJ800" s="116"/>
    </row>
    <row r="801" spans="2:114" ht="15.75" customHeight="1" x14ac:dyDescent="0.25">
      <c r="B801" s="116"/>
      <c r="I801" s="656"/>
      <c r="K801" s="116"/>
      <c r="X801" s="1"/>
      <c r="Y801" s="1"/>
      <c r="Z801" s="1"/>
      <c r="AA801" s="1"/>
      <c r="AB801" s="656"/>
      <c r="AC801" s="1"/>
      <c r="AD801" s="116"/>
      <c r="AL801" s="656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43"/>
      <c r="BL801" s="116"/>
      <c r="BU801" s="1"/>
      <c r="BV801" s="1"/>
      <c r="BW801" s="1"/>
      <c r="BX801" s="656"/>
      <c r="BZ801" s="657"/>
      <c r="CA801" s="1"/>
      <c r="CB801" s="1"/>
      <c r="CC801" s="1"/>
      <c r="CD801" s="1"/>
      <c r="CE801" s="1"/>
      <c r="CF801" s="1"/>
      <c r="CG801" s="1"/>
      <c r="CH801" s="1"/>
      <c r="CP801" s="305"/>
      <c r="CR801" s="116"/>
      <c r="CZ801" s="1"/>
      <c r="DA801" s="1"/>
      <c r="DB801" s="1"/>
      <c r="DC801" s="1"/>
      <c r="DD801" s="1"/>
      <c r="DE801" s="1"/>
      <c r="DF801" s="1"/>
      <c r="DG801" s="1"/>
      <c r="DH801" s="656"/>
      <c r="DJ801" s="116"/>
    </row>
    <row r="802" spans="2:114" ht="15.75" customHeight="1" x14ac:dyDescent="0.25">
      <c r="B802" s="116"/>
      <c r="I802" s="656"/>
      <c r="K802" s="116"/>
      <c r="X802" s="1"/>
      <c r="Y802" s="1"/>
      <c r="Z802" s="1"/>
      <c r="AA802" s="1"/>
      <c r="AB802" s="656"/>
      <c r="AC802" s="1"/>
      <c r="AD802" s="116"/>
      <c r="AL802" s="656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43"/>
      <c r="BL802" s="116"/>
      <c r="BU802" s="1"/>
      <c r="BV802" s="1"/>
      <c r="BW802" s="1"/>
      <c r="BX802" s="656"/>
      <c r="BZ802" s="657"/>
      <c r="CA802" s="1"/>
      <c r="CB802" s="1"/>
      <c r="CC802" s="1"/>
      <c r="CD802" s="1"/>
      <c r="CE802" s="1"/>
      <c r="CF802" s="1"/>
      <c r="CG802" s="1"/>
      <c r="CH802" s="1"/>
      <c r="CP802" s="305"/>
      <c r="CR802" s="116"/>
      <c r="CZ802" s="1"/>
      <c r="DA802" s="1"/>
      <c r="DB802" s="1"/>
      <c r="DC802" s="1"/>
      <c r="DD802" s="1"/>
      <c r="DE802" s="1"/>
      <c r="DF802" s="1"/>
      <c r="DG802" s="1"/>
      <c r="DH802" s="656"/>
      <c r="DJ802" s="116"/>
    </row>
    <row r="803" spans="2:114" ht="15.75" customHeight="1" x14ac:dyDescent="0.25">
      <c r="B803" s="116"/>
      <c r="I803" s="656"/>
      <c r="K803" s="116"/>
      <c r="X803" s="1"/>
      <c r="Y803" s="1"/>
      <c r="Z803" s="1"/>
      <c r="AA803" s="1"/>
      <c r="AB803" s="656"/>
      <c r="AC803" s="1"/>
      <c r="AD803" s="116"/>
      <c r="AL803" s="656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43"/>
      <c r="BL803" s="116"/>
      <c r="BU803" s="1"/>
      <c r="BV803" s="1"/>
      <c r="BW803" s="1"/>
      <c r="BX803" s="656"/>
      <c r="BZ803" s="657"/>
      <c r="CA803" s="1"/>
      <c r="CB803" s="1"/>
      <c r="CC803" s="1"/>
      <c r="CD803" s="1"/>
      <c r="CE803" s="1"/>
      <c r="CF803" s="1"/>
      <c r="CG803" s="1"/>
      <c r="CH803" s="1"/>
      <c r="CP803" s="305"/>
      <c r="CR803" s="116"/>
      <c r="CZ803" s="1"/>
      <c r="DA803" s="1"/>
      <c r="DB803" s="1"/>
      <c r="DC803" s="1"/>
      <c r="DD803" s="1"/>
      <c r="DE803" s="1"/>
      <c r="DF803" s="1"/>
      <c r="DG803" s="1"/>
      <c r="DH803" s="656"/>
      <c r="DJ803" s="116"/>
    </row>
    <row r="804" spans="2:114" ht="15.75" customHeight="1" x14ac:dyDescent="0.25">
      <c r="B804" s="116"/>
      <c r="I804" s="656"/>
      <c r="K804" s="116"/>
      <c r="X804" s="1"/>
      <c r="Y804" s="1"/>
      <c r="Z804" s="1"/>
      <c r="AA804" s="1"/>
      <c r="AB804" s="656"/>
      <c r="AC804" s="1"/>
      <c r="AD804" s="116"/>
      <c r="AL804" s="656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43"/>
      <c r="BL804" s="116"/>
      <c r="BU804" s="1"/>
      <c r="BV804" s="1"/>
      <c r="BW804" s="1"/>
      <c r="BX804" s="656"/>
      <c r="BZ804" s="657"/>
      <c r="CA804" s="1"/>
      <c r="CB804" s="1"/>
      <c r="CC804" s="1"/>
      <c r="CD804" s="1"/>
      <c r="CE804" s="1"/>
      <c r="CF804" s="1"/>
      <c r="CG804" s="1"/>
      <c r="CH804" s="1"/>
      <c r="CP804" s="305"/>
      <c r="CR804" s="116"/>
      <c r="CZ804" s="1"/>
      <c r="DA804" s="1"/>
      <c r="DB804" s="1"/>
      <c r="DC804" s="1"/>
      <c r="DD804" s="1"/>
      <c r="DE804" s="1"/>
      <c r="DF804" s="1"/>
      <c r="DG804" s="1"/>
      <c r="DH804" s="656"/>
      <c r="DJ804" s="116"/>
    </row>
    <row r="805" spans="2:114" ht="15.75" customHeight="1" x14ac:dyDescent="0.25">
      <c r="B805" s="116"/>
      <c r="I805" s="656"/>
      <c r="K805" s="116"/>
      <c r="X805" s="1"/>
      <c r="Y805" s="1"/>
      <c r="Z805" s="1"/>
      <c r="AA805" s="1"/>
      <c r="AB805" s="656"/>
      <c r="AC805" s="1"/>
      <c r="AD805" s="116"/>
      <c r="AL805" s="656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43"/>
      <c r="BL805" s="116"/>
      <c r="BU805" s="1"/>
      <c r="BV805" s="1"/>
      <c r="BW805" s="1"/>
      <c r="BX805" s="656"/>
      <c r="BZ805" s="657"/>
      <c r="CA805" s="1"/>
      <c r="CB805" s="1"/>
      <c r="CC805" s="1"/>
      <c r="CD805" s="1"/>
      <c r="CE805" s="1"/>
      <c r="CF805" s="1"/>
      <c r="CG805" s="1"/>
      <c r="CH805" s="1"/>
      <c r="CP805" s="305"/>
      <c r="CR805" s="116"/>
      <c r="CZ805" s="1"/>
      <c r="DA805" s="1"/>
      <c r="DB805" s="1"/>
      <c r="DC805" s="1"/>
      <c r="DD805" s="1"/>
      <c r="DE805" s="1"/>
      <c r="DF805" s="1"/>
      <c r="DG805" s="1"/>
      <c r="DH805" s="656"/>
      <c r="DJ805" s="116"/>
    </row>
    <row r="806" spans="2:114" ht="15.75" customHeight="1" x14ac:dyDescent="0.25">
      <c r="B806" s="116"/>
      <c r="I806" s="656"/>
      <c r="K806" s="116"/>
      <c r="X806" s="1"/>
      <c r="Y806" s="1"/>
      <c r="Z806" s="1"/>
      <c r="AA806" s="1"/>
      <c r="AB806" s="656"/>
      <c r="AC806" s="1"/>
      <c r="AD806" s="116"/>
      <c r="AL806" s="656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43"/>
      <c r="BL806" s="116"/>
      <c r="BU806" s="1"/>
      <c r="BV806" s="1"/>
      <c r="BW806" s="1"/>
      <c r="BX806" s="656"/>
      <c r="BZ806" s="657"/>
      <c r="CA806" s="1"/>
      <c r="CB806" s="1"/>
      <c r="CC806" s="1"/>
      <c r="CD806" s="1"/>
      <c r="CE806" s="1"/>
      <c r="CF806" s="1"/>
      <c r="CG806" s="1"/>
      <c r="CH806" s="1"/>
      <c r="CP806" s="305"/>
      <c r="CR806" s="116"/>
      <c r="CZ806" s="1"/>
      <c r="DA806" s="1"/>
      <c r="DB806" s="1"/>
      <c r="DC806" s="1"/>
      <c r="DD806" s="1"/>
      <c r="DE806" s="1"/>
      <c r="DF806" s="1"/>
      <c r="DG806" s="1"/>
      <c r="DH806" s="656"/>
      <c r="DJ806" s="116"/>
    </row>
    <row r="807" spans="2:114" ht="15.75" customHeight="1" x14ac:dyDescent="0.25">
      <c r="B807" s="116"/>
      <c r="I807" s="656"/>
      <c r="K807" s="116"/>
      <c r="X807" s="1"/>
      <c r="Y807" s="1"/>
      <c r="Z807" s="1"/>
      <c r="AA807" s="1"/>
      <c r="AB807" s="656"/>
      <c r="AC807" s="1"/>
      <c r="AD807" s="116"/>
      <c r="AL807" s="656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43"/>
      <c r="BL807" s="116"/>
      <c r="BU807" s="1"/>
      <c r="BV807" s="1"/>
      <c r="BW807" s="1"/>
      <c r="BX807" s="656"/>
      <c r="BZ807" s="657"/>
      <c r="CA807" s="1"/>
      <c r="CB807" s="1"/>
      <c r="CC807" s="1"/>
      <c r="CD807" s="1"/>
      <c r="CE807" s="1"/>
      <c r="CF807" s="1"/>
      <c r="CG807" s="1"/>
      <c r="CH807" s="1"/>
      <c r="CP807" s="305"/>
      <c r="CR807" s="116"/>
      <c r="CZ807" s="1"/>
      <c r="DA807" s="1"/>
      <c r="DB807" s="1"/>
      <c r="DC807" s="1"/>
      <c r="DD807" s="1"/>
      <c r="DE807" s="1"/>
      <c r="DF807" s="1"/>
      <c r="DG807" s="1"/>
      <c r="DH807" s="656"/>
      <c r="DJ807" s="116"/>
    </row>
    <row r="808" spans="2:114" ht="15.75" customHeight="1" x14ac:dyDescent="0.25">
      <c r="B808" s="116"/>
      <c r="I808" s="656"/>
      <c r="K808" s="116"/>
      <c r="X808" s="1"/>
      <c r="Y808" s="1"/>
      <c r="Z808" s="1"/>
      <c r="AA808" s="1"/>
      <c r="AB808" s="656"/>
      <c r="AC808" s="1"/>
      <c r="AD808" s="116"/>
      <c r="AL808" s="656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43"/>
      <c r="BL808" s="116"/>
      <c r="BU808" s="1"/>
      <c r="BV808" s="1"/>
      <c r="BW808" s="1"/>
      <c r="BX808" s="656"/>
      <c r="BZ808" s="657"/>
      <c r="CA808" s="1"/>
      <c r="CB808" s="1"/>
      <c r="CC808" s="1"/>
      <c r="CD808" s="1"/>
      <c r="CE808" s="1"/>
      <c r="CF808" s="1"/>
      <c r="CG808" s="1"/>
      <c r="CH808" s="1"/>
      <c r="CP808" s="305"/>
      <c r="CR808" s="116"/>
      <c r="CZ808" s="1"/>
      <c r="DA808" s="1"/>
      <c r="DB808" s="1"/>
      <c r="DC808" s="1"/>
      <c r="DD808" s="1"/>
      <c r="DE808" s="1"/>
      <c r="DF808" s="1"/>
      <c r="DG808" s="1"/>
      <c r="DH808" s="656"/>
      <c r="DJ808" s="116"/>
    </row>
    <row r="809" spans="2:114" ht="15.75" customHeight="1" x14ac:dyDescent="0.25">
      <c r="B809" s="116"/>
      <c r="I809" s="656"/>
      <c r="K809" s="116"/>
      <c r="X809" s="1"/>
      <c r="Y809" s="1"/>
      <c r="Z809" s="1"/>
      <c r="AA809" s="1"/>
      <c r="AB809" s="656"/>
      <c r="AC809" s="1"/>
      <c r="AD809" s="116"/>
      <c r="AL809" s="656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43"/>
      <c r="BL809" s="116"/>
      <c r="BU809" s="1"/>
      <c r="BV809" s="1"/>
      <c r="BW809" s="1"/>
      <c r="BX809" s="656"/>
      <c r="BZ809" s="657"/>
      <c r="CA809" s="1"/>
      <c r="CB809" s="1"/>
      <c r="CC809" s="1"/>
      <c r="CD809" s="1"/>
      <c r="CE809" s="1"/>
      <c r="CF809" s="1"/>
      <c r="CG809" s="1"/>
      <c r="CH809" s="1"/>
      <c r="CP809" s="305"/>
      <c r="CR809" s="116"/>
      <c r="CZ809" s="1"/>
      <c r="DA809" s="1"/>
      <c r="DB809" s="1"/>
      <c r="DC809" s="1"/>
      <c r="DD809" s="1"/>
      <c r="DE809" s="1"/>
      <c r="DF809" s="1"/>
      <c r="DG809" s="1"/>
      <c r="DH809" s="656"/>
      <c r="DJ809" s="116"/>
    </row>
    <row r="810" spans="2:114" ht="15.75" customHeight="1" x14ac:dyDescent="0.25">
      <c r="B810" s="116"/>
      <c r="I810" s="656"/>
      <c r="K810" s="116"/>
      <c r="X810" s="1"/>
      <c r="Y810" s="1"/>
      <c r="Z810" s="1"/>
      <c r="AA810" s="1"/>
      <c r="AB810" s="656"/>
      <c r="AC810" s="1"/>
      <c r="AD810" s="116"/>
      <c r="AL810" s="656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43"/>
      <c r="BL810" s="116"/>
      <c r="BU810" s="1"/>
      <c r="BV810" s="1"/>
      <c r="BW810" s="1"/>
      <c r="BX810" s="656"/>
      <c r="BZ810" s="657"/>
      <c r="CA810" s="1"/>
      <c r="CB810" s="1"/>
      <c r="CC810" s="1"/>
      <c r="CD810" s="1"/>
      <c r="CE810" s="1"/>
      <c r="CF810" s="1"/>
      <c r="CG810" s="1"/>
      <c r="CH810" s="1"/>
      <c r="CP810" s="305"/>
      <c r="CR810" s="116"/>
      <c r="CZ810" s="1"/>
      <c r="DA810" s="1"/>
      <c r="DB810" s="1"/>
      <c r="DC810" s="1"/>
      <c r="DD810" s="1"/>
      <c r="DE810" s="1"/>
      <c r="DF810" s="1"/>
      <c r="DG810" s="1"/>
      <c r="DH810" s="656"/>
      <c r="DJ810" s="116"/>
    </row>
    <row r="811" spans="2:114" ht="15.75" customHeight="1" x14ac:dyDescent="0.25">
      <c r="B811" s="116"/>
      <c r="I811" s="656"/>
      <c r="K811" s="116"/>
      <c r="X811" s="1"/>
      <c r="Y811" s="1"/>
      <c r="Z811" s="1"/>
      <c r="AA811" s="1"/>
      <c r="AB811" s="656"/>
      <c r="AC811" s="1"/>
      <c r="AD811" s="116"/>
      <c r="AL811" s="656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43"/>
      <c r="BL811" s="116"/>
      <c r="BU811" s="1"/>
      <c r="BV811" s="1"/>
      <c r="BW811" s="1"/>
      <c r="BX811" s="656"/>
      <c r="BZ811" s="657"/>
      <c r="CA811" s="1"/>
      <c r="CB811" s="1"/>
      <c r="CC811" s="1"/>
      <c r="CD811" s="1"/>
      <c r="CE811" s="1"/>
      <c r="CF811" s="1"/>
      <c r="CG811" s="1"/>
      <c r="CH811" s="1"/>
      <c r="CP811" s="305"/>
      <c r="CR811" s="116"/>
      <c r="CZ811" s="1"/>
      <c r="DA811" s="1"/>
      <c r="DB811" s="1"/>
      <c r="DC811" s="1"/>
      <c r="DD811" s="1"/>
      <c r="DE811" s="1"/>
      <c r="DF811" s="1"/>
      <c r="DG811" s="1"/>
      <c r="DH811" s="656"/>
      <c r="DJ811" s="116"/>
    </row>
    <row r="812" spans="2:114" ht="15.75" customHeight="1" x14ac:dyDescent="0.25">
      <c r="B812" s="116"/>
      <c r="I812" s="656"/>
      <c r="K812" s="116"/>
      <c r="X812" s="1"/>
      <c r="Y812" s="1"/>
      <c r="Z812" s="1"/>
      <c r="AA812" s="1"/>
      <c r="AB812" s="656"/>
      <c r="AC812" s="1"/>
      <c r="AD812" s="116"/>
      <c r="AL812" s="656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43"/>
      <c r="BL812" s="116"/>
      <c r="BU812" s="1"/>
      <c r="BV812" s="1"/>
      <c r="BW812" s="1"/>
      <c r="BX812" s="656"/>
      <c r="BZ812" s="657"/>
      <c r="CA812" s="1"/>
      <c r="CB812" s="1"/>
      <c r="CC812" s="1"/>
      <c r="CD812" s="1"/>
      <c r="CE812" s="1"/>
      <c r="CF812" s="1"/>
      <c r="CG812" s="1"/>
      <c r="CH812" s="1"/>
      <c r="CP812" s="305"/>
      <c r="CR812" s="116"/>
      <c r="CZ812" s="1"/>
      <c r="DA812" s="1"/>
      <c r="DB812" s="1"/>
      <c r="DC812" s="1"/>
      <c r="DD812" s="1"/>
      <c r="DE812" s="1"/>
      <c r="DF812" s="1"/>
      <c r="DG812" s="1"/>
      <c r="DH812" s="656"/>
      <c r="DJ812" s="116"/>
    </row>
    <row r="813" spans="2:114" ht="15.75" customHeight="1" x14ac:dyDescent="0.25">
      <c r="B813" s="116"/>
      <c r="I813" s="656"/>
      <c r="K813" s="116"/>
      <c r="X813" s="1"/>
      <c r="Y813" s="1"/>
      <c r="Z813" s="1"/>
      <c r="AA813" s="1"/>
      <c r="AB813" s="656"/>
      <c r="AC813" s="1"/>
      <c r="AD813" s="116"/>
      <c r="AL813" s="656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43"/>
      <c r="BL813" s="116"/>
      <c r="BU813" s="1"/>
      <c r="BV813" s="1"/>
      <c r="BW813" s="1"/>
      <c r="BX813" s="656"/>
      <c r="BZ813" s="657"/>
      <c r="CA813" s="1"/>
      <c r="CB813" s="1"/>
      <c r="CC813" s="1"/>
      <c r="CD813" s="1"/>
      <c r="CE813" s="1"/>
      <c r="CF813" s="1"/>
      <c r="CG813" s="1"/>
      <c r="CH813" s="1"/>
      <c r="CP813" s="305"/>
      <c r="CR813" s="116"/>
      <c r="CZ813" s="1"/>
      <c r="DA813" s="1"/>
      <c r="DB813" s="1"/>
      <c r="DC813" s="1"/>
      <c r="DD813" s="1"/>
      <c r="DE813" s="1"/>
      <c r="DF813" s="1"/>
      <c r="DG813" s="1"/>
      <c r="DH813" s="656"/>
      <c r="DJ813" s="116"/>
    </row>
    <row r="814" spans="2:114" ht="15.75" customHeight="1" x14ac:dyDescent="0.25">
      <c r="B814" s="116"/>
      <c r="I814" s="656"/>
      <c r="K814" s="116"/>
      <c r="X814" s="1"/>
      <c r="Y814" s="1"/>
      <c r="Z814" s="1"/>
      <c r="AA814" s="1"/>
      <c r="AB814" s="656"/>
      <c r="AC814" s="1"/>
      <c r="AD814" s="116"/>
      <c r="AL814" s="656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43"/>
      <c r="BL814" s="116"/>
      <c r="BU814" s="1"/>
      <c r="BV814" s="1"/>
      <c r="BW814" s="1"/>
      <c r="BX814" s="656"/>
      <c r="BZ814" s="657"/>
      <c r="CA814" s="1"/>
      <c r="CB814" s="1"/>
      <c r="CC814" s="1"/>
      <c r="CD814" s="1"/>
      <c r="CE814" s="1"/>
      <c r="CF814" s="1"/>
      <c r="CG814" s="1"/>
      <c r="CH814" s="1"/>
      <c r="CP814" s="305"/>
      <c r="CR814" s="116"/>
      <c r="CZ814" s="1"/>
      <c r="DA814" s="1"/>
      <c r="DB814" s="1"/>
      <c r="DC814" s="1"/>
      <c r="DD814" s="1"/>
      <c r="DE814" s="1"/>
      <c r="DF814" s="1"/>
      <c r="DG814" s="1"/>
      <c r="DH814" s="656"/>
      <c r="DJ814" s="116"/>
    </row>
    <row r="815" spans="2:114" ht="15.75" customHeight="1" x14ac:dyDescent="0.25">
      <c r="B815" s="116"/>
      <c r="I815" s="656"/>
      <c r="K815" s="116"/>
      <c r="X815" s="1"/>
      <c r="Y815" s="1"/>
      <c r="Z815" s="1"/>
      <c r="AA815" s="1"/>
      <c r="AB815" s="656"/>
      <c r="AC815" s="1"/>
      <c r="AD815" s="116"/>
      <c r="AL815" s="656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43"/>
      <c r="BL815" s="116"/>
      <c r="BU815" s="1"/>
      <c r="BV815" s="1"/>
      <c r="BW815" s="1"/>
      <c r="BX815" s="656"/>
      <c r="BZ815" s="657"/>
      <c r="CA815" s="1"/>
      <c r="CB815" s="1"/>
      <c r="CC815" s="1"/>
      <c r="CD815" s="1"/>
      <c r="CE815" s="1"/>
      <c r="CF815" s="1"/>
      <c r="CG815" s="1"/>
      <c r="CH815" s="1"/>
      <c r="CP815" s="305"/>
      <c r="CR815" s="116"/>
      <c r="CZ815" s="1"/>
      <c r="DA815" s="1"/>
      <c r="DB815" s="1"/>
      <c r="DC815" s="1"/>
      <c r="DD815" s="1"/>
      <c r="DE815" s="1"/>
      <c r="DF815" s="1"/>
      <c r="DG815" s="1"/>
      <c r="DH815" s="656"/>
      <c r="DJ815" s="116"/>
    </row>
    <row r="816" spans="2:114" ht="15.75" customHeight="1" x14ac:dyDescent="0.25">
      <c r="B816" s="116"/>
      <c r="I816" s="656"/>
      <c r="K816" s="116"/>
      <c r="X816" s="1"/>
      <c r="Y816" s="1"/>
      <c r="Z816" s="1"/>
      <c r="AA816" s="1"/>
      <c r="AB816" s="656"/>
      <c r="AC816" s="1"/>
      <c r="AD816" s="116"/>
      <c r="AL816" s="656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43"/>
      <c r="BL816" s="116"/>
      <c r="BU816" s="1"/>
      <c r="BV816" s="1"/>
      <c r="BW816" s="1"/>
      <c r="BX816" s="656"/>
      <c r="BZ816" s="657"/>
      <c r="CA816" s="1"/>
      <c r="CB816" s="1"/>
      <c r="CC816" s="1"/>
      <c r="CD816" s="1"/>
      <c r="CE816" s="1"/>
      <c r="CF816" s="1"/>
      <c r="CG816" s="1"/>
      <c r="CH816" s="1"/>
      <c r="CP816" s="305"/>
      <c r="CR816" s="116"/>
      <c r="CZ816" s="1"/>
      <c r="DA816" s="1"/>
      <c r="DB816" s="1"/>
      <c r="DC816" s="1"/>
      <c r="DD816" s="1"/>
      <c r="DE816" s="1"/>
      <c r="DF816" s="1"/>
      <c r="DG816" s="1"/>
      <c r="DH816" s="656"/>
      <c r="DJ816" s="116"/>
    </row>
    <row r="817" spans="2:114" ht="15.75" customHeight="1" x14ac:dyDescent="0.25">
      <c r="B817" s="116"/>
      <c r="I817" s="656"/>
      <c r="K817" s="116"/>
      <c r="X817" s="1"/>
      <c r="Y817" s="1"/>
      <c r="Z817" s="1"/>
      <c r="AA817" s="1"/>
      <c r="AB817" s="656"/>
      <c r="AC817" s="1"/>
      <c r="AD817" s="116"/>
      <c r="AL817" s="656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43"/>
      <c r="BL817" s="116"/>
      <c r="BU817" s="1"/>
      <c r="BV817" s="1"/>
      <c r="BW817" s="1"/>
      <c r="BX817" s="656"/>
      <c r="BZ817" s="657"/>
      <c r="CA817" s="1"/>
      <c r="CB817" s="1"/>
      <c r="CC817" s="1"/>
      <c r="CD817" s="1"/>
      <c r="CE817" s="1"/>
      <c r="CF817" s="1"/>
      <c r="CG817" s="1"/>
      <c r="CH817" s="1"/>
      <c r="CP817" s="305"/>
      <c r="CR817" s="116"/>
      <c r="CZ817" s="1"/>
      <c r="DA817" s="1"/>
      <c r="DB817" s="1"/>
      <c r="DC817" s="1"/>
      <c r="DD817" s="1"/>
      <c r="DE817" s="1"/>
      <c r="DF817" s="1"/>
      <c r="DG817" s="1"/>
      <c r="DH817" s="656"/>
      <c r="DJ817" s="116"/>
    </row>
    <row r="818" spans="2:114" ht="15.75" customHeight="1" x14ac:dyDescent="0.25">
      <c r="B818" s="116"/>
      <c r="I818" s="656"/>
      <c r="K818" s="116"/>
      <c r="X818" s="1"/>
      <c r="Y818" s="1"/>
      <c r="Z818" s="1"/>
      <c r="AA818" s="1"/>
      <c r="AB818" s="656"/>
      <c r="AC818" s="1"/>
      <c r="AD818" s="116"/>
      <c r="AL818" s="656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43"/>
      <c r="BL818" s="116"/>
      <c r="BU818" s="1"/>
      <c r="BV818" s="1"/>
      <c r="BW818" s="1"/>
      <c r="BX818" s="656"/>
      <c r="BZ818" s="657"/>
      <c r="CA818" s="1"/>
      <c r="CB818" s="1"/>
      <c r="CC818" s="1"/>
      <c r="CD818" s="1"/>
      <c r="CE818" s="1"/>
      <c r="CF818" s="1"/>
      <c r="CG818" s="1"/>
      <c r="CH818" s="1"/>
      <c r="CP818" s="305"/>
      <c r="CR818" s="116"/>
      <c r="CZ818" s="1"/>
      <c r="DA818" s="1"/>
      <c r="DB818" s="1"/>
      <c r="DC818" s="1"/>
      <c r="DD818" s="1"/>
      <c r="DE818" s="1"/>
      <c r="DF818" s="1"/>
      <c r="DG818" s="1"/>
      <c r="DH818" s="656"/>
      <c r="DJ818" s="116"/>
    </row>
    <row r="819" spans="2:114" ht="15.75" customHeight="1" x14ac:dyDescent="0.25">
      <c r="B819" s="116"/>
      <c r="I819" s="656"/>
      <c r="K819" s="116"/>
      <c r="X819" s="1"/>
      <c r="Y819" s="1"/>
      <c r="Z819" s="1"/>
      <c r="AA819" s="1"/>
      <c r="AB819" s="656"/>
      <c r="AC819" s="1"/>
      <c r="AD819" s="116"/>
      <c r="AL819" s="656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43"/>
      <c r="BL819" s="116"/>
      <c r="BU819" s="1"/>
      <c r="BV819" s="1"/>
      <c r="BW819" s="1"/>
      <c r="BX819" s="656"/>
      <c r="BZ819" s="657"/>
      <c r="CA819" s="1"/>
      <c r="CB819" s="1"/>
      <c r="CC819" s="1"/>
      <c r="CD819" s="1"/>
      <c r="CE819" s="1"/>
      <c r="CF819" s="1"/>
      <c r="CG819" s="1"/>
      <c r="CH819" s="1"/>
      <c r="CP819" s="305"/>
      <c r="CR819" s="116"/>
      <c r="CZ819" s="1"/>
      <c r="DA819" s="1"/>
      <c r="DB819" s="1"/>
      <c r="DC819" s="1"/>
      <c r="DD819" s="1"/>
      <c r="DE819" s="1"/>
      <c r="DF819" s="1"/>
      <c r="DG819" s="1"/>
      <c r="DH819" s="656"/>
      <c r="DJ819" s="116"/>
    </row>
    <row r="820" spans="2:114" ht="15.75" customHeight="1" x14ac:dyDescent="0.25">
      <c r="B820" s="116"/>
      <c r="I820" s="656"/>
      <c r="K820" s="116"/>
      <c r="X820" s="1"/>
      <c r="Y820" s="1"/>
      <c r="Z820" s="1"/>
      <c r="AA820" s="1"/>
      <c r="AB820" s="656"/>
      <c r="AC820" s="1"/>
      <c r="AD820" s="116"/>
      <c r="AL820" s="656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43"/>
      <c r="BL820" s="116"/>
      <c r="BU820" s="1"/>
      <c r="BV820" s="1"/>
      <c r="BW820" s="1"/>
      <c r="BX820" s="656"/>
      <c r="BZ820" s="657"/>
      <c r="CA820" s="1"/>
      <c r="CB820" s="1"/>
      <c r="CC820" s="1"/>
      <c r="CD820" s="1"/>
      <c r="CE820" s="1"/>
      <c r="CF820" s="1"/>
      <c r="CG820" s="1"/>
      <c r="CH820" s="1"/>
      <c r="CP820" s="305"/>
      <c r="CR820" s="116"/>
      <c r="CZ820" s="1"/>
      <c r="DA820" s="1"/>
      <c r="DB820" s="1"/>
      <c r="DC820" s="1"/>
      <c r="DD820" s="1"/>
      <c r="DE820" s="1"/>
      <c r="DF820" s="1"/>
      <c r="DG820" s="1"/>
      <c r="DH820" s="656"/>
      <c r="DJ820" s="116"/>
    </row>
    <row r="821" spans="2:114" ht="15.75" customHeight="1" x14ac:dyDescent="0.25">
      <c r="B821" s="116"/>
      <c r="I821" s="656"/>
      <c r="K821" s="116"/>
      <c r="X821" s="1"/>
      <c r="Y821" s="1"/>
      <c r="Z821" s="1"/>
      <c r="AA821" s="1"/>
      <c r="AB821" s="656"/>
      <c r="AC821" s="1"/>
      <c r="AD821" s="116"/>
      <c r="AL821" s="656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43"/>
      <c r="BL821" s="116"/>
      <c r="BU821" s="1"/>
      <c r="BV821" s="1"/>
      <c r="BW821" s="1"/>
      <c r="BX821" s="656"/>
      <c r="BZ821" s="657"/>
      <c r="CA821" s="1"/>
      <c r="CB821" s="1"/>
      <c r="CC821" s="1"/>
      <c r="CD821" s="1"/>
      <c r="CE821" s="1"/>
      <c r="CF821" s="1"/>
      <c r="CG821" s="1"/>
      <c r="CH821" s="1"/>
      <c r="CP821" s="305"/>
      <c r="CR821" s="116"/>
      <c r="CZ821" s="1"/>
      <c r="DA821" s="1"/>
      <c r="DB821" s="1"/>
      <c r="DC821" s="1"/>
      <c r="DD821" s="1"/>
      <c r="DE821" s="1"/>
      <c r="DF821" s="1"/>
      <c r="DG821" s="1"/>
      <c r="DH821" s="656"/>
      <c r="DJ821" s="116"/>
    </row>
    <row r="822" spans="2:114" ht="15.75" customHeight="1" x14ac:dyDescent="0.25">
      <c r="B822" s="116"/>
      <c r="I822" s="656"/>
      <c r="K822" s="116"/>
      <c r="X822" s="1"/>
      <c r="Y822" s="1"/>
      <c r="Z822" s="1"/>
      <c r="AA822" s="1"/>
      <c r="AB822" s="656"/>
      <c r="AC822" s="1"/>
      <c r="AD822" s="116"/>
      <c r="AL822" s="656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43"/>
      <c r="BL822" s="116"/>
      <c r="BU822" s="1"/>
      <c r="BV822" s="1"/>
      <c r="BW822" s="1"/>
      <c r="BX822" s="656"/>
      <c r="BZ822" s="657"/>
      <c r="CA822" s="1"/>
      <c r="CB822" s="1"/>
      <c r="CC822" s="1"/>
      <c r="CD822" s="1"/>
      <c r="CE822" s="1"/>
      <c r="CF822" s="1"/>
      <c r="CG822" s="1"/>
      <c r="CH822" s="1"/>
      <c r="CP822" s="305"/>
      <c r="CR822" s="116"/>
      <c r="CZ822" s="1"/>
      <c r="DA822" s="1"/>
      <c r="DB822" s="1"/>
      <c r="DC822" s="1"/>
      <c r="DD822" s="1"/>
      <c r="DE822" s="1"/>
      <c r="DF822" s="1"/>
      <c r="DG822" s="1"/>
      <c r="DH822" s="656"/>
      <c r="DJ822" s="116"/>
    </row>
    <row r="823" spans="2:114" ht="15.75" customHeight="1" x14ac:dyDescent="0.25">
      <c r="B823" s="116"/>
      <c r="I823" s="656"/>
      <c r="K823" s="116"/>
      <c r="X823" s="1"/>
      <c r="Y823" s="1"/>
      <c r="Z823" s="1"/>
      <c r="AA823" s="1"/>
      <c r="AB823" s="656"/>
      <c r="AC823" s="1"/>
      <c r="AD823" s="116"/>
      <c r="AL823" s="656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43"/>
      <c r="BL823" s="116"/>
      <c r="BU823" s="1"/>
      <c r="BV823" s="1"/>
      <c r="BW823" s="1"/>
      <c r="BX823" s="656"/>
      <c r="BZ823" s="657"/>
      <c r="CA823" s="1"/>
      <c r="CB823" s="1"/>
      <c r="CC823" s="1"/>
      <c r="CD823" s="1"/>
      <c r="CE823" s="1"/>
      <c r="CF823" s="1"/>
      <c r="CG823" s="1"/>
      <c r="CH823" s="1"/>
      <c r="CP823" s="305"/>
      <c r="CR823" s="116"/>
      <c r="CZ823" s="1"/>
      <c r="DA823" s="1"/>
      <c r="DB823" s="1"/>
      <c r="DC823" s="1"/>
      <c r="DD823" s="1"/>
      <c r="DE823" s="1"/>
      <c r="DF823" s="1"/>
      <c r="DG823" s="1"/>
      <c r="DH823" s="656"/>
      <c r="DJ823" s="116"/>
    </row>
    <row r="824" spans="2:114" ht="15.75" customHeight="1" x14ac:dyDescent="0.25">
      <c r="B824" s="116"/>
      <c r="I824" s="656"/>
      <c r="K824" s="116"/>
      <c r="X824" s="1"/>
      <c r="Y824" s="1"/>
      <c r="Z824" s="1"/>
      <c r="AA824" s="1"/>
      <c r="AB824" s="656"/>
      <c r="AC824" s="1"/>
      <c r="AD824" s="116"/>
      <c r="AL824" s="656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43"/>
      <c r="BL824" s="116"/>
      <c r="BU824" s="1"/>
      <c r="BV824" s="1"/>
      <c r="BW824" s="1"/>
      <c r="BX824" s="656"/>
      <c r="BZ824" s="657"/>
      <c r="CA824" s="1"/>
      <c r="CB824" s="1"/>
      <c r="CC824" s="1"/>
      <c r="CD824" s="1"/>
      <c r="CE824" s="1"/>
      <c r="CF824" s="1"/>
      <c r="CG824" s="1"/>
      <c r="CH824" s="1"/>
      <c r="CP824" s="305"/>
      <c r="CR824" s="116"/>
      <c r="CZ824" s="1"/>
      <c r="DA824" s="1"/>
      <c r="DB824" s="1"/>
      <c r="DC824" s="1"/>
      <c r="DD824" s="1"/>
      <c r="DE824" s="1"/>
      <c r="DF824" s="1"/>
      <c r="DG824" s="1"/>
      <c r="DH824" s="656"/>
      <c r="DJ824" s="116"/>
    </row>
    <row r="825" spans="2:114" ht="15.75" customHeight="1" x14ac:dyDescent="0.25">
      <c r="B825" s="116"/>
      <c r="I825" s="656"/>
      <c r="K825" s="116"/>
      <c r="X825" s="1"/>
      <c r="Y825" s="1"/>
      <c r="Z825" s="1"/>
      <c r="AA825" s="1"/>
      <c r="AB825" s="656"/>
      <c r="AC825" s="1"/>
      <c r="AD825" s="116"/>
      <c r="AL825" s="656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43"/>
      <c r="BL825" s="116"/>
      <c r="BU825" s="1"/>
      <c r="BV825" s="1"/>
      <c r="BW825" s="1"/>
      <c r="BX825" s="656"/>
      <c r="BZ825" s="657"/>
      <c r="CA825" s="1"/>
      <c r="CB825" s="1"/>
      <c r="CC825" s="1"/>
      <c r="CD825" s="1"/>
      <c r="CE825" s="1"/>
      <c r="CF825" s="1"/>
      <c r="CG825" s="1"/>
      <c r="CH825" s="1"/>
      <c r="CP825" s="305"/>
      <c r="CR825" s="116"/>
      <c r="CZ825" s="1"/>
      <c r="DA825" s="1"/>
      <c r="DB825" s="1"/>
      <c r="DC825" s="1"/>
      <c r="DD825" s="1"/>
      <c r="DE825" s="1"/>
      <c r="DF825" s="1"/>
      <c r="DG825" s="1"/>
      <c r="DH825" s="656"/>
      <c r="DJ825" s="116"/>
    </row>
    <row r="826" spans="2:114" ht="15.75" customHeight="1" x14ac:dyDescent="0.25">
      <c r="B826" s="116"/>
      <c r="I826" s="656"/>
      <c r="K826" s="116"/>
      <c r="X826" s="1"/>
      <c r="Y826" s="1"/>
      <c r="Z826" s="1"/>
      <c r="AA826" s="1"/>
      <c r="AB826" s="656"/>
      <c r="AC826" s="1"/>
      <c r="AD826" s="116"/>
      <c r="AL826" s="656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43"/>
      <c r="BL826" s="116"/>
      <c r="BU826" s="1"/>
      <c r="BV826" s="1"/>
      <c r="BW826" s="1"/>
      <c r="BX826" s="656"/>
      <c r="BZ826" s="657"/>
      <c r="CA826" s="1"/>
      <c r="CB826" s="1"/>
      <c r="CC826" s="1"/>
      <c r="CD826" s="1"/>
      <c r="CE826" s="1"/>
      <c r="CF826" s="1"/>
      <c r="CG826" s="1"/>
      <c r="CH826" s="1"/>
      <c r="CP826" s="305"/>
      <c r="CR826" s="116"/>
      <c r="CZ826" s="1"/>
      <c r="DA826" s="1"/>
      <c r="DB826" s="1"/>
      <c r="DC826" s="1"/>
      <c r="DD826" s="1"/>
      <c r="DE826" s="1"/>
      <c r="DF826" s="1"/>
      <c r="DG826" s="1"/>
      <c r="DH826" s="656"/>
      <c r="DJ826" s="116"/>
    </row>
    <row r="827" spans="2:114" ht="15.75" customHeight="1" x14ac:dyDescent="0.25">
      <c r="B827" s="116"/>
      <c r="I827" s="656"/>
      <c r="K827" s="116"/>
      <c r="X827" s="1"/>
      <c r="Y827" s="1"/>
      <c r="Z827" s="1"/>
      <c r="AA827" s="1"/>
      <c r="AB827" s="656"/>
      <c r="AC827" s="1"/>
      <c r="AD827" s="116"/>
      <c r="AL827" s="656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43"/>
      <c r="BL827" s="116"/>
      <c r="BU827" s="1"/>
      <c r="BV827" s="1"/>
      <c r="BW827" s="1"/>
      <c r="BX827" s="656"/>
      <c r="BZ827" s="657"/>
      <c r="CA827" s="1"/>
      <c r="CB827" s="1"/>
      <c r="CC827" s="1"/>
      <c r="CD827" s="1"/>
      <c r="CE827" s="1"/>
      <c r="CF827" s="1"/>
      <c r="CG827" s="1"/>
      <c r="CH827" s="1"/>
      <c r="CP827" s="305"/>
      <c r="CR827" s="116"/>
      <c r="CZ827" s="1"/>
      <c r="DA827" s="1"/>
      <c r="DB827" s="1"/>
      <c r="DC827" s="1"/>
      <c r="DD827" s="1"/>
      <c r="DE827" s="1"/>
      <c r="DF827" s="1"/>
      <c r="DG827" s="1"/>
      <c r="DH827" s="656"/>
      <c r="DJ827" s="116"/>
    </row>
    <row r="828" spans="2:114" ht="15.75" customHeight="1" x14ac:dyDescent="0.25">
      <c r="B828" s="116"/>
      <c r="I828" s="656"/>
      <c r="K828" s="116"/>
      <c r="X828" s="1"/>
      <c r="Y828" s="1"/>
      <c r="Z828" s="1"/>
      <c r="AA828" s="1"/>
      <c r="AB828" s="656"/>
      <c r="AC828" s="1"/>
      <c r="AD828" s="116"/>
      <c r="AL828" s="656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43"/>
      <c r="BL828" s="116"/>
      <c r="BU828" s="1"/>
      <c r="BV828" s="1"/>
      <c r="BW828" s="1"/>
      <c r="BX828" s="656"/>
      <c r="BZ828" s="657"/>
      <c r="CA828" s="1"/>
      <c r="CB828" s="1"/>
      <c r="CC828" s="1"/>
      <c r="CD828" s="1"/>
      <c r="CE828" s="1"/>
      <c r="CF828" s="1"/>
      <c r="CG828" s="1"/>
      <c r="CH828" s="1"/>
      <c r="CP828" s="305"/>
      <c r="CR828" s="116"/>
      <c r="CZ828" s="1"/>
      <c r="DA828" s="1"/>
      <c r="DB828" s="1"/>
      <c r="DC828" s="1"/>
      <c r="DD828" s="1"/>
      <c r="DE828" s="1"/>
      <c r="DF828" s="1"/>
      <c r="DG828" s="1"/>
      <c r="DH828" s="656"/>
      <c r="DJ828" s="116"/>
    </row>
    <row r="829" spans="2:114" ht="15.75" customHeight="1" x14ac:dyDescent="0.25">
      <c r="B829" s="116"/>
      <c r="I829" s="656"/>
      <c r="K829" s="116"/>
      <c r="X829" s="1"/>
      <c r="Y829" s="1"/>
      <c r="Z829" s="1"/>
      <c r="AA829" s="1"/>
      <c r="AB829" s="656"/>
      <c r="AC829" s="1"/>
      <c r="AD829" s="116"/>
      <c r="AL829" s="656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43"/>
      <c r="BL829" s="116"/>
      <c r="BU829" s="1"/>
      <c r="BV829" s="1"/>
      <c r="BW829" s="1"/>
      <c r="BX829" s="656"/>
      <c r="BZ829" s="657"/>
      <c r="CA829" s="1"/>
      <c r="CB829" s="1"/>
      <c r="CC829" s="1"/>
      <c r="CD829" s="1"/>
      <c r="CE829" s="1"/>
      <c r="CF829" s="1"/>
      <c r="CG829" s="1"/>
      <c r="CH829" s="1"/>
      <c r="CP829" s="305"/>
      <c r="CR829" s="116"/>
      <c r="CZ829" s="1"/>
      <c r="DA829" s="1"/>
      <c r="DB829" s="1"/>
      <c r="DC829" s="1"/>
      <c r="DD829" s="1"/>
      <c r="DE829" s="1"/>
      <c r="DF829" s="1"/>
      <c r="DG829" s="1"/>
      <c r="DH829" s="656"/>
      <c r="DJ829" s="116"/>
    </row>
    <row r="830" spans="2:114" ht="15.75" customHeight="1" x14ac:dyDescent="0.25">
      <c r="B830" s="116"/>
      <c r="I830" s="656"/>
      <c r="K830" s="116"/>
      <c r="X830" s="1"/>
      <c r="Y830" s="1"/>
      <c r="Z830" s="1"/>
      <c r="AA830" s="1"/>
      <c r="AB830" s="656"/>
      <c r="AC830" s="1"/>
      <c r="AD830" s="116"/>
      <c r="AL830" s="656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43"/>
      <c r="BL830" s="116"/>
      <c r="BU830" s="1"/>
      <c r="BV830" s="1"/>
      <c r="BW830" s="1"/>
      <c r="BX830" s="656"/>
      <c r="BZ830" s="657"/>
      <c r="CA830" s="1"/>
      <c r="CB830" s="1"/>
      <c r="CC830" s="1"/>
      <c r="CD830" s="1"/>
      <c r="CE830" s="1"/>
      <c r="CF830" s="1"/>
      <c r="CG830" s="1"/>
      <c r="CH830" s="1"/>
      <c r="CP830" s="305"/>
      <c r="CR830" s="116"/>
      <c r="CZ830" s="1"/>
      <c r="DA830" s="1"/>
      <c r="DB830" s="1"/>
      <c r="DC830" s="1"/>
      <c r="DD830" s="1"/>
      <c r="DE830" s="1"/>
      <c r="DF830" s="1"/>
      <c r="DG830" s="1"/>
      <c r="DH830" s="656"/>
      <c r="DJ830" s="116"/>
    </row>
    <row r="831" spans="2:114" ht="15.75" customHeight="1" x14ac:dyDescent="0.25">
      <c r="B831" s="116"/>
      <c r="I831" s="656"/>
      <c r="K831" s="116"/>
      <c r="X831" s="1"/>
      <c r="Y831" s="1"/>
      <c r="Z831" s="1"/>
      <c r="AA831" s="1"/>
      <c r="AB831" s="656"/>
      <c r="AC831" s="1"/>
      <c r="AD831" s="116"/>
      <c r="AL831" s="656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43"/>
      <c r="BL831" s="116"/>
      <c r="BU831" s="1"/>
      <c r="BV831" s="1"/>
      <c r="BW831" s="1"/>
      <c r="BX831" s="656"/>
      <c r="BZ831" s="657"/>
      <c r="CA831" s="1"/>
      <c r="CB831" s="1"/>
      <c r="CC831" s="1"/>
      <c r="CD831" s="1"/>
      <c r="CE831" s="1"/>
      <c r="CF831" s="1"/>
      <c r="CG831" s="1"/>
      <c r="CH831" s="1"/>
      <c r="CP831" s="305"/>
      <c r="CR831" s="116"/>
      <c r="CZ831" s="1"/>
      <c r="DA831" s="1"/>
      <c r="DB831" s="1"/>
      <c r="DC831" s="1"/>
      <c r="DD831" s="1"/>
      <c r="DE831" s="1"/>
      <c r="DF831" s="1"/>
      <c r="DG831" s="1"/>
      <c r="DH831" s="656"/>
      <c r="DJ831" s="116"/>
    </row>
    <row r="832" spans="2:114" ht="15.75" customHeight="1" x14ac:dyDescent="0.25">
      <c r="B832" s="116"/>
      <c r="I832" s="656"/>
      <c r="K832" s="116"/>
      <c r="X832" s="1"/>
      <c r="Y832" s="1"/>
      <c r="Z832" s="1"/>
      <c r="AA832" s="1"/>
      <c r="AB832" s="656"/>
      <c r="AC832" s="1"/>
      <c r="AD832" s="116"/>
      <c r="AL832" s="656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43"/>
      <c r="BL832" s="116"/>
      <c r="BU832" s="1"/>
      <c r="BV832" s="1"/>
      <c r="BW832" s="1"/>
      <c r="BX832" s="656"/>
      <c r="BZ832" s="657"/>
      <c r="CA832" s="1"/>
      <c r="CB832" s="1"/>
      <c r="CC832" s="1"/>
      <c r="CD832" s="1"/>
      <c r="CE832" s="1"/>
      <c r="CF832" s="1"/>
      <c r="CG832" s="1"/>
      <c r="CH832" s="1"/>
      <c r="CP832" s="305"/>
      <c r="CR832" s="116"/>
      <c r="CZ832" s="1"/>
      <c r="DA832" s="1"/>
      <c r="DB832" s="1"/>
      <c r="DC832" s="1"/>
      <c r="DD832" s="1"/>
      <c r="DE832" s="1"/>
      <c r="DF832" s="1"/>
      <c r="DG832" s="1"/>
      <c r="DH832" s="656"/>
      <c r="DJ832" s="116"/>
    </row>
    <row r="833" spans="2:114" ht="15.75" customHeight="1" x14ac:dyDescent="0.25">
      <c r="B833" s="116"/>
      <c r="I833" s="656"/>
      <c r="K833" s="116"/>
      <c r="X833" s="1"/>
      <c r="Y833" s="1"/>
      <c r="Z833" s="1"/>
      <c r="AA833" s="1"/>
      <c r="AB833" s="656"/>
      <c r="AC833" s="1"/>
      <c r="AD833" s="116"/>
      <c r="AL833" s="656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43"/>
      <c r="BL833" s="116"/>
      <c r="BU833" s="1"/>
      <c r="BV833" s="1"/>
      <c r="BW833" s="1"/>
      <c r="BX833" s="656"/>
      <c r="BZ833" s="657"/>
      <c r="CA833" s="1"/>
      <c r="CB833" s="1"/>
      <c r="CC833" s="1"/>
      <c r="CD833" s="1"/>
      <c r="CE833" s="1"/>
      <c r="CF833" s="1"/>
      <c r="CG833" s="1"/>
      <c r="CH833" s="1"/>
      <c r="CP833" s="305"/>
      <c r="CR833" s="116"/>
      <c r="CZ833" s="1"/>
      <c r="DA833" s="1"/>
      <c r="DB833" s="1"/>
      <c r="DC833" s="1"/>
      <c r="DD833" s="1"/>
      <c r="DE833" s="1"/>
      <c r="DF833" s="1"/>
      <c r="DG833" s="1"/>
      <c r="DH833" s="656"/>
      <c r="DJ833" s="116"/>
    </row>
    <row r="834" spans="2:114" ht="15.75" customHeight="1" x14ac:dyDescent="0.25">
      <c r="B834" s="116"/>
      <c r="I834" s="656"/>
      <c r="K834" s="116"/>
      <c r="X834" s="1"/>
      <c r="Y834" s="1"/>
      <c r="Z834" s="1"/>
      <c r="AA834" s="1"/>
      <c r="AB834" s="656"/>
      <c r="AC834" s="1"/>
      <c r="AD834" s="116"/>
      <c r="AL834" s="656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43"/>
      <c r="BL834" s="116"/>
      <c r="BU834" s="1"/>
      <c r="BV834" s="1"/>
      <c r="BW834" s="1"/>
      <c r="BX834" s="656"/>
      <c r="BZ834" s="657"/>
      <c r="CA834" s="1"/>
      <c r="CB834" s="1"/>
      <c r="CC834" s="1"/>
      <c r="CD834" s="1"/>
      <c r="CE834" s="1"/>
      <c r="CF834" s="1"/>
      <c r="CG834" s="1"/>
      <c r="CH834" s="1"/>
      <c r="CP834" s="305"/>
      <c r="CR834" s="116"/>
      <c r="CZ834" s="1"/>
      <c r="DA834" s="1"/>
      <c r="DB834" s="1"/>
      <c r="DC834" s="1"/>
      <c r="DD834" s="1"/>
      <c r="DE834" s="1"/>
      <c r="DF834" s="1"/>
      <c r="DG834" s="1"/>
      <c r="DH834" s="656"/>
      <c r="DJ834" s="116"/>
    </row>
    <row r="835" spans="2:114" ht="15.75" customHeight="1" x14ac:dyDescent="0.25">
      <c r="B835" s="116"/>
      <c r="I835" s="656"/>
      <c r="K835" s="116"/>
      <c r="X835" s="1"/>
      <c r="Y835" s="1"/>
      <c r="Z835" s="1"/>
      <c r="AA835" s="1"/>
      <c r="AB835" s="656"/>
      <c r="AC835" s="1"/>
      <c r="AD835" s="116"/>
      <c r="AL835" s="656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43"/>
      <c r="BL835" s="116"/>
      <c r="BU835" s="1"/>
      <c r="BV835" s="1"/>
      <c r="BW835" s="1"/>
      <c r="BX835" s="656"/>
      <c r="BZ835" s="657"/>
      <c r="CA835" s="1"/>
      <c r="CB835" s="1"/>
      <c r="CC835" s="1"/>
      <c r="CD835" s="1"/>
      <c r="CE835" s="1"/>
      <c r="CF835" s="1"/>
      <c r="CG835" s="1"/>
      <c r="CH835" s="1"/>
      <c r="CP835" s="305"/>
      <c r="CR835" s="116"/>
      <c r="CZ835" s="1"/>
      <c r="DA835" s="1"/>
      <c r="DB835" s="1"/>
      <c r="DC835" s="1"/>
      <c r="DD835" s="1"/>
      <c r="DE835" s="1"/>
      <c r="DF835" s="1"/>
      <c r="DG835" s="1"/>
      <c r="DH835" s="656"/>
      <c r="DJ835" s="116"/>
    </row>
    <row r="836" spans="2:114" ht="15.75" customHeight="1" x14ac:dyDescent="0.25">
      <c r="B836" s="116"/>
      <c r="I836" s="656"/>
      <c r="K836" s="116"/>
      <c r="X836" s="1"/>
      <c r="Y836" s="1"/>
      <c r="Z836" s="1"/>
      <c r="AA836" s="1"/>
      <c r="AB836" s="656"/>
      <c r="AC836" s="1"/>
      <c r="AD836" s="116"/>
      <c r="AL836" s="656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43"/>
      <c r="BL836" s="116"/>
      <c r="BU836" s="1"/>
      <c r="BV836" s="1"/>
      <c r="BW836" s="1"/>
      <c r="BX836" s="656"/>
      <c r="BZ836" s="657"/>
      <c r="CA836" s="1"/>
      <c r="CB836" s="1"/>
      <c r="CC836" s="1"/>
      <c r="CD836" s="1"/>
      <c r="CE836" s="1"/>
      <c r="CF836" s="1"/>
      <c r="CG836" s="1"/>
      <c r="CH836" s="1"/>
      <c r="CP836" s="305"/>
      <c r="CR836" s="116"/>
      <c r="CZ836" s="1"/>
      <c r="DA836" s="1"/>
      <c r="DB836" s="1"/>
      <c r="DC836" s="1"/>
      <c r="DD836" s="1"/>
      <c r="DE836" s="1"/>
      <c r="DF836" s="1"/>
      <c r="DG836" s="1"/>
      <c r="DH836" s="656"/>
      <c r="DJ836" s="116"/>
    </row>
    <row r="837" spans="2:114" ht="15.75" customHeight="1" x14ac:dyDescent="0.25">
      <c r="B837" s="116"/>
      <c r="I837" s="656"/>
      <c r="K837" s="116"/>
      <c r="X837" s="1"/>
      <c r="Y837" s="1"/>
      <c r="Z837" s="1"/>
      <c r="AA837" s="1"/>
      <c r="AB837" s="656"/>
      <c r="AC837" s="1"/>
      <c r="AD837" s="116"/>
      <c r="AL837" s="656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43"/>
      <c r="BL837" s="116"/>
      <c r="BU837" s="1"/>
      <c r="BV837" s="1"/>
      <c r="BW837" s="1"/>
      <c r="BX837" s="656"/>
      <c r="BZ837" s="657"/>
      <c r="CA837" s="1"/>
      <c r="CB837" s="1"/>
      <c r="CC837" s="1"/>
      <c r="CD837" s="1"/>
      <c r="CE837" s="1"/>
      <c r="CF837" s="1"/>
      <c r="CG837" s="1"/>
      <c r="CH837" s="1"/>
      <c r="CP837" s="305"/>
      <c r="CR837" s="116"/>
      <c r="CZ837" s="1"/>
      <c r="DA837" s="1"/>
      <c r="DB837" s="1"/>
      <c r="DC837" s="1"/>
      <c r="DD837" s="1"/>
      <c r="DE837" s="1"/>
      <c r="DF837" s="1"/>
      <c r="DG837" s="1"/>
      <c r="DH837" s="656"/>
      <c r="DJ837" s="116"/>
    </row>
    <row r="838" spans="2:114" ht="15.75" customHeight="1" x14ac:dyDescent="0.25">
      <c r="B838" s="116"/>
      <c r="I838" s="656"/>
      <c r="K838" s="116"/>
      <c r="X838" s="1"/>
      <c r="Y838" s="1"/>
      <c r="Z838" s="1"/>
      <c r="AA838" s="1"/>
      <c r="AB838" s="656"/>
      <c r="AC838" s="1"/>
      <c r="AD838" s="116"/>
      <c r="AL838" s="656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43"/>
      <c r="BL838" s="116"/>
      <c r="BU838" s="1"/>
      <c r="BV838" s="1"/>
      <c r="BW838" s="1"/>
      <c r="BX838" s="656"/>
      <c r="BZ838" s="657"/>
      <c r="CA838" s="1"/>
      <c r="CB838" s="1"/>
      <c r="CC838" s="1"/>
      <c r="CD838" s="1"/>
      <c r="CE838" s="1"/>
      <c r="CF838" s="1"/>
      <c r="CG838" s="1"/>
      <c r="CH838" s="1"/>
      <c r="CP838" s="305"/>
      <c r="CR838" s="116"/>
      <c r="CZ838" s="1"/>
      <c r="DA838" s="1"/>
      <c r="DB838" s="1"/>
      <c r="DC838" s="1"/>
      <c r="DD838" s="1"/>
      <c r="DE838" s="1"/>
      <c r="DF838" s="1"/>
      <c r="DG838" s="1"/>
      <c r="DH838" s="656"/>
      <c r="DJ838" s="116"/>
    </row>
    <row r="839" spans="2:114" ht="15.75" customHeight="1" x14ac:dyDescent="0.25">
      <c r="B839" s="116"/>
      <c r="I839" s="656"/>
      <c r="K839" s="116"/>
      <c r="X839" s="1"/>
      <c r="Y839" s="1"/>
      <c r="Z839" s="1"/>
      <c r="AA839" s="1"/>
      <c r="AB839" s="656"/>
      <c r="AC839" s="1"/>
      <c r="AD839" s="116"/>
      <c r="AL839" s="656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43"/>
      <c r="BL839" s="116"/>
      <c r="BU839" s="1"/>
      <c r="BV839" s="1"/>
      <c r="BW839" s="1"/>
      <c r="BX839" s="656"/>
      <c r="BZ839" s="657"/>
      <c r="CA839" s="1"/>
      <c r="CB839" s="1"/>
      <c r="CC839" s="1"/>
      <c r="CD839" s="1"/>
      <c r="CE839" s="1"/>
      <c r="CF839" s="1"/>
      <c r="CG839" s="1"/>
      <c r="CH839" s="1"/>
      <c r="CP839" s="305"/>
      <c r="CR839" s="116"/>
      <c r="CZ839" s="1"/>
      <c r="DA839" s="1"/>
      <c r="DB839" s="1"/>
      <c r="DC839" s="1"/>
      <c r="DD839" s="1"/>
      <c r="DE839" s="1"/>
      <c r="DF839" s="1"/>
      <c r="DG839" s="1"/>
      <c r="DH839" s="656"/>
      <c r="DJ839" s="116"/>
    </row>
    <row r="840" spans="2:114" ht="15.75" customHeight="1" x14ac:dyDescent="0.25">
      <c r="B840" s="116"/>
      <c r="I840" s="656"/>
      <c r="K840" s="116"/>
      <c r="X840" s="1"/>
      <c r="Y840" s="1"/>
      <c r="Z840" s="1"/>
      <c r="AA840" s="1"/>
      <c r="AB840" s="656"/>
      <c r="AC840" s="1"/>
      <c r="AD840" s="116"/>
      <c r="AL840" s="656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43"/>
      <c r="BL840" s="116"/>
      <c r="BU840" s="1"/>
      <c r="BV840" s="1"/>
      <c r="BW840" s="1"/>
      <c r="BX840" s="656"/>
      <c r="BZ840" s="657"/>
      <c r="CA840" s="1"/>
      <c r="CB840" s="1"/>
      <c r="CC840" s="1"/>
      <c r="CD840" s="1"/>
      <c r="CE840" s="1"/>
      <c r="CF840" s="1"/>
      <c r="CG840" s="1"/>
      <c r="CH840" s="1"/>
      <c r="CP840" s="305"/>
      <c r="CR840" s="116"/>
      <c r="CZ840" s="1"/>
      <c r="DA840" s="1"/>
      <c r="DB840" s="1"/>
      <c r="DC840" s="1"/>
      <c r="DD840" s="1"/>
      <c r="DE840" s="1"/>
      <c r="DF840" s="1"/>
      <c r="DG840" s="1"/>
      <c r="DH840" s="656"/>
      <c r="DJ840" s="116"/>
    </row>
    <row r="841" spans="2:114" ht="15.75" customHeight="1" x14ac:dyDescent="0.25">
      <c r="B841" s="116"/>
      <c r="I841" s="656"/>
      <c r="K841" s="116"/>
      <c r="X841" s="1"/>
      <c r="Y841" s="1"/>
      <c r="Z841" s="1"/>
      <c r="AA841" s="1"/>
      <c r="AB841" s="656"/>
      <c r="AC841" s="1"/>
      <c r="AD841" s="116"/>
      <c r="AL841" s="656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43"/>
      <c r="BL841" s="116"/>
      <c r="BU841" s="1"/>
      <c r="BV841" s="1"/>
      <c r="BW841" s="1"/>
      <c r="BX841" s="656"/>
      <c r="BZ841" s="657"/>
      <c r="CA841" s="1"/>
      <c r="CB841" s="1"/>
      <c r="CC841" s="1"/>
      <c r="CD841" s="1"/>
      <c r="CE841" s="1"/>
      <c r="CF841" s="1"/>
      <c r="CG841" s="1"/>
      <c r="CH841" s="1"/>
      <c r="CP841" s="305"/>
      <c r="CR841" s="116"/>
      <c r="CZ841" s="1"/>
      <c r="DA841" s="1"/>
      <c r="DB841" s="1"/>
      <c r="DC841" s="1"/>
      <c r="DD841" s="1"/>
      <c r="DE841" s="1"/>
      <c r="DF841" s="1"/>
      <c r="DG841" s="1"/>
      <c r="DH841" s="656"/>
      <c r="DJ841" s="116"/>
    </row>
    <row r="842" spans="2:114" ht="15.75" customHeight="1" x14ac:dyDescent="0.25">
      <c r="B842" s="116"/>
      <c r="I842" s="656"/>
      <c r="K842" s="116"/>
      <c r="X842" s="1"/>
      <c r="Y842" s="1"/>
      <c r="Z842" s="1"/>
      <c r="AA842" s="1"/>
      <c r="AB842" s="656"/>
      <c r="AC842" s="1"/>
      <c r="AD842" s="116"/>
      <c r="AL842" s="656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43"/>
      <c r="BL842" s="116"/>
      <c r="BU842" s="1"/>
      <c r="BV842" s="1"/>
      <c r="BW842" s="1"/>
      <c r="BX842" s="656"/>
      <c r="BZ842" s="657"/>
      <c r="CA842" s="1"/>
      <c r="CB842" s="1"/>
      <c r="CC842" s="1"/>
      <c r="CD842" s="1"/>
      <c r="CE842" s="1"/>
      <c r="CF842" s="1"/>
      <c r="CG842" s="1"/>
      <c r="CH842" s="1"/>
      <c r="CP842" s="305"/>
      <c r="CR842" s="116"/>
      <c r="CZ842" s="1"/>
      <c r="DA842" s="1"/>
      <c r="DB842" s="1"/>
      <c r="DC842" s="1"/>
      <c r="DD842" s="1"/>
      <c r="DE842" s="1"/>
      <c r="DF842" s="1"/>
      <c r="DG842" s="1"/>
      <c r="DH842" s="656"/>
      <c r="DJ842" s="116"/>
    </row>
    <row r="843" spans="2:114" ht="15.75" customHeight="1" x14ac:dyDescent="0.25">
      <c r="B843" s="116"/>
      <c r="I843" s="656"/>
      <c r="K843" s="116"/>
      <c r="X843" s="1"/>
      <c r="Y843" s="1"/>
      <c r="Z843" s="1"/>
      <c r="AA843" s="1"/>
      <c r="AB843" s="656"/>
      <c r="AC843" s="1"/>
      <c r="AD843" s="116"/>
      <c r="AL843" s="656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43"/>
      <c r="BL843" s="116"/>
      <c r="BU843" s="1"/>
      <c r="BV843" s="1"/>
      <c r="BW843" s="1"/>
      <c r="BX843" s="656"/>
      <c r="BZ843" s="657"/>
      <c r="CA843" s="1"/>
      <c r="CB843" s="1"/>
      <c r="CC843" s="1"/>
      <c r="CD843" s="1"/>
      <c r="CE843" s="1"/>
      <c r="CF843" s="1"/>
      <c r="CG843" s="1"/>
      <c r="CH843" s="1"/>
      <c r="CP843" s="305"/>
      <c r="CR843" s="116"/>
      <c r="CZ843" s="1"/>
      <c r="DA843" s="1"/>
      <c r="DB843" s="1"/>
      <c r="DC843" s="1"/>
      <c r="DD843" s="1"/>
      <c r="DE843" s="1"/>
      <c r="DF843" s="1"/>
      <c r="DG843" s="1"/>
      <c r="DH843" s="656"/>
      <c r="DJ843" s="116"/>
    </row>
    <row r="844" spans="2:114" ht="15.75" customHeight="1" x14ac:dyDescent="0.25">
      <c r="B844" s="116"/>
      <c r="I844" s="656"/>
      <c r="K844" s="116"/>
      <c r="X844" s="1"/>
      <c r="Y844" s="1"/>
      <c r="Z844" s="1"/>
      <c r="AA844" s="1"/>
      <c r="AB844" s="656"/>
      <c r="AC844" s="1"/>
      <c r="AD844" s="116"/>
      <c r="AL844" s="656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43"/>
      <c r="BL844" s="116"/>
      <c r="BU844" s="1"/>
      <c r="BV844" s="1"/>
      <c r="BW844" s="1"/>
      <c r="BX844" s="656"/>
      <c r="BZ844" s="657"/>
      <c r="CA844" s="1"/>
      <c r="CB844" s="1"/>
      <c r="CC844" s="1"/>
      <c r="CD844" s="1"/>
      <c r="CE844" s="1"/>
      <c r="CF844" s="1"/>
      <c r="CG844" s="1"/>
      <c r="CH844" s="1"/>
      <c r="CP844" s="305"/>
      <c r="CR844" s="116"/>
      <c r="CZ844" s="1"/>
      <c r="DA844" s="1"/>
      <c r="DB844" s="1"/>
      <c r="DC844" s="1"/>
      <c r="DD844" s="1"/>
      <c r="DE844" s="1"/>
      <c r="DF844" s="1"/>
      <c r="DG844" s="1"/>
      <c r="DH844" s="656"/>
      <c r="DJ844" s="116"/>
    </row>
    <row r="845" spans="2:114" ht="15.75" customHeight="1" x14ac:dyDescent="0.25">
      <c r="B845" s="116"/>
      <c r="I845" s="656"/>
      <c r="K845" s="116"/>
      <c r="X845" s="1"/>
      <c r="Y845" s="1"/>
      <c r="Z845" s="1"/>
      <c r="AA845" s="1"/>
      <c r="AB845" s="656"/>
      <c r="AC845" s="1"/>
      <c r="AD845" s="116"/>
      <c r="AL845" s="656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43"/>
      <c r="BL845" s="116"/>
      <c r="BU845" s="1"/>
      <c r="BV845" s="1"/>
      <c r="BW845" s="1"/>
      <c r="BX845" s="656"/>
      <c r="BZ845" s="657"/>
      <c r="CA845" s="1"/>
      <c r="CB845" s="1"/>
      <c r="CC845" s="1"/>
      <c r="CD845" s="1"/>
      <c r="CE845" s="1"/>
      <c r="CF845" s="1"/>
      <c r="CG845" s="1"/>
      <c r="CH845" s="1"/>
      <c r="CP845" s="305"/>
      <c r="CR845" s="116"/>
      <c r="CZ845" s="1"/>
      <c r="DA845" s="1"/>
      <c r="DB845" s="1"/>
      <c r="DC845" s="1"/>
      <c r="DD845" s="1"/>
      <c r="DE845" s="1"/>
      <c r="DF845" s="1"/>
      <c r="DG845" s="1"/>
      <c r="DH845" s="656"/>
      <c r="DJ845" s="116"/>
    </row>
    <row r="846" spans="2:114" ht="15.75" customHeight="1" x14ac:dyDescent="0.25">
      <c r="B846" s="116"/>
      <c r="I846" s="656"/>
      <c r="K846" s="116"/>
      <c r="X846" s="1"/>
      <c r="Y846" s="1"/>
      <c r="Z846" s="1"/>
      <c r="AA846" s="1"/>
      <c r="AB846" s="656"/>
      <c r="AC846" s="1"/>
      <c r="AD846" s="116"/>
      <c r="AL846" s="656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43"/>
      <c r="BL846" s="116"/>
      <c r="BU846" s="1"/>
      <c r="BV846" s="1"/>
      <c r="BW846" s="1"/>
      <c r="BX846" s="656"/>
      <c r="BZ846" s="657"/>
      <c r="CA846" s="1"/>
      <c r="CB846" s="1"/>
      <c r="CC846" s="1"/>
      <c r="CD846" s="1"/>
      <c r="CE846" s="1"/>
      <c r="CF846" s="1"/>
      <c r="CG846" s="1"/>
      <c r="CH846" s="1"/>
      <c r="CP846" s="305"/>
      <c r="CR846" s="116"/>
      <c r="CZ846" s="1"/>
      <c r="DA846" s="1"/>
      <c r="DB846" s="1"/>
      <c r="DC846" s="1"/>
      <c r="DD846" s="1"/>
      <c r="DE846" s="1"/>
      <c r="DF846" s="1"/>
      <c r="DG846" s="1"/>
      <c r="DH846" s="656"/>
      <c r="DJ846" s="116"/>
    </row>
    <row r="847" spans="2:114" ht="15.75" customHeight="1" x14ac:dyDescent="0.25">
      <c r="B847" s="116"/>
      <c r="I847" s="656"/>
      <c r="K847" s="116"/>
      <c r="X847" s="1"/>
      <c r="Y847" s="1"/>
      <c r="Z847" s="1"/>
      <c r="AA847" s="1"/>
      <c r="AB847" s="656"/>
      <c r="AC847" s="1"/>
      <c r="AD847" s="116"/>
      <c r="AL847" s="656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43"/>
      <c r="BL847" s="116"/>
      <c r="BU847" s="1"/>
      <c r="BV847" s="1"/>
      <c r="BW847" s="1"/>
      <c r="BX847" s="656"/>
      <c r="BZ847" s="657"/>
      <c r="CA847" s="1"/>
      <c r="CB847" s="1"/>
      <c r="CC847" s="1"/>
      <c r="CD847" s="1"/>
      <c r="CE847" s="1"/>
      <c r="CF847" s="1"/>
      <c r="CG847" s="1"/>
      <c r="CH847" s="1"/>
      <c r="CP847" s="305"/>
      <c r="CR847" s="116"/>
      <c r="CZ847" s="1"/>
      <c r="DA847" s="1"/>
      <c r="DB847" s="1"/>
      <c r="DC847" s="1"/>
      <c r="DD847" s="1"/>
      <c r="DE847" s="1"/>
      <c r="DF847" s="1"/>
      <c r="DG847" s="1"/>
      <c r="DH847" s="656"/>
      <c r="DJ847" s="116"/>
    </row>
    <row r="848" spans="2:114" ht="15.75" customHeight="1" x14ac:dyDescent="0.25">
      <c r="B848" s="116"/>
      <c r="I848" s="656"/>
      <c r="K848" s="116"/>
      <c r="X848" s="1"/>
      <c r="Y848" s="1"/>
      <c r="Z848" s="1"/>
      <c r="AA848" s="1"/>
      <c r="AB848" s="656"/>
      <c r="AC848" s="1"/>
      <c r="AD848" s="116"/>
      <c r="AL848" s="656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43"/>
      <c r="BL848" s="116"/>
      <c r="BU848" s="1"/>
      <c r="BV848" s="1"/>
      <c r="BW848" s="1"/>
      <c r="BX848" s="656"/>
      <c r="BZ848" s="657"/>
      <c r="CA848" s="1"/>
      <c r="CB848" s="1"/>
      <c r="CC848" s="1"/>
      <c r="CD848" s="1"/>
      <c r="CE848" s="1"/>
      <c r="CF848" s="1"/>
      <c r="CG848" s="1"/>
      <c r="CH848" s="1"/>
      <c r="CP848" s="305"/>
      <c r="CR848" s="116"/>
      <c r="CZ848" s="1"/>
      <c r="DA848" s="1"/>
      <c r="DB848" s="1"/>
      <c r="DC848" s="1"/>
      <c r="DD848" s="1"/>
      <c r="DE848" s="1"/>
      <c r="DF848" s="1"/>
      <c r="DG848" s="1"/>
      <c r="DH848" s="656"/>
      <c r="DJ848" s="116"/>
    </row>
    <row r="849" spans="2:114" ht="15.75" customHeight="1" x14ac:dyDescent="0.25">
      <c r="B849" s="116"/>
      <c r="I849" s="656"/>
      <c r="K849" s="116"/>
      <c r="X849" s="1"/>
      <c r="Y849" s="1"/>
      <c r="Z849" s="1"/>
      <c r="AA849" s="1"/>
      <c r="AB849" s="656"/>
      <c r="AC849" s="1"/>
      <c r="AD849" s="116"/>
      <c r="AL849" s="656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43"/>
      <c r="BL849" s="116"/>
      <c r="BU849" s="1"/>
      <c r="BV849" s="1"/>
      <c r="BW849" s="1"/>
      <c r="BX849" s="656"/>
      <c r="BZ849" s="657"/>
      <c r="CA849" s="1"/>
      <c r="CB849" s="1"/>
      <c r="CC849" s="1"/>
      <c r="CD849" s="1"/>
      <c r="CE849" s="1"/>
      <c r="CF849" s="1"/>
      <c r="CG849" s="1"/>
      <c r="CH849" s="1"/>
      <c r="CP849" s="305"/>
      <c r="CR849" s="116"/>
      <c r="CZ849" s="1"/>
      <c r="DA849" s="1"/>
      <c r="DB849" s="1"/>
      <c r="DC849" s="1"/>
      <c r="DD849" s="1"/>
      <c r="DE849" s="1"/>
      <c r="DF849" s="1"/>
      <c r="DG849" s="1"/>
      <c r="DH849" s="656"/>
      <c r="DJ849" s="116"/>
    </row>
    <row r="850" spans="2:114" ht="15.75" customHeight="1" x14ac:dyDescent="0.25">
      <c r="B850" s="116"/>
      <c r="I850" s="656"/>
      <c r="K850" s="116"/>
      <c r="X850" s="1"/>
      <c r="Y850" s="1"/>
      <c r="Z850" s="1"/>
      <c r="AA850" s="1"/>
      <c r="AB850" s="656"/>
      <c r="AC850" s="1"/>
      <c r="AD850" s="116"/>
      <c r="AL850" s="656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43"/>
      <c r="BL850" s="116"/>
      <c r="BU850" s="1"/>
      <c r="BV850" s="1"/>
      <c r="BW850" s="1"/>
      <c r="BX850" s="656"/>
      <c r="BZ850" s="657"/>
      <c r="CA850" s="1"/>
      <c r="CB850" s="1"/>
      <c r="CC850" s="1"/>
      <c r="CD850" s="1"/>
      <c r="CE850" s="1"/>
      <c r="CF850" s="1"/>
      <c r="CG850" s="1"/>
      <c r="CH850" s="1"/>
      <c r="CP850" s="305"/>
      <c r="CR850" s="116"/>
      <c r="CZ850" s="1"/>
      <c r="DA850" s="1"/>
      <c r="DB850" s="1"/>
      <c r="DC850" s="1"/>
      <c r="DD850" s="1"/>
      <c r="DE850" s="1"/>
      <c r="DF850" s="1"/>
      <c r="DG850" s="1"/>
      <c r="DH850" s="656"/>
      <c r="DJ850" s="116"/>
    </row>
    <row r="851" spans="2:114" ht="15.75" customHeight="1" x14ac:dyDescent="0.25">
      <c r="B851" s="116"/>
      <c r="I851" s="656"/>
      <c r="K851" s="116"/>
      <c r="X851" s="1"/>
      <c r="Y851" s="1"/>
      <c r="Z851" s="1"/>
      <c r="AA851" s="1"/>
      <c r="AB851" s="656"/>
      <c r="AC851" s="1"/>
      <c r="AD851" s="116"/>
      <c r="AL851" s="656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43"/>
      <c r="BL851" s="116"/>
      <c r="BU851" s="1"/>
      <c r="BV851" s="1"/>
      <c r="BW851" s="1"/>
      <c r="BX851" s="656"/>
      <c r="BZ851" s="657"/>
      <c r="CA851" s="1"/>
      <c r="CB851" s="1"/>
      <c r="CC851" s="1"/>
      <c r="CD851" s="1"/>
      <c r="CE851" s="1"/>
      <c r="CF851" s="1"/>
      <c r="CG851" s="1"/>
      <c r="CH851" s="1"/>
      <c r="CP851" s="305"/>
      <c r="CR851" s="116"/>
      <c r="CZ851" s="1"/>
      <c r="DA851" s="1"/>
      <c r="DB851" s="1"/>
      <c r="DC851" s="1"/>
      <c r="DD851" s="1"/>
      <c r="DE851" s="1"/>
      <c r="DF851" s="1"/>
      <c r="DG851" s="1"/>
      <c r="DH851" s="656"/>
      <c r="DJ851" s="116"/>
    </row>
    <row r="852" spans="2:114" ht="15.75" customHeight="1" x14ac:dyDescent="0.25">
      <c r="B852" s="116"/>
      <c r="I852" s="656"/>
      <c r="K852" s="116"/>
      <c r="X852" s="1"/>
      <c r="Y852" s="1"/>
      <c r="Z852" s="1"/>
      <c r="AA852" s="1"/>
      <c r="AB852" s="656"/>
      <c r="AC852" s="1"/>
      <c r="AD852" s="116"/>
      <c r="AL852" s="656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43"/>
      <c r="BL852" s="116"/>
      <c r="BU852" s="1"/>
      <c r="BV852" s="1"/>
      <c r="BW852" s="1"/>
      <c r="BX852" s="656"/>
      <c r="BZ852" s="657"/>
      <c r="CA852" s="1"/>
      <c r="CB852" s="1"/>
      <c r="CC852" s="1"/>
      <c r="CD852" s="1"/>
      <c r="CE852" s="1"/>
      <c r="CF852" s="1"/>
      <c r="CG852" s="1"/>
      <c r="CH852" s="1"/>
      <c r="CP852" s="305"/>
      <c r="CR852" s="116"/>
      <c r="CZ852" s="1"/>
      <c r="DA852" s="1"/>
      <c r="DB852" s="1"/>
      <c r="DC852" s="1"/>
      <c r="DD852" s="1"/>
      <c r="DE852" s="1"/>
      <c r="DF852" s="1"/>
      <c r="DG852" s="1"/>
      <c r="DH852" s="656"/>
      <c r="DJ852" s="116"/>
    </row>
    <row r="853" spans="2:114" ht="15.75" customHeight="1" x14ac:dyDescent="0.25">
      <c r="B853" s="116"/>
      <c r="I853" s="656"/>
      <c r="K853" s="116"/>
      <c r="X853" s="1"/>
      <c r="Y853" s="1"/>
      <c r="Z853" s="1"/>
      <c r="AA853" s="1"/>
      <c r="AB853" s="656"/>
      <c r="AC853" s="1"/>
      <c r="AD853" s="116"/>
      <c r="AL853" s="656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43"/>
      <c r="BL853" s="116"/>
      <c r="BU853" s="1"/>
      <c r="BV853" s="1"/>
      <c r="BW853" s="1"/>
      <c r="BX853" s="656"/>
      <c r="BZ853" s="657"/>
      <c r="CA853" s="1"/>
      <c r="CB853" s="1"/>
      <c r="CC853" s="1"/>
      <c r="CD853" s="1"/>
      <c r="CE853" s="1"/>
      <c r="CF853" s="1"/>
      <c r="CG853" s="1"/>
      <c r="CH853" s="1"/>
      <c r="CP853" s="305"/>
      <c r="CR853" s="116"/>
      <c r="CZ853" s="1"/>
      <c r="DA853" s="1"/>
      <c r="DB853" s="1"/>
      <c r="DC853" s="1"/>
      <c r="DD853" s="1"/>
      <c r="DE853" s="1"/>
      <c r="DF853" s="1"/>
      <c r="DG853" s="1"/>
      <c r="DH853" s="656"/>
      <c r="DJ853" s="116"/>
    </row>
    <row r="854" spans="2:114" ht="15.75" customHeight="1" x14ac:dyDescent="0.25">
      <c r="B854" s="116"/>
      <c r="I854" s="656"/>
      <c r="K854" s="116"/>
      <c r="X854" s="1"/>
      <c r="Y854" s="1"/>
      <c r="Z854" s="1"/>
      <c r="AA854" s="1"/>
      <c r="AB854" s="656"/>
      <c r="AC854" s="1"/>
      <c r="AD854" s="116"/>
      <c r="AL854" s="656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43"/>
      <c r="BL854" s="116"/>
      <c r="BU854" s="1"/>
      <c r="BV854" s="1"/>
      <c r="BW854" s="1"/>
      <c r="BX854" s="656"/>
      <c r="BZ854" s="657"/>
      <c r="CA854" s="1"/>
      <c r="CB854" s="1"/>
      <c r="CC854" s="1"/>
      <c r="CD854" s="1"/>
      <c r="CE854" s="1"/>
      <c r="CF854" s="1"/>
      <c r="CG854" s="1"/>
      <c r="CH854" s="1"/>
      <c r="CP854" s="305"/>
      <c r="CR854" s="116"/>
      <c r="CZ854" s="1"/>
      <c r="DA854" s="1"/>
      <c r="DB854" s="1"/>
      <c r="DC854" s="1"/>
      <c r="DD854" s="1"/>
      <c r="DE854" s="1"/>
      <c r="DF854" s="1"/>
      <c r="DG854" s="1"/>
      <c r="DH854" s="656"/>
      <c r="DJ854" s="116"/>
    </row>
    <row r="855" spans="2:114" ht="15.75" customHeight="1" x14ac:dyDescent="0.25">
      <c r="B855" s="116"/>
      <c r="I855" s="656"/>
      <c r="K855" s="116"/>
      <c r="X855" s="1"/>
      <c r="Y855" s="1"/>
      <c r="Z855" s="1"/>
      <c r="AA855" s="1"/>
      <c r="AB855" s="656"/>
      <c r="AC855" s="1"/>
      <c r="AD855" s="116"/>
      <c r="AL855" s="656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43"/>
      <c r="BL855" s="116"/>
      <c r="BU855" s="1"/>
      <c r="BV855" s="1"/>
      <c r="BW855" s="1"/>
      <c r="BX855" s="656"/>
      <c r="BZ855" s="657"/>
      <c r="CA855" s="1"/>
      <c r="CB855" s="1"/>
      <c r="CC855" s="1"/>
      <c r="CD855" s="1"/>
      <c r="CE855" s="1"/>
      <c r="CF855" s="1"/>
      <c r="CG855" s="1"/>
      <c r="CH855" s="1"/>
      <c r="CP855" s="305"/>
      <c r="CR855" s="116"/>
      <c r="CZ855" s="1"/>
      <c r="DA855" s="1"/>
      <c r="DB855" s="1"/>
      <c r="DC855" s="1"/>
      <c r="DD855" s="1"/>
      <c r="DE855" s="1"/>
      <c r="DF855" s="1"/>
      <c r="DG855" s="1"/>
      <c r="DH855" s="656"/>
      <c r="DJ855" s="116"/>
    </row>
    <row r="856" spans="2:114" ht="15.75" customHeight="1" x14ac:dyDescent="0.25">
      <c r="B856" s="116"/>
      <c r="I856" s="656"/>
      <c r="K856" s="116"/>
      <c r="X856" s="1"/>
      <c r="Y856" s="1"/>
      <c r="Z856" s="1"/>
      <c r="AA856" s="1"/>
      <c r="AB856" s="656"/>
      <c r="AC856" s="1"/>
      <c r="AD856" s="116"/>
      <c r="AL856" s="656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43"/>
      <c r="BL856" s="116"/>
      <c r="BU856" s="1"/>
      <c r="BV856" s="1"/>
      <c r="BW856" s="1"/>
      <c r="BX856" s="656"/>
      <c r="BZ856" s="657"/>
      <c r="CA856" s="1"/>
      <c r="CB856" s="1"/>
      <c r="CC856" s="1"/>
      <c r="CD856" s="1"/>
      <c r="CE856" s="1"/>
      <c r="CF856" s="1"/>
      <c r="CG856" s="1"/>
      <c r="CH856" s="1"/>
      <c r="CP856" s="305"/>
      <c r="CR856" s="116"/>
      <c r="CZ856" s="1"/>
      <c r="DA856" s="1"/>
      <c r="DB856" s="1"/>
      <c r="DC856" s="1"/>
      <c r="DD856" s="1"/>
      <c r="DE856" s="1"/>
      <c r="DF856" s="1"/>
      <c r="DG856" s="1"/>
      <c r="DH856" s="656"/>
      <c r="DJ856" s="116"/>
    </row>
    <row r="857" spans="2:114" ht="15.75" customHeight="1" x14ac:dyDescent="0.25">
      <c r="B857" s="116"/>
      <c r="I857" s="656"/>
      <c r="K857" s="116"/>
      <c r="X857" s="1"/>
      <c r="Y857" s="1"/>
      <c r="Z857" s="1"/>
      <c r="AA857" s="1"/>
      <c r="AB857" s="656"/>
      <c r="AC857" s="1"/>
      <c r="AD857" s="116"/>
      <c r="AL857" s="656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43"/>
      <c r="BL857" s="116"/>
      <c r="BU857" s="1"/>
      <c r="BV857" s="1"/>
      <c r="BW857" s="1"/>
      <c r="BX857" s="656"/>
      <c r="BZ857" s="657"/>
      <c r="CA857" s="1"/>
      <c r="CB857" s="1"/>
      <c r="CC857" s="1"/>
      <c r="CD857" s="1"/>
      <c r="CE857" s="1"/>
      <c r="CF857" s="1"/>
      <c r="CG857" s="1"/>
      <c r="CH857" s="1"/>
      <c r="CP857" s="305"/>
      <c r="CR857" s="116"/>
      <c r="CZ857" s="1"/>
      <c r="DA857" s="1"/>
      <c r="DB857" s="1"/>
      <c r="DC857" s="1"/>
      <c r="DD857" s="1"/>
      <c r="DE857" s="1"/>
      <c r="DF857" s="1"/>
      <c r="DG857" s="1"/>
      <c r="DH857" s="656"/>
      <c r="DJ857" s="116"/>
    </row>
    <row r="858" spans="2:114" ht="15.75" customHeight="1" x14ac:dyDescent="0.25">
      <c r="B858" s="116"/>
      <c r="I858" s="656"/>
      <c r="K858" s="116"/>
      <c r="X858" s="1"/>
      <c r="Y858" s="1"/>
      <c r="Z858" s="1"/>
      <c r="AA858" s="1"/>
      <c r="AB858" s="656"/>
      <c r="AC858" s="1"/>
      <c r="AD858" s="116"/>
      <c r="AL858" s="656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43"/>
      <c r="BL858" s="116"/>
      <c r="BU858" s="1"/>
      <c r="BV858" s="1"/>
      <c r="BW858" s="1"/>
      <c r="BX858" s="656"/>
      <c r="BZ858" s="657"/>
      <c r="CA858" s="1"/>
      <c r="CB858" s="1"/>
      <c r="CC858" s="1"/>
      <c r="CD858" s="1"/>
      <c r="CE858" s="1"/>
      <c r="CF858" s="1"/>
      <c r="CG858" s="1"/>
      <c r="CH858" s="1"/>
      <c r="CP858" s="305"/>
      <c r="CR858" s="116"/>
      <c r="CZ858" s="1"/>
      <c r="DA858" s="1"/>
      <c r="DB858" s="1"/>
      <c r="DC858" s="1"/>
      <c r="DD858" s="1"/>
      <c r="DE858" s="1"/>
      <c r="DF858" s="1"/>
      <c r="DG858" s="1"/>
      <c r="DH858" s="656"/>
      <c r="DJ858" s="116"/>
    </row>
    <row r="859" spans="2:114" ht="15.75" customHeight="1" x14ac:dyDescent="0.25">
      <c r="B859" s="116"/>
      <c r="I859" s="656"/>
      <c r="K859" s="116"/>
      <c r="X859" s="1"/>
      <c r="Y859" s="1"/>
      <c r="Z859" s="1"/>
      <c r="AA859" s="1"/>
      <c r="AB859" s="656"/>
      <c r="AC859" s="1"/>
      <c r="AD859" s="116"/>
      <c r="AL859" s="656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43"/>
      <c r="BL859" s="116"/>
      <c r="BU859" s="1"/>
      <c r="BV859" s="1"/>
      <c r="BW859" s="1"/>
      <c r="BX859" s="656"/>
      <c r="BZ859" s="657"/>
      <c r="CA859" s="1"/>
      <c r="CB859" s="1"/>
      <c r="CC859" s="1"/>
      <c r="CD859" s="1"/>
      <c r="CE859" s="1"/>
      <c r="CF859" s="1"/>
      <c r="CG859" s="1"/>
      <c r="CH859" s="1"/>
      <c r="CP859" s="305"/>
      <c r="CR859" s="116"/>
      <c r="CZ859" s="1"/>
      <c r="DA859" s="1"/>
      <c r="DB859" s="1"/>
      <c r="DC859" s="1"/>
      <c r="DD859" s="1"/>
      <c r="DE859" s="1"/>
      <c r="DF859" s="1"/>
      <c r="DG859" s="1"/>
      <c r="DH859" s="656"/>
      <c r="DJ859" s="116"/>
    </row>
    <row r="860" spans="2:114" ht="15.75" customHeight="1" x14ac:dyDescent="0.25">
      <c r="B860" s="116"/>
      <c r="I860" s="656"/>
      <c r="K860" s="116"/>
      <c r="X860" s="1"/>
      <c r="Y860" s="1"/>
      <c r="Z860" s="1"/>
      <c r="AA860" s="1"/>
      <c r="AB860" s="656"/>
      <c r="AC860" s="1"/>
      <c r="AD860" s="116"/>
      <c r="AL860" s="656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43"/>
      <c r="BL860" s="116"/>
      <c r="BU860" s="1"/>
      <c r="BV860" s="1"/>
      <c r="BW860" s="1"/>
      <c r="BX860" s="656"/>
      <c r="BZ860" s="657"/>
      <c r="CA860" s="1"/>
      <c r="CB860" s="1"/>
      <c r="CC860" s="1"/>
      <c r="CD860" s="1"/>
      <c r="CE860" s="1"/>
      <c r="CF860" s="1"/>
      <c r="CG860" s="1"/>
      <c r="CH860" s="1"/>
      <c r="CP860" s="305"/>
      <c r="CR860" s="116"/>
      <c r="CZ860" s="1"/>
      <c r="DA860" s="1"/>
      <c r="DB860" s="1"/>
      <c r="DC860" s="1"/>
      <c r="DD860" s="1"/>
      <c r="DE860" s="1"/>
      <c r="DF860" s="1"/>
      <c r="DG860" s="1"/>
      <c r="DH860" s="656"/>
      <c r="DJ860" s="116"/>
    </row>
    <row r="861" spans="2:114" ht="15.75" customHeight="1" x14ac:dyDescent="0.25">
      <c r="B861" s="116"/>
      <c r="I861" s="656"/>
      <c r="K861" s="116"/>
      <c r="X861" s="1"/>
      <c r="Y861" s="1"/>
      <c r="Z861" s="1"/>
      <c r="AA861" s="1"/>
      <c r="AB861" s="656"/>
      <c r="AC861" s="1"/>
      <c r="AD861" s="116"/>
      <c r="AL861" s="656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43"/>
      <c r="BL861" s="116"/>
      <c r="BU861" s="1"/>
      <c r="BV861" s="1"/>
      <c r="BW861" s="1"/>
      <c r="BX861" s="656"/>
      <c r="BZ861" s="657"/>
      <c r="CA861" s="1"/>
      <c r="CB861" s="1"/>
      <c r="CC861" s="1"/>
      <c r="CD861" s="1"/>
      <c r="CE861" s="1"/>
      <c r="CF861" s="1"/>
      <c r="CG861" s="1"/>
      <c r="CH861" s="1"/>
      <c r="CP861" s="305"/>
      <c r="CR861" s="116"/>
      <c r="CZ861" s="1"/>
      <c r="DA861" s="1"/>
      <c r="DB861" s="1"/>
      <c r="DC861" s="1"/>
      <c r="DD861" s="1"/>
      <c r="DE861" s="1"/>
      <c r="DF861" s="1"/>
      <c r="DG861" s="1"/>
      <c r="DH861" s="656"/>
      <c r="DJ861" s="116"/>
    </row>
    <row r="862" spans="2:114" ht="15.75" customHeight="1" x14ac:dyDescent="0.25">
      <c r="B862" s="116"/>
      <c r="I862" s="656"/>
      <c r="K862" s="116"/>
      <c r="X862" s="1"/>
      <c r="Y862" s="1"/>
      <c r="Z862" s="1"/>
      <c r="AA862" s="1"/>
      <c r="AB862" s="656"/>
      <c r="AC862" s="1"/>
      <c r="AD862" s="116"/>
      <c r="AL862" s="656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43"/>
      <c r="BL862" s="116"/>
      <c r="BU862" s="1"/>
      <c r="BV862" s="1"/>
      <c r="BW862" s="1"/>
      <c r="BX862" s="656"/>
      <c r="BZ862" s="657"/>
      <c r="CA862" s="1"/>
      <c r="CB862" s="1"/>
      <c r="CC862" s="1"/>
      <c r="CD862" s="1"/>
      <c r="CE862" s="1"/>
      <c r="CF862" s="1"/>
      <c r="CG862" s="1"/>
      <c r="CH862" s="1"/>
      <c r="CP862" s="305"/>
      <c r="CR862" s="116"/>
      <c r="CZ862" s="1"/>
      <c r="DA862" s="1"/>
      <c r="DB862" s="1"/>
      <c r="DC862" s="1"/>
      <c r="DD862" s="1"/>
      <c r="DE862" s="1"/>
      <c r="DF862" s="1"/>
      <c r="DG862" s="1"/>
      <c r="DH862" s="656"/>
      <c r="DJ862" s="116"/>
    </row>
    <row r="863" spans="2:114" ht="15.75" customHeight="1" x14ac:dyDescent="0.25">
      <c r="B863" s="116"/>
      <c r="I863" s="656"/>
      <c r="K863" s="116"/>
      <c r="X863" s="1"/>
      <c r="Y863" s="1"/>
      <c r="Z863" s="1"/>
      <c r="AA863" s="1"/>
      <c r="AB863" s="656"/>
      <c r="AC863" s="1"/>
      <c r="AD863" s="116"/>
      <c r="AL863" s="656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43"/>
      <c r="BL863" s="116"/>
      <c r="BU863" s="1"/>
      <c r="BV863" s="1"/>
      <c r="BW863" s="1"/>
      <c r="BX863" s="656"/>
      <c r="BZ863" s="657"/>
      <c r="CA863" s="1"/>
      <c r="CB863" s="1"/>
      <c r="CC863" s="1"/>
      <c r="CD863" s="1"/>
      <c r="CE863" s="1"/>
      <c r="CF863" s="1"/>
      <c r="CG863" s="1"/>
      <c r="CH863" s="1"/>
      <c r="CP863" s="305"/>
      <c r="CR863" s="116"/>
      <c r="CZ863" s="1"/>
      <c r="DA863" s="1"/>
      <c r="DB863" s="1"/>
      <c r="DC863" s="1"/>
      <c r="DD863" s="1"/>
      <c r="DE863" s="1"/>
      <c r="DF863" s="1"/>
      <c r="DG863" s="1"/>
      <c r="DH863" s="656"/>
      <c r="DJ863" s="116"/>
    </row>
    <row r="864" spans="2:114" ht="15.75" customHeight="1" x14ac:dyDescent="0.25">
      <c r="B864" s="116"/>
      <c r="I864" s="656"/>
      <c r="K864" s="116"/>
      <c r="X864" s="1"/>
      <c r="Y864" s="1"/>
      <c r="Z864" s="1"/>
      <c r="AA864" s="1"/>
      <c r="AB864" s="656"/>
      <c r="AC864" s="1"/>
      <c r="AD864" s="116"/>
      <c r="AL864" s="656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43"/>
      <c r="BL864" s="116"/>
      <c r="BU864" s="1"/>
      <c r="BV864" s="1"/>
      <c r="BW864" s="1"/>
      <c r="BX864" s="656"/>
      <c r="BZ864" s="657"/>
      <c r="CA864" s="1"/>
      <c r="CB864" s="1"/>
      <c r="CC864" s="1"/>
      <c r="CD864" s="1"/>
      <c r="CE864" s="1"/>
      <c r="CF864" s="1"/>
      <c r="CG864" s="1"/>
      <c r="CH864" s="1"/>
      <c r="CP864" s="305"/>
      <c r="CR864" s="116"/>
      <c r="CZ864" s="1"/>
      <c r="DA864" s="1"/>
      <c r="DB864" s="1"/>
      <c r="DC864" s="1"/>
      <c r="DD864" s="1"/>
      <c r="DE864" s="1"/>
      <c r="DF864" s="1"/>
      <c r="DG864" s="1"/>
      <c r="DH864" s="656"/>
      <c r="DJ864" s="116"/>
    </row>
    <row r="865" spans="2:114" ht="15.75" customHeight="1" x14ac:dyDescent="0.25">
      <c r="B865" s="116"/>
      <c r="I865" s="656"/>
      <c r="K865" s="116"/>
      <c r="X865" s="1"/>
      <c r="Y865" s="1"/>
      <c r="Z865" s="1"/>
      <c r="AA865" s="1"/>
      <c r="AB865" s="656"/>
      <c r="AC865" s="1"/>
      <c r="AD865" s="116"/>
      <c r="AL865" s="656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43"/>
      <c r="BL865" s="116"/>
      <c r="BU865" s="1"/>
      <c r="BV865" s="1"/>
      <c r="BW865" s="1"/>
      <c r="BX865" s="656"/>
      <c r="BZ865" s="657"/>
      <c r="CA865" s="1"/>
      <c r="CB865" s="1"/>
      <c r="CC865" s="1"/>
      <c r="CD865" s="1"/>
      <c r="CE865" s="1"/>
      <c r="CF865" s="1"/>
      <c r="CG865" s="1"/>
      <c r="CH865" s="1"/>
      <c r="CP865" s="305"/>
      <c r="CR865" s="116"/>
      <c r="CZ865" s="1"/>
      <c r="DA865" s="1"/>
      <c r="DB865" s="1"/>
      <c r="DC865" s="1"/>
      <c r="DD865" s="1"/>
      <c r="DE865" s="1"/>
      <c r="DF865" s="1"/>
      <c r="DG865" s="1"/>
      <c r="DH865" s="656"/>
      <c r="DJ865" s="116"/>
    </row>
    <row r="866" spans="2:114" ht="15.75" customHeight="1" x14ac:dyDescent="0.25">
      <c r="B866" s="116"/>
      <c r="I866" s="656"/>
      <c r="K866" s="116"/>
      <c r="X866" s="1"/>
      <c r="Y866" s="1"/>
      <c r="Z866" s="1"/>
      <c r="AA866" s="1"/>
      <c r="AB866" s="656"/>
      <c r="AC866" s="1"/>
      <c r="AD866" s="116"/>
      <c r="AL866" s="656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43"/>
      <c r="BL866" s="116"/>
      <c r="BU866" s="1"/>
      <c r="BV866" s="1"/>
      <c r="BW866" s="1"/>
      <c r="BX866" s="656"/>
      <c r="BZ866" s="657"/>
      <c r="CA866" s="1"/>
      <c r="CB866" s="1"/>
      <c r="CC866" s="1"/>
      <c r="CD866" s="1"/>
      <c r="CE866" s="1"/>
      <c r="CF866" s="1"/>
      <c r="CG866" s="1"/>
      <c r="CH866" s="1"/>
      <c r="CP866" s="305"/>
      <c r="CR866" s="116"/>
      <c r="CZ866" s="1"/>
      <c r="DA866" s="1"/>
      <c r="DB866" s="1"/>
      <c r="DC866" s="1"/>
      <c r="DD866" s="1"/>
      <c r="DE866" s="1"/>
      <c r="DF866" s="1"/>
      <c r="DG866" s="1"/>
      <c r="DH866" s="656"/>
      <c r="DJ866" s="116"/>
    </row>
    <row r="867" spans="2:114" ht="15.75" customHeight="1" x14ac:dyDescent="0.25">
      <c r="B867" s="116"/>
      <c r="I867" s="656"/>
      <c r="K867" s="116"/>
      <c r="X867" s="1"/>
      <c r="Y867" s="1"/>
      <c r="Z867" s="1"/>
      <c r="AA867" s="1"/>
      <c r="AB867" s="656"/>
      <c r="AC867" s="1"/>
      <c r="AD867" s="116"/>
      <c r="AL867" s="656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43"/>
      <c r="BL867" s="116"/>
      <c r="BU867" s="1"/>
      <c r="BV867" s="1"/>
      <c r="BW867" s="1"/>
      <c r="BX867" s="656"/>
      <c r="BZ867" s="657"/>
      <c r="CA867" s="1"/>
      <c r="CB867" s="1"/>
      <c r="CC867" s="1"/>
      <c r="CD867" s="1"/>
      <c r="CE867" s="1"/>
      <c r="CF867" s="1"/>
      <c r="CG867" s="1"/>
      <c r="CH867" s="1"/>
      <c r="CP867" s="305"/>
      <c r="CR867" s="116"/>
      <c r="CZ867" s="1"/>
      <c r="DA867" s="1"/>
      <c r="DB867" s="1"/>
      <c r="DC867" s="1"/>
      <c r="DD867" s="1"/>
      <c r="DE867" s="1"/>
      <c r="DF867" s="1"/>
      <c r="DG867" s="1"/>
      <c r="DH867" s="656"/>
      <c r="DJ867" s="116"/>
    </row>
    <row r="868" spans="2:114" ht="15.75" customHeight="1" x14ac:dyDescent="0.25">
      <c r="B868" s="116"/>
      <c r="I868" s="656"/>
      <c r="K868" s="116"/>
      <c r="X868" s="1"/>
      <c r="Y868" s="1"/>
      <c r="Z868" s="1"/>
      <c r="AA868" s="1"/>
      <c r="AB868" s="656"/>
      <c r="AC868" s="1"/>
      <c r="AD868" s="116"/>
      <c r="AL868" s="656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43"/>
      <c r="BL868" s="116"/>
      <c r="BU868" s="1"/>
      <c r="BV868" s="1"/>
      <c r="BW868" s="1"/>
      <c r="BX868" s="656"/>
      <c r="BZ868" s="657"/>
      <c r="CA868" s="1"/>
      <c r="CB868" s="1"/>
      <c r="CC868" s="1"/>
      <c r="CD868" s="1"/>
      <c r="CE868" s="1"/>
      <c r="CF868" s="1"/>
      <c r="CG868" s="1"/>
      <c r="CH868" s="1"/>
      <c r="CP868" s="305"/>
      <c r="CR868" s="116"/>
      <c r="CZ868" s="1"/>
      <c r="DA868" s="1"/>
      <c r="DB868" s="1"/>
      <c r="DC868" s="1"/>
      <c r="DD868" s="1"/>
      <c r="DE868" s="1"/>
      <c r="DF868" s="1"/>
      <c r="DG868" s="1"/>
      <c r="DH868" s="656"/>
      <c r="DJ868" s="116"/>
    </row>
    <row r="869" spans="2:114" ht="15.75" customHeight="1" x14ac:dyDescent="0.25">
      <c r="B869" s="116"/>
      <c r="I869" s="656"/>
      <c r="K869" s="116"/>
      <c r="X869" s="1"/>
      <c r="Y869" s="1"/>
      <c r="Z869" s="1"/>
      <c r="AA869" s="1"/>
      <c r="AB869" s="656"/>
      <c r="AC869" s="1"/>
      <c r="AD869" s="116"/>
      <c r="AL869" s="656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43"/>
      <c r="BL869" s="116"/>
      <c r="BU869" s="1"/>
      <c r="BV869" s="1"/>
      <c r="BW869" s="1"/>
      <c r="BX869" s="656"/>
      <c r="BZ869" s="657"/>
      <c r="CA869" s="1"/>
      <c r="CB869" s="1"/>
      <c r="CC869" s="1"/>
      <c r="CD869" s="1"/>
      <c r="CE869" s="1"/>
      <c r="CF869" s="1"/>
      <c r="CG869" s="1"/>
      <c r="CH869" s="1"/>
      <c r="CP869" s="305"/>
      <c r="CR869" s="116"/>
      <c r="CZ869" s="1"/>
      <c r="DA869" s="1"/>
      <c r="DB869" s="1"/>
      <c r="DC869" s="1"/>
      <c r="DD869" s="1"/>
      <c r="DE869" s="1"/>
      <c r="DF869" s="1"/>
      <c r="DG869" s="1"/>
      <c r="DH869" s="656"/>
      <c r="DJ869" s="116"/>
    </row>
    <row r="870" spans="2:114" ht="15.75" customHeight="1" x14ac:dyDescent="0.25">
      <c r="B870" s="116"/>
      <c r="I870" s="656"/>
      <c r="K870" s="116"/>
      <c r="X870" s="1"/>
      <c r="Y870" s="1"/>
      <c r="Z870" s="1"/>
      <c r="AA870" s="1"/>
      <c r="AB870" s="656"/>
      <c r="AC870" s="1"/>
      <c r="AD870" s="116"/>
      <c r="AL870" s="656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43"/>
      <c r="BL870" s="116"/>
      <c r="BU870" s="1"/>
      <c r="BV870" s="1"/>
      <c r="BW870" s="1"/>
      <c r="BX870" s="656"/>
      <c r="BZ870" s="657"/>
      <c r="CA870" s="1"/>
      <c r="CB870" s="1"/>
      <c r="CC870" s="1"/>
      <c r="CD870" s="1"/>
      <c r="CE870" s="1"/>
      <c r="CF870" s="1"/>
      <c r="CG870" s="1"/>
      <c r="CH870" s="1"/>
      <c r="CP870" s="305"/>
      <c r="CR870" s="116"/>
      <c r="CZ870" s="1"/>
      <c r="DA870" s="1"/>
      <c r="DB870" s="1"/>
      <c r="DC870" s="1"/>
      <c r="DD870" s="1"/>
      <c r="DE870" s="1"/>
      <c r="DF870" s="1"/>
      <c r="DG870" s="1"/>
      <c r="DH870" s="656"/>
      <c r="DJ870" s="116"/>
    </row>
    <row r="871" spans="2:114" ht="15.75" customHeight="1" x14ac:dyDescent="0.25">
      <c r="B871" s="116"/>
      <c r="I871" s="656"/>
      <c r="K871" s="116"/>
      <c r="X871" s="1"/>
      <c r="Y871" s="1"/>
      <c r="Z871" s="1"/>
      <c r="AA871" s="1"/>
      <c r="AB871" s="656"/>
      <c r="AC871" s="1"/>
      <c r="AD871" s="116"/>
      <c r="AL871" s="656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43"/>
      <c r="BL871" s="116"/>
      <c r="BU871" s="1"/>
      <c r="BV871" s="1"/>
      <c r="BW871" s="1"/>
      <c r="BX871" s="656"/>
      <c r="BZ871" s="657"/>
      <c r="CA871" s="1"/>
      <c r="CB871" s="1"/>
      <c r="CC871" s="1"/>
      <c r="CD871" s="1"/>
      <c r="CE871" s="1"/>
      <c r="CF871" s="1"/>
      <c r="CG871" s="1"/>
      <c r="CH871" s="1"/>
      <c r="CP871" s="305"/>
      <c r="CR871" s="116"/>
      <c r="CZ871" s="1"/>
      <c r="DA871" s="1"/>
      <c r="DB871" s="1"/>
      <c r="DC871" s="1"/>
      <c r="DD871" s="1"/>
      <c r="DE871" s="1"/>
      <c r="DF871" s="1"/>
      <c r="DG871" s="1"/>
      <c r="DH871" s="656"/>
      <c r="DJ871" s="116"/>
    </row>
    <row r="872" spans="2:114" ht="15.75" customHeight="1" x14ac:dyDescent="0.25">
      <c r="B872" s="116"/>
      <c r="I872" s="656"/>
      <c r="K872" s="116"/>
      <c r="X872" s="1"/>
      <c r="Y872" s="1"/>
      <c r="Z872" s="1"/>
      <c r="AA872" s="1"/>
      <c r="AB872" s="656"/>
      <c r="AC872" s="1"/>
      <c r="AD872" s="116"/>
      <c r="AL872" s="656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43"/>
      <c r="BL872" s="116"/>
      <c r="BU872" s="1"/>
      <c r="BV872" s="1"/>
      <c r="BW872" s="1"/>
      <c r="BX872" s="656"/>
      <c r="BZ872" s="657"/>
      <c r="CA872" s="1"/>
      <c r="CB872" s="1"/>
      <c r="CC872" s="1"/>
      <c r="CD872" s="1"/>
      <c r="CE872" s="1"/>
      <c r="CF872" s="1"/>
      <c r="CG872" s="1"/>
      <c r="CH872" s="1"/>
      <c r="CP872" s="305"/>
      <c r="CR872" s="116"/>
      <c r="CZ872" s="1"/>
      <c r="DA872" s="1"/>
      <c r="DB872" s="1"/>
      <c r="DC872" s="1"/>
      <c r="DD872" s="1"/>
      <c r="DE872" s="1"/>
      <c r="DF872" s="1"/>
      <c r="DG872" s="1"/>
      <c r="DH872" s="656"/>
      <c r="DJ872" s="116"/>
    </row>
    <row r="873" spans="2:114" ht="15.75" customHeight="1" x14ac:dyDescent="0.25">
      <c r="B873" s="116"/>
      <c r="I873" s="656"/>
      <c r="K873" s="116"/>
      <c r="X873" s="1"/>
      <c r="Y873" s="1"/>
      <c r="Z873" s="1"/>
      <c r="AA873" s="1"/>
      <c r="AB873" s="656"/>
      <c r="AC873" s="1"/>
      <c r="AD873" s="116"/>
      <c r="AL873" s="656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43"/>
      <c r="BL873" s="116"/>
      <c r="BU873" s="1"/>
      <c r="BV873" s="1"/>
      <c r="BW873" s="1"/>
      <c r="BX873" s="656"/>
      <c r="BZ873" s="657"/>
      <c r="CA873" s="1"/>
      <c r="CB873" s="1"/>
      <c r="CC873" s="1"/>
      <c r="CD873" s="1"/>
      <c r="CE873" s="1"/>
      <c r="CF873" s="1"/>
      <c r="CG873" s="1"/>
      <c r="CH873" s="1"/>
      <c r="CP873" s="305"/>
      <c r="CR873" s="116"/>
      <c r="CZ873" s="1"/>
      <c r="DA873" s="1"/>
      <c r="DB873" s="1"/>
      <c r="DC873" s="1"/>
      <c r="DD873" s="1"/>
      <c r="DE873" s="1"/>
      <c r="DF873" s="1"/>
      <c r="DG873" s="1"/>
      <c r="DH873" s="656"/>
      <c r="DJ873" s="116"/>
    </row>
    <row r="874" spans="2:114" ht="15.75" customHeight="1" x14ac:dyDescent="0.25">
      <c r="B874" s="116"/>
      <c r="I874" s="656"/>
      <c r="K874" s="116"/>
      <c r="X874" s="1"/>
      <c r="Y874" s="1"/>
      <c r="Z874" s="1"/>
      <c r="AA874" s="1"/>
      <c r="AB874" s="656"/>
      <c r="AC874" s="1"/>
      <c r="AD874" s="116"/>
      <c r="AL874" s="656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43"/>
      <c r="BL874" s="116"/>
      <c r="BU874" s="1"/>
      <c r="BV874" s="1"/>
      <c r="BW874" s="1"/>
      <c r="BX874" s="656"/>
      <c r="BZ874" s="657"/>
      <c r="CA874" s="1"/>
      <c r="CB874" s="1"/>
      <c r="CC874" s="1"/>
      <c r="CD874" s="1"/>
      <c r="CE874" s="1"/>
      <c r="CF874" s="1"/>
      <c r="CG874" s="1"/>
      <c r="CH874" s="1"/>
      <c r="CP874" s="305"/>
      <c r="CR874" s="116"/>
      <c r="CZ874" s="1"/>
      <c r="DA874" s="1"/>
      <c r="DB874" s="1"/>
      <c r="DC874" s="1"/>
      <c r="DD874" s="1"/>
      <c r="DE874" s="1"/>
      <c r="DF874" s="1"/>
      <c r="DG874" s="1"/>
      <c r="DH874" s="656"/>
      <c r="DJ874" s="116"/>
    </row>
    <row r="875" spans="2:114" ht="15.75" customHeight="1" x14ac:dyDescent="0.25">
      <c r="B875" s="116"/>
      <c r="I875" s="656"/>
      <c r="K875" s="116"/>
      <c r="X875" s="1"/>
      <c r="Y875" s="1"/>
      <c r="Z875" s="1"/>
      <c r="AA875" s="1"/>
      <c r="AB875" s="656"/>
      <c r="AC875" s="1"/>
      <c r="AD875" s="116"/>
      <c r="AL875" s="656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43"/>
      <c r="BL875" s="116"/>
      <c r="BU875" s="1"/>
      <c r="BV875" s="1"/>
      <c r="BW875" s="1"/>
      <c r="BX875" s="656"/>
      <c r="BZ875" s="657"/>
      <c r="CA875" s="1"/>
      <c r="CB875" s="1"/>
      <c r="CC875" s="1"/>
      <c r="CD875" s="1"/>
      <c r="CE875" s="1"/>
      <c r="CF875" s="1"/>
      <c r="CG875" s="1"/>
      <c r="CH875" s="1"/>
      <c r="CP875" s="305"/>
      <c r="CR875" s="116"/>
      <c r="CZ875" s="1"/>
      <c r="DA875" s="1"/>
      <c r="DB875" s="1"/>
      <c r="DC875" s="1"/>
      <c r="DD875" s="1"/>
      <c r="DE875" s="1"/>
      <c r="DF875" s="1"/>
      <c r="DG875" s="1"/>
      <c r="DH875" s="656"/>
      <c r="DJ875" s="116"/>
    </row>
    <row r="876" spans="2:114" ht="15.75" customHeight="1" x14ac:dyDescent="0.25">
      <c r="B876" s="116"/>
      <c r="I876" s="656"/>
      <c r="K876" s="116"/>
      <c r="X876" s="1"/>
      <c r="Y876" s="1"/>
      <c r="Z876" s="1"/>
      <c r="AA876" s="1"/>
      <c r="AB876" s="656"/>
      <c r="AC876" s="1"/>
      <c r="AD876" s="116"/>
      <c r="AL876" s="656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43"/>
      <c r="BL876" s="116"/>
      <c r="BU876" s="1"/>
      <c r="BV876" s="1"/>
      <c r="BW876" s="1"/>
      <c r="BX876" s="656"/>
      <c r="BZ876" s="657"/>
      <c r="CA876" s="1"/>
      <c r="CB876" s="1"/>
      <c r="CC876" s="1"/>
      <c r="CD876" s="1"/>
      <c r="CE876" s="1"/>
      <c r="CF876" s="1"/>
      <c r="CG876" s="1"/>
      <c r="CH876" s="1"/>
      <c r="CP876" s="305"/>
      <c r="CR876" s="116"/>
      <c r="CZ876" s="1"/>
      <c r="DA876" s="1"/>
      <c r="DB876" s="1"/>
      <c r="DC876" s="1"/>
      <c r="DD876" s="1"/>
      <c r="DE876" s="1"/>
      <c r="DF876" s="1"/>
      <c r="DG876" s="1"/>
      <c r="DH876" s="656"/>
      <c r="DJ876" s="116"/>
    </row>
    <row r="877" spans="2:114" ht="15.75" customHeight="1" x14ac:dyDescent="0.25">
      <c r="B877" s="116"/>
      <c r="I877" s="656"/>
      <c r="K877" s="116"/>
      <c r="X877" s="1"/>
      <c r="Y877" s="1"/>
      <c r="Z877" s="1"/>
      <c r="AA877" s="1"/>
      <c r="AB877" s="656"/>
      <c r="AC877" s="1"/>
      <c r="AD877" s="116"/>
      <c r="AL877" s="656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43"/>
      <c r="BL877" s="116"/>
      <c r="BU877" s="1"/>
      <c r="BV877" s="1"/>
      <c r="BW877" s="1"/>
      <c r="BX877" s="656"/>
      <c r="BZ877" s="657"/>
      <c r="CA877" s="1"/>
      <c r="CB877" s="1"/>
      <c r="CC877" s="1"/>
      <c r="CD877" s="1"/>
      <c r="CE877" s="1"/>
      <c r="CF877" s="1"/>
      <c r="CG877" s="1"/>
      <c r="CH877" s="1"/>
      <c r="CP877" s="305"/>
      <c r="CR877" s="116"/>
      <c r="CZ877" s="1"/>
      <c r="DA877" s="1"/>
      <c r="DB877" s="1"/>
      <c r="DC877" s="1"/>
      <c r="DD877" s="1"/>
      <c r="DE877" s="1"/>
      <c r="DF877" s="1"/>
      <c r="DG877" s="1"/>
      <c r="DH877" s="656"/>
      <c r="DJ877" s="116"/>
    </row>
    <row r="878" spans="2:114" ht="15.75" customHeight="1" x14ac:dyDescent="0.25">
      <c r="B878" s="116"/>
      <c r="I878" s="656"/>
      <c r="K878" s="116"/>
      <c r="X878" s="1"/>
      <c r="Y878" s="1"/>
      <c r="Z878" s="1"/>
      <c r="AA878" s="1"/>
      <c r="AB878" s="656"/>
      <c r="AC878" s="1"/>
      <c r="AD878" s="116"/>
      <c r="AL878" s="656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43"/>
      <c r="BL878" s="116"/>
      <c r="BU878" s="1"/>
      <c r="BV878" s="1"/>
      <c r="BW878" s="1"/>
      <c r="BX878" s="656"/>
      <c r="BZ878" s="657"/>
      <c r="CA878" s="1"/>
      <c r="CB878" s="1"/>
      <c r="CC878" s="1"/>
      <c r="CD878" s="1"/>
      <c r="CE878" s="1"/>
      <c r="CF878" s="1"/>
      <c r="CG878" s="1"/>
      <c r="CH878" s="1"/>
      <c r="CP878" s="305"/>
      <c r="CR878" s="116"/>
      <c r="CZ878" s="1"/>
      <c r="DA878" s="1"/>
      <c r="DB878" s="1"/>
      <c r="DC878" s="1"/>
      <c r="DD878" s="1"/>
      <c r="DE878" s="1"/>
      <c r="DF878" s="1"/>
      <c r="DG878" s="1"/>
      <c r="DH878" s="656"/>
      <c r="DJ878" s="116"/>
    </row>
    <row r="879" spans="2:114" ht="15.75" customHeight="1" x14ac:dyDescent="0.25">
      <c r="B879" s="116"/>
      <c r="I879" s="656"/>
      <c r="K879" s="116"/>
      <c r="X879" s="1"/>
      <c r="Y879" s="1"/>
      <c r="Z879" s="1"/>
      <c r="AA879" s="1"/>
      <c r="AB879" s="656"/>
      <c r="AC879" s="1"/>
      <c r="AD879" s="116"/>
      <c r="AL879" s="656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43"/>
      <c r="BL879" s="116"/>
      <c r="BU879" s="1"/>
      <c r="BV879" s="1"/>
      <c r="BW879" s="1"/>
      <c r="BX879" s="656"/>
      <c r="BZ879" s="657"/>
      <c r="CA879" s="1"/>
      <c r="CB879" s="1"/>
      <c r="CC879" s="1"/>
      <c r="CD879" s="1"/>
      <c r="CE879" s="1"/>
      <c r="CF879" s="1"/>
      <c r="CG879" s="1"/>
      <c r="CH879" s="1"/>
      <c r="CP879" s="305"/>
      <c r="CR879" s="116"/>
      <c r="CZ879" s="1"/>
      <c r="DA879" s="1"/>
      <c r="DB879" s="1"/>
      <c r="DC879" s="1"/>
      <c r="DD879" s="1"/>
      <c r="DE879" s="1"/>
      <c r="DF879" s="1"/>
      <c r="DG879" s="1"/>
      <c r="DH879" s="656"/>
      <c r="DJ879" s="116"/>
    </row>
    <row r="880" spans="2:114" ht="15.75" customHeight="1" x14ac:dyDescent="0.25">
      <c r="B880" s="116"/>
      <c r="I880" s="656"/>
      <c r="K880" s="116"/>
      <c r="X880" s="1"/>
      <c r="Y880" s="1"/>
      <c r="Z880" s="1"/>
      <c r="AA880" s="1"/>
      <c r="AB880" s="656"/>
      <c r="AC880" s="1"/>
      <c r="AD880" s="116"/>
      <c r="AL880" s="656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43"/>
      <c r="BL880" s="116"/>
      <c r="BU880" s="1"/>
      <c r="BV880" s="1"/>
      <c r="BW880" s="1"/>
      <c r="BX880" s="656"/>
      <c r="BZ880" s="657"/>
      <c r="CA880" s="1"/>
      <c r="CB880" s="1"/>
      <c r="CC880" s="1"/>
      <c r="CD880" s="1"/>
      <c r="CE880" s="1"/>
      <c r="CF880" s="1"/>
      <c r="CG880" s="1"/>
      <c r="CH880" s="1"/>
      <c r="CP880" s="305"/>
      <c r="CR880" s="116"/>
      <c r="CZ880" s="1"/>
      <c r="DA880" s="1"/>
      <c r="DB880" s="1"/>
      <c r="DC880" s="1"/>
      <c r="DD880" s="1"/>
      <c r="DE880" s="1"/>
      <c r="DF880" s="1"/>
      <c r="DG880" s="1"/>
      <c r="DH880" s="656"/>
      <c r="DJ880" s="116"/>
    </row>
    <row r="881" spans="2:114" ht="15.75" customHeight="1" x14ac:dyDescent="0.25">
      <c r="B881" s="116"/>
      <c r="I881" s="656"/>
      <c r="K881" s="116"/>
      <c r="X881" s="1"/>
      <c r="Y881" s="1"/>
      <c r="Z881" s="1"/>
      <c r="AA881" s="1"/>
      <c r="AB881" s="656"/>
      <c r="AC881" s="1"/>
      <c r="AD881" s="116"/>
      <c r="AL881" s="656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43"/>
      <c r="BL881" s="116"/>
      <c r="BU881" s="1"/>
      <c r="BV881" s="1"/>
      <c r="BW881" s="1"/>
      <c r="BX881" s="656"/>
      <c r="BZ881" s="657"/>
      <c r="CA881" s="1"/>
      <c r="CB881" s="1"/>
      <c r="CC881" s="1"/>
      <c r="CD881" s="1"/>
      <c r="CE881" s="1"/>
      <c r="CF881" s="1"/>
      <c r="CG881" s="1"/>
      <c r="CH881" s="1"/>
      <c r="CP881" s="305"/>
      <c r="CR881" s="116"/>
      <c r="CZ881" s="1"/>
      <c r="DA881" s="1"/>
      <c r="DB881" s="1"/>
      <c r="DC881" s="1"/>
      <c r="DD881" s="1"/>
      <c r="DE881" s="1"/>
      <c r="DF881" s="1"/>
      <c r="DG881" s="1"/>
      <c r="DH881" s="656"/>
      <c r="DJ881" s="116"/>
    </row>
    <row r="882" spans="2:114" ht="15.75" customHeight="1" x14ac:dyDescent="0.25">
      <c r="B882" s="116"/>
      <c r="I882" s="656"/>
      <c r="K882" s="116"/>
      <c r="X882" s="1"/>
      <c r="Y882" s="1"/>
      <c r="Z882" s="1"/>
      <c r="AA882" s="1"/>
      <c r="AB882" s="656"/>
      <c r="AC882" s="1"/>
      <c r="AD882" s="116"/>
      <c r="AL882" s="656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43"/>
      <c r="BL882" s="116"/>
      <c r="BU882" s="1"/>
      <c r="BV882" s="1"/>
      <c r="BW882" s="1"/>
      <c r="BX882" s="656"/>
      <c r="BZ882" s="657"/>
      <c r="CA882" s="1"/>
      <c r="CB882" s="1"/>
      <c r="CC882" s="1"/>
      <c r="CD882" s="1"/>
      <c r="CE882" s="1"/>
      <c r="CF882" s="1"/>
      <c r="CG882" s="1"/>
      <c r="CH882" s="1"/>
      <c r="CP882" s="305"/>
      <c r="CR882" s="116"/>
      <c r="CZ882" s="1"/>
      <c r="DA882" s="1"/>
      <c r="DB882" s="1"/>
      <c r="DC882" s="1"/>
      <c r="DD882" s="1"/>
      <c r="DE882" s="1"/>
      <c r="DF882" s="1"/>
      <c r="DG882" s="1"/>
      <c r="DH882" s="656"/>
      <c r="DJ882" s="116"/>
    </row>
    <row r="883" spans="2:114" ht="15.75" customHeight="1" x14ac:dyDescent="0.25">
      <c r="B883" s="116"/>
      <c r="I883" s="656"/>
      <c r="K883" s="116"/>
      <c r="X883" s="1"/>
      <c r="Y883" s="1"/>
      <c r="Z883" s="1"/>
      <c r="AA883" s="1"/>
      <c r="AB883" s="656"/>
      <c r="AC883" s="1"/>
      <c r="AD883" s="116"/>
      <c r="AL883" s="656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43"/>
      <c r="BL883" s="116"/>
      <c r="BU883" s="1"/>
      <c r="BV883" s="1"/>
      <c r="BW883" s="1"/>
      <c r="BX883" s="656"/>
      <c r="BZ883" s="657"/>
      <c r="CA883" s="1"/>
      <c r="CB883" s="1"/>
      <c r="CC883" s="1"/>
      <c r="CD883" s="1"/>
      <c r="CE883" s="1"/>
      <c r="CF883" s="1"/>
      <c r="CG883" s="1"/>
      <c r="CH883" s="1"/>
      <c r="CP883" s="305"/>
      <c r="CR883" s="116"/>
      <c r="CZ883" s="1"/>
      <c r="DA883" s="1"/>
      <c r="DB883" s="1"/>
      <c r="DC883" s="1"/>
      <c r="DD883" s="1"/>
      <c r="DE883" s="1"/>
      <c r="DF883" s="1"/>
      <c r="DG883" s="1"/>
      <c r="DH883" s="656"/>
      <c r="DJ883" s="116"/>
    </row>
    <row r="884" spans="2:114" ht="15.75" customHeight="1" x14ac:dyDescent="0.25">
      <c r="B884" s="116"/>
      <c r="I884" s="656"/>
      <c r="K884" s="116"/>
      <c r="X884" s="1"/>
      <c r="Y884" s="1"/>
      <c r="Z884" s="1"/>
      <c r="AA884" s="1"/>
      <c r="AB884" s="656"/>
      <c r="AC884" s="1"/>
      <c r="AD884" s="116"/>
      <c r="AL884" s="656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43"/>
      <c r="BL884" s="116"/>
      <c r="BU884" s="1"/>
      <c r="BV884" s="1"/>
      <c r="BW884" s="1"/>
      <c r="BX884" s="656"/>
      <c r="BZ884" s="657"/>
      <c r="CA884" s="1"/>
      <c r="CB884" s="1"/>
      <c r="CC884" s="1"/>
      <c r="CD884" s="1"/>
      <c r="CE884" s="1"/>
      <c r="CF884" s="1"/>
      <c r="CG884" s="1"/>
      <c r="CH884" s="1"/>
      <c r="CP884" s="305"/>
      <c r="CR884" s="116"/>
      <c r="CZ884" s="1"/>
      <c r="DA884" s="1"/>
      <c r="DB884" s="1"/>
      <c r="DC884" s="1"/>
      <c r="DD884" s="1"/>
      <c r="DE884" s="1"/>
      <c r="DF884" s="1"/>
      <c r="DG884" s="1"/>
      <c r="DH884" s="656"/>
      <c r="DJ884" s="116"/>
    </row>
    <row r="885" spans="2:114" ht="15.75" customHeight="1" x14ac:dyDescent="0.25">
      <c r="B885" s="116"/>
      <c r="I885" s="656"/>
      <c r="K885" s="116"/>
      <c r="X885" s="1"/>
      <c r="Y885" s="1"/>
      <c r="Z885" s="1"/>
      <c r="AA885" s="1"/>
      <c r="AB885" s="656"/>
      <c r="AC885" s="1"/>
      <c r="AD885" s="116"/>
      <c r="AL885" s="656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43"/>
      <c r="BL885" s="116"/>
      <c r="BU885" s="1"/>
      <c r="BV885" s="1"/>
      <c r="BW885" s="1"/>
      <c r="BX885" s="656"/>
      <c r="BZ885" s="657"/>
      <c r="CA885" s="1"/>
      <c r="CB885" s="1"/>
      <c r="CC885" s="1"/>
      <c r="CD885" s="1"/>
      <c r="CE885" s="1"/>
      <c r="CF885" s="1"/>
      <c r="CG885" s="1"/>
      <c r="CH885" s="1"/>
      <c r="CP885" s="305"/>
      <c r="CR885" s="116"/>
      <c r="CZ885" s="1"/>
      <c r="DA885" s="1"/>
      <c r="DB885" s="1"/>
      <c r="DC885" s="1"/>
      <c r="DD885" s="1"/>
      <c r="DE885" s="1"/>
      <c r="DF885" s="1"/>
      <c r="DG885" s="1"/>
      <c r="DH885" s="656"/>
      <c r="DJ885" s="116"/>
    </row>
    <row r="886" spans="2:114" ht="15.75" customHeight="1" x14ac:dyDescent="0.25">
      <c r="B886" s="116"/>
      <c r="I886" s="656"/>
      <c r="K886" s="116"/>
      <c r="X886" s="1"/>
      <c r="Y886" s="1"/>
      <c r="Z886" s="1"/>
      <c r="AA886" s="1"/>
      <c r="AB886" s="656"/>
      <c r="AC886" s="1"/>
      <c r="AD886" s="116"/>
      <c r="AL886" s="656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43"/>
      <c r="BL886" s="116"/>
      <c r="BU886" s="1"/>
      <c r="BV886" s="1"/>
      <c r="BW886" s="1"/>
      <c r="BX886" s="656"/>
      <c r="BZ886" s="657"/>
      <c r="CA886" s="1"/>
      <c r="CB886" s="1"/>
      <c r="CC886" s="1"/>
      <c r="CD886" s="1"/>
      <c r="CE886" s="1"/>
      <c r="CF886" s="1"/>
      <c r="CG886" s="1"/>
      <c r="CH886" s="1"/>
      <c r="CP886" s="305"/>
      <c r="CR886" s="116"/>
      <c r="CZ886" s="1"/>
      <c r="DA886" s="1"/>
      <c r="DB886" s="1"/>
      <c r="DC886" s="1"/>
      <c r="DD886" s="1"/>
      <c r="DE886" s="1"/>
      <c r="DF886" s="1"/>
      <c r="DG886" s="1"/>
      <c r="DH886" s="656"/>
      <c r="DJ886" s="116"/>
    </row>
    <row r="887" spans="2:114" ht="15.75" customHeight="1" x14ac:dyDescent="0.25">
      <c r="B887" s="116"/>
      <c r="I887" s="656"/>
      <c r="K887" s="116"/>
      <c r="X887" s="1"/>
      <c r="Y887" s="1"/>
      <c r="Z887" s="1"/>
      <c r="AA887" s="1"/>
      <c r="AB887" s="656"/>
      <c r="AC887" s="1"/>
      <c r="AD887" s="116"/>
      <c r="AL887" s="656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43"/>
      <c r="BL887" s="116"/>
      <c r="BU887" s="1"/>
      <c r="BV887" s="1"/>
      <c r="BW887" s="1"/>
      <c r="BX887" s="656"/>
      <c r="BZ887" s="657"/>
      <c r="CA887" s="1"/>
      <c r="CB887" s="1"/>
      <c r="CC887" s="1"/>
      <c r="CD887" s="1"/>
      <c r="CE887" s="1"/>
      <c r="CF887" s="1"/>
      <c r="CG887" s="1"/>
      <c r="CH887" s="1"/>
      <c r="CP887" s="305"/>
      <c r="CR887" s="116"/>
      <c r="CZ887" s="1"/>
      <c r="DA887" s="1"/>
      <c r="DB887" s="1"/>
      <c r="DC887" s="1"/>
      <c r="DD887" s="1"/>
      <c r="DE887" s="1"/>
      <c r="DF887" s="1"/>
      <c r="DG887" s="1"/>
      <c r="DH887" s="656"/>
      <c r="DJ887" s="116"/>
    </row>
    <row r="888" spans="2:114" ht="15.75" customHeight="1" x14ac:dyDescent="0.25">
      <c r="B888" s="116"/>
      <c r="I888" s="656"/>
      <c r="K888" s="116"/>
      <c r="X888" s="1"/>
      <c r="Y888" s="1"/>
      <c r="Z888" s="1"/>
      <c r="AA888" s="1"/>
      <c r="AB888" s="656"/>
      <c r="AC888" s="1"/>
      <c r="AD888" s="116"/>
      <c r="AL888" s="656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43"/>
      <c r="BL888" s="116"/>
      <c r="BU888" s="1"/>
      <c r="BV888" s="1"/>
      <c r="BW888" s="1"/>
      <c r="BX888" s="656"/>
      <c r="BZ888" s="657"/>
      <c r="CA888" s="1"/>
      <c r="CB888" s="1"/>
      <c r="CC888" s="1"/>
      <c r="CD888" s="1"/>
      <c r="CE888" s="1"/>
      <c r="CF888" s="1"/>
      <c r="CG888" s="1"/>
      <c r="CH888" s="1"/>
      <c r="CP888" s="305"/>
      <c r="CR888" s="116"/>
      <c r="CZ888" s="1"/>
      <c r="DA888" s="1"/>
      <c r="DB888" s="1"/>
      <c r="DC888" s="1"/>
      <c r="DD888" s="1"/>
      <c r="DE888" s="1"/>
      <c r="DF888" s="1"/>
      <c r="DG888" s="1"/>
      <c r="DH888" s="656"/>
      <c r="DJ888" s="116"/>
    </row>
    <row r="889" spans="2:114" ht="15.75" customHeight="1" x14ac:dyDescent="0.25">
      <c r="B889" s="116"/>
      <c r="I889" s="656"/>
      <c r="K889" s="116"/>
      <c r="X889" s="1"/>
      <c r="Y889" s="1"/>
      <c r="Z889" s="1"/>
      <c r="AA889" s="1"/>
      <c r="AB889" s="656"/>
      <c r="AC889" s="1"/>
      <c r="AD889" s="116"/>
      <c r="AL889" s="656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43"/>
      <c r="BL889" s="116"/>
      <c r="BU889" s="1"/>
      <c r="BV889" s="1"/>
      <c r="BW889" s="1"/>
      <c r="BX889" s="656"/>
      <c r="BZ889" s="657"/>
      <c r="CA889" s="1"/>
      <c r="CB889" s="1"/>
      <c r="CC889" s="1"/>
      <c r="CD889" s="1"/>
      <c r="CE889" s="1"/>
      <c r="CF889" s="1"/>
      <c r="CG889" s="1"/>
      <c r="CH889" s="1"/>
      <c r="CP889" s="305"/>
      <c r="CR889" s="116"/>
      <c r="CZ889" s="1"/>
      <c r="DA889" s="1"/>
      <c r="DB889" s="1"/>
      <c r="DC889" s="1"/>
      <c r="DD889" s="1"/>
      <c r="DE889" s="1"/>
      <c r="DF889" s="1"/>
      <c r="DG889" s="1"/>
      <c r="DH889" s="656"/>
      <c r="DJ889" s="116"/>
    </row>
    <row r="890" spans="2:114" ht="15.75" customHeight="1" x14ac:dyDescent="0.25">
      <c r="B890" s="116"/>
      <c r="I890" s="656"/>
      <c r="K890" s="116"/>
      <c r="X890" s="1"/>
      <c r="Y890" s="1"/>
      <c r="Z890" s="1"/>
      <c r="AA890" s="1"/>
      <c r="AB890" s="656"/>
      <c r="AC890" s="1"/>
      <c r="AD890" s="116"/>
      <c r="AL890" s="656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43"/>
      <c r="BL890" s="116"/>
      <c r="BU890" s="1"/>
      <c r="BV890" s="1"/>
      <c r="BW890" s="1"/>
      <c r="BX890" s="656"/>
      <c r="BZ890" s="657"/>
      <c r="CA890" s="1"/>
      <c r="CB890" s="1"/>
      <c r="CC890" s="1"/>
      <c r="CD890" s="1"/>
      <c r="CE890" s="1"/>
      <c r="CF890" s="1"/>
      <c r="CG890" s="1"/>
      <c r="CH890" s="1"/>
      <c r="CP890" s="305"/>
      <c r="CR890" s="116"/>
      <c r="CZ890" s="1"/>
      <c r="DA890" s="1"/>
      <c r="DB890" s="1"/>
      <c r="DC890" s="1"/>
      <c r="DD890" s="1"/>
      <c r="DE890" s="1"/>
      <c r="DF890" s="1"/>
      <c r="DG890" s="1"/>
      <c r="DH890" s="656"/>
      <c r="DJ890" s="116"/>
    </row>
    <row r="891" spans="2:114" ht="15.75" customHeight="1" x14ac:dyDescent="0.25">
      <c r="B891" s="116"/>
      <c r="I891" s="656"/>
      <c r="K891" s="116"/>
      <c r="X891" s="1"/>
      <c r="Y891" s="1"/>
      <c r="Z891" s="1"/>
      <c r="AA891" s="1"/>
      <c r="AB891" s="656"/>
      <c r="AC891" s="1"/>
      <c r="AD891" s="116"/>
      <c r="AL891" s="656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43"/>
      <c r="BL891" s="116"/>
      <c r="BU891" s="1"/>
      <c r="BV891" s="1"/>
      <c r="BW891" s="1"/>
      <c r="BX891" s="656"/>
      <c r="BZ891" s="657"/>
      <c r="CA891" s="1"/>
      <c r="CB891" s="1"/>
      <c r="CC891" s="1"/>
      <c r="CD891" s="1"/>
      <c r="CE891" s="1"/>
      <c r="CF891" s="1"/>
      <c r="CG891" s="1"/>
      <c r="CH891" s="1"/>
      <c r="CP891" s="305"/>
      <c r="CR891" s="116"/>
      <c r="CZ891" s="1"/>
      <c r="DA891" s="1"/>
      <c r="DB891" s="1"/>
      <c r="DC891" s="1"/>
      <c r="DD891" s="1"/>
      <c r="DE891" s="1"/>
      <c r="DF891" s="1"/>
      <c r="DG891" s="1"/>
      <c r="DH891" s="656"/>
      <c r="DJ891" s="116"/>
    </row>
    <row r="892" spans="2:114" ht="15.75" customHeight="1" x14ac:dyDescent="0.25">
      <c r="B892" s="116"/>
      <c r="I892" s="656"/>
      <c r="K892" s="116"/>
      <c r="X892" s="1"/>
      <c r="Y892" s="1"/>
      <c r="Z892" s="1"/>
      <c r="AA892" s="1"/>
      <c r="AB892" s="656"/>
      <c r="AC892" s="1"/>
      <c r="AD892" s="116"/>
      <c r="AL892" s="656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43"/>
      <c r="BL892" s="116"/>
      <c r="BU892" s="1"/>
      <c r="BV892" s="1"/>
      <c r="BW892" s="1"/>
      <c r="BX892" s="656"/>
      <c r="BZ892" s="657"/>
      <c r="CA892" s="1"/>
      <c r="CB892" s="1"/>
      <c r="CC892" s="1"/>
      <c r="CD892" s="1"/>
      <c r="CE892" s="1"/>
      <c r="CF892" s="1"/>
      <c r="CG892" s="1"/>
      <c r="CH892" s="1"/>
      <c r="CP892" s="305"/>
      <c r="CR892" s="116"/>
      <c r="CZ892" s="1"/>
      <c r="DA892" s="1"/>
      <c r="DB892" s="1"/>
      <c r="DC892" s="1"/>
      <c r="DD892" s="1"/>
      <c r="DE892" s="1"/>
      <c r="DF892" s="1"/>
      <c r="DG892" s="1"/>
      <c r="DH892" s="656"/>
      <c r="DJ892" s="116"/>
    </row>
    <row r="893" spans="2:114" ht="15.75" customHeight="1" x14ac:dyDescent="0.25">
      <c r="B893" s="116"/>
      <c r="I893" s="656"/>
      <c r="K893" s="116"/>
      <c r="X893" s="1"/>
      <c r="Y893" s="1"/>
      <c r="Z893" s="1"/>
      <c r="AA893" s="1"/>
      <c r="AB893" s="656"/>
      <c r="AC893" s="1"/>
      <c r="AD893" s="116"/>
      <c r="AL893" s="656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43"/>
      <c r="BL893" s="116"/>
      <c r="BU893" s="1"/>
      <c r="BV893" s="1"/>
      <c r="BW893" s="1"/>
      <c r="BX893" s="656"/>
      <c r="BZ893" s="657"/>
      <c r="CA893" s="1"/>
      <c r="CB893" s="1"/>
      <c r="CC893" s="1"/>
      <c r="CD893" s="1"/>
      <c r="CE893" s="1"/>
      <c r="CF893" s="1"/>
      <c r="CG893" s="1"/>
      <c r="CH893" s="1"/>
      <c r="CP893" s="305"/>
      <c r="CR893" s="116"/>
      <c r="CZ893" s="1"/>
      <c r="DA893" s="1"/>
      <c r="DB893" s="1"/>
      <c r="DC893" s="1"/>
      <c r="DD893" s="1"/>
      <c r="DE893" s="1"/>
      <c r="DF893" s="1"/>
      <c r="DG893" s="1"/>
      <c r="DH893" s="656"/>
      <c r="DJ893" s="116"/>
    </row>
    <row r="894" spans="2:114" ht="15.75" customHeight="1" x14ac:dyDescent="0.25">
      <c r="B894" s="116"/>
      <c r="I894" s="656"/>
      <c r="K894" s="116"/>
      <c r="X894" s="1"/>
      <c r="Y894" s="1"/>
      <c r="Z894" s="1"/>
      <c r="AA894" s="1"/>
      <c r="AB894" s="656"/>
      <c r="AC894" s="1"/>
      <c r="AD894" s="116"/>
      <c r="AL894" s="656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43"/>
      <c r="BL894" s="116"/>
      <c r="BU894" s="1"/>
      <c r="BV894" s="1"/>
      <c r="BW894" s="1"/>
      <c r="BX894" s="656"/>
      <c r="BZ894" s="657"/>
      <c r="CA894" s="1"/>
      <c r="CB894" s="1"/>
      <c r="CC894" s="1"/>
      <c r="CD894" s="1"/>
      <c r="CE894" s="1"/>
      <c r="CF894" s="1"/>
      <c r="CG894" s="1"/>
      <c r="CH894" s="1"/>
      <c r="CP894" s="305"/>
      <c r="CR894" s="116"/>
      <c r="CZ894" s="1"/>
      <c r="DA894" s="1"/>
      <c r="DB894" s="1"/>
      <c r="DC894" s="1"/>
      <c r="DD894" s="1"/>
      <c r="DE894" s="1"/>
      <c r="DF894" s="1"/>
      <c r="DG894" s="1"/>
      <c r="DH894" s="656"/>
      <c r="DJ894" s="116"/>
    </row>
    <row r="895" spans="2:114" ht="15.75" customHeight="1" x14ac:dyDescent="0.25">
      <c r="B895" s="116"/>
      <c r="I895" s="656"/>
      <c r="K895" s="116"/>
      <c r="X895" s="1"/>
      <c r="Y895" s="1"/>
      <c r="Z895" s="1"/>
      <c r="AA895" s="1"/>
      <c r="AB895" s="656"/>
      <c r="AC895" s="1"/>
      <c r="AD895" s="116"/>
      <c r="AL895" s="656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43"/>
      <c r="BL895" s="116"/>
      <c r="BU895" s="1"/>
      <c r="BV895" s="1"/>
      <c r="BW895" s="1"/>
      <c r="BX895" s="656"/>
      <c r="BZ895" s="657"/>
      <c r="CA895" s="1"/>
      <c r="CB895" s="1"/>
      <c r="CC895" s="1"/>
      <c r="CD895" s="1"/>
      <c r="CE895" s="1"/>
      <c r="CF895" s="1"/>
      <c r="CG895" s="1"/>
      <c r="CH895" s="1"/>
      <c r="CP895" s="305"/>
      <c r="CR895" s="116"/>
      <c r="CZ895" s="1"/>
      <c r="DA895" s="1"/>
      <c r="DB895" s="1"/>
      <c r="DC895" s="1"/>
      <c r="DD895" s="1"/>
      <c r="DE895" s="1"/>
      <c r="DF895" s="1"/>
      <c r="DG895" s="1"/>
      <c r="DH895" s="656"/>
      <c r="DJ895" s="116"/>
    </row>
    <row r="896" spans="2:114" ht="15.75" customHeight="1" x14ac:dyDescent="0.25">
      <c r="B896" s="116"/>
      <c r="I896" s="656"/>
      <c r="K896" s="116"/>
      <c r="X896" s="1"/>
      <c r="Y896" s="1"/>
      <c r="Z896" s="1"/>
      <c r="AA896" s="1"/>
      <c r="AB896" s="656"/>
      <c r="AC896" s="1"/>
      <c r="AD896" s="116"/>
      <c r="AL896" s="656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43"/>
      <c r="BL896" s="116"/>
      <c r="BU896" s="1"/>
      <c r="BV896" s="1"/>
      <c r="BW896" s="1"/>
      <c r="BX896" s="656"/>
      <c r="BZ896" s="657"/>
      <c r="CA896" s="1"/>
      <c r="CB896" s="1"/>
      <c r="CC896" s="1"/>
      <c r="CD896" s="1"/>
      <c r="CE896" s="1"/>
      <c r="CF896" s="1"/>
      <c r="CG896" s="1"/>
      <c r="CH896" s="1"/>
      <c r="CP896" s="305"/>
      <c r="CR896" s="116"/>
      <c r="CZ896" s="1"/>
      <c r="DA896" s="1"/>
      <c r="DB896" s="1"/>
      <c r="DC896" s="1"/>
      <c r="DD896" s="1"/>
      <c r="DE896" s="1"/>
      <c r="DF896" s="1"/>
      <c r="DG896" s="1"/>
      <c r="DH896" s="656"/>
      <c r="DJ896" s="116"/>
    </row>
    <row r="897" spans="2:114" ht="15.75" customHeight="1" x14ac:dyDescent="0.25">
      <c r="B897" s="116"/>
      <c r="I897" s="656"/>
      <c r="K897" s="116"/>
      <c r="X897" s="1"/>
      <c r="Y897" s="1"/>
      <c r="Z897" s="1"/>
      <c r="AA897" s="1"/>
      <c r="AB897" s="656"/>
      <c r="AC897" s="1"/>
      <c r="AD897" s="116"/>
      <c r="AL897" s="656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43"/>
      <c r="BL897" s="116"/>
      <c r="BU897" s="1"/>
      <c r="BV897" s="1"/>
      <c r="BW897" s="1"/>
      <c r="BX897" s="656"/>
      <c r="BZ897" s="657"/>
      <c r="CA897" s="1"/>
      <c r="CB897" s="1"/>
      <c r="CC897" s="1"/>
      <c r="CD897" s="1"/>
      <c r="CE897" s="1"/>
      <c r="CF897" s="1"/>
      <c r="CG897" s="1"/>
      <c r="CH897" s="1"/>
      <c r="CP897" s="305"/>
      <c r="CR897" s="116"/>
      <c r="CZ897" s="1"/>
      <c r="DA897" s="1"/>
      <c r="DB897" s="1"/>
      <c r="DC897" s="1"/>
      <c r="DD897" s="1"/>
      <c r="DE897" s="1"/>
      <c r="DF897" s="1"/>
      <c r="DG897" s="1"/>
      <c r="DH897" s="656"/>
      <c r="DJ897" s="116"/>
    </row>
    <row r="898" spans="2:114" ht="15.75" customHeight="1" x14ac:dyDescent="0.25">
      <c r="B898" s="116"/>
      <c r="I898" s="656"/>
      <c r="K898" s="116"/>
      <c r="X898" s="1"/>
      <c r="Y898" s="1"/>
      <c r="Z898" s="1"/>
      <c r="AA898" s="1"/>
      <c r="AB898" s="656"/>
      <c r="AC898" s="1"/>
      <c r="AD898" s="116"/>
      <c r="AL898" s="656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43"/>
      <c r="BL898" s="116"/>
      <c r="BU898" s="1"/>
      <c r="BV898" s="1"/>
      <c r="BW898" s="1"/>
      <c r="BX898" s="656"/>
      <c r="BZ898" s="657"/>
      <c r="CA898" s="1"/>
      <c r="CB898" s="1"/>
      <c r="CC898" s="1"/>
      <c r="CD898" s="1"/>
      <c r="CE898" s="1"/>
      <c r="CF898" s="1"/>
      <c r="CG898" s="1"/>
      <c r="CH898" s="1"/>
      <c r="CP898" s="305"/>
      <c r="CR898" s="116"/>
      <c r="CZ898" s="1"/>
      <c r="DA898" s="1"/>
      <c r="DB898" s="1"/>
      <c r="DC898" s="1"/>
      <c r="DD898" s="1"/>
      <c r="DE898" s="1"/>
      <c r="DF898" s="1"/>
      <c r="DG898" s="1"/>
      <c r="DH898" s="656"/>
      <c r="DJ898" s="116"/>
    </row>
    <row r="899" spans="2:114" ht="15.75" customHeight="1" x14ac:dyDescent="0.25">
      <c r="B899" s="116"/>
      <c r="I899" s="656"/>
      <c r="K899" s="116"/>
      <c r="X899" s="1"/>
      <c r="Y899" s="1"/>
      <c r="Z899" s="1"/>
      <c r="AA899" s="1"/>
      <c r="AB899" s="656"/>
      <c r="AC899" s="1"/>
      <c r="AD899" s="116"/>
      <c r="AL899" s="656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43"/>
      <c r="BL899" s="116"/>
      <c r="BU899" s="1"/>
      <c r="BV899" s="1"/>
      <c r="BW899" s="1"/>
      <c r="BX899" s="656"/>
      <c r="BZ899" s="657"/>
      <c r="CA899" s="1"/>
      <c r="CB899" s="1"/>
      <c r="CC899" s="1"/>
      <c r="CD899" s="1"/>
      <c r="CE899" s="1"/>
      <c r="CF899" s="1"/>
      <c r="CG899" s="1"/>
      <c r="CH899" s="1"/>
      <c r="CP899" s="305"/>
      <c r="CR899" s="116"/>
      <c r="CZ899" s="1"/>
      <c r="DA899" s="1"/>
      <c r="DB899" s="1"/>
      <c r="DC899" s="1"/>
      <c r="DD899" s="1"/>
      <c r="DE899" s="1"/>
      <c r="DF899" s="1"/>
      <c r="DG899" s="1"/>
      <c r="DH899" s="656"/>
      <c r="DJ899" s="116"/>
    </row>
    <row r="900" spans="2:114" ht="15.75" customHeight="1" x14ac:dyDescent="0.25">
      <c r="B900" s="116"/>
      <c r="I900" s="656"/>
      <c r="K900" s="116"/>
      <c r="X900" s="1"/>
      <c r="Y900" s="1"/>
      <c r="Z900" s="1"/>
      <c r="AA900" s="1"/>
      <c r="AB900" s="656"/>
      <c r="AC900" s="1"/>
      <c r="AD900" s="116"/>
      <c r="AL900" s="656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43"/>
      <c r="BL900" s="116"/>
      <c r="BU900" s="1"/>
      <c r="BV900" s="1"/>
      <c r="BW900" s="1"/>
      <c r="BX900" s="656"/>
      <c r="BZ900" s="657"/>
      <c r="CA900" s="1"/>
      <c r="CB900" s="1"/>
      <c r="CC900" s="1"/>
      <c r="CD900" s="1"/>
      <c r="CE900" s="1"/>
      <c r="CF900" s="1"/>
      <c r="CG900" s="1"/>
      <c r="CH900" s="1"/>
      <c r="CP900" s="305"/>
      <c r="CR900" s="116"/>
      <c r="CZ900" s="1"/>
      <c r="DA900" s="1"/>
      <c r="DB900" s="1"/>
      <c r="DC900" s="1"/>
      <c r="DD900" s="1"/>
      <c r="DE900" s="1"/>
      <c r="DF900" s="1"/>
      <c r="DG900" s="1"/>
      <c r="DH900" s="656"/>
      <c r="DJ900" s="116"/>
    </row>
    <row r="901" spans="2:114" ht="15.75" customHeight="1" x14ac:dyDescent="0.25">
      <c r="B901" s="116"/>
      <c r="I901" s="656"/>
      <c r="K901" s="116"/>
      <c r="X901" s="1"/>
      <c r="Y901" s="1"/>
      <c r="Z901" s="1"/>
      <c r="AA901" s="1"/>
      <c r="AB901" s="656"/>
      <c r="AC901" s="1"/>
      <c r="AD901" s="116"/>
      <c r="AL901" s="656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43"/>
      <c r="BL901" s="116"/>
      <c r="BU901" s="1"/>
      <c r="BV901" s="1"/>
      <c r="BW901" s="1"/>
      <c r="BX901" s="656"/>
      <c r="BZ901" s="657"/>
      <c r="CA901" s="1"/>
      <c r="CB901" s="1"/>
      <c r="CC901" s="1"/>
      <c r="CD901" s="1"/>
      <c r="CE901" s="1"/>
      <c r="CF901" s="1"/>
      <c r="CG901" s="1"/>
      <c r="CH901" s="1"/>
      <c r="CP901" s="305"/>
      <c r="CR901" s="116"/>
      <c r="CZ901" s="1"/>
      <c r="DA901" s="1"/>
      <c r="DB901" s="1"/>
      <c r="DC901" s="1"/>
      <c r="DD901" s="1"/>
      <c r="DE901" s="1"/>
      <c r="DF901" s="1"/>
      <c r="DG901" s="1"/>
      <c r="DH901" s="656"/>
      <c r="DJ901" s="116"/>
    </row>
    <row r="902" spans="2:114" ht="15.75" customHeight="1" x14ac:dyDescent="0.25">
      <c r="B902" s="116"/>
      <c r="I902" s="656"/>
      <c r="K902" s="116"/>
      <c r="X902" s="1"/>
      <c r="Y902" s="1"/>
      <c r="Z902" s="1"/>
      <c r="AA902" s="1"/>
      <c r="AB902" s="656"/>
      <c r="AC902" s="1"/>
      <c r="AD902" s="116"/>
      <c r="AL902" s="656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43"/>
      <c r="BL902" s="116"/>
      <c r="BU902" s="1"/>
      <c r="BV902" s="1"/>
      <c r="BW902" s="1"/>
      <c r="BX902" s="656"/>
      <c r="BZ902" s="657"/>
      <c r="CA902" s="1"/>
      <c r="CB902" s="1"/>
      <c r="CC902" s="1"/>
      <c r="CD902" s="1"/>
      <c r="CE902" s="1"/>
      <c r="CF902" s="1"/>
      <c r="CG902" s="1"/>
      <c r="CH902" s="1"/>
      <c r="CP902" s="305"/>
      <c r="CR902" s="116"/>
      <c r="CZ902" s="1"/>
      <c r="DA902" s="1"/>
      <c r="DB902" s="1"/>
      <c r="DC902" s="1"/>
      <c r="DD902" s="1"/>
      <c r="DE902" s="1"/>
      <c r="DF902" s="1"/>
      <c r="DG902" s="1"/>
      <c r="DH902" s="656"/>
      <c r="DJ902" s="116"/>
    </row>
    <row r="903" spans="2:114" ht="15.75" customHeight="1" x14ac:dyDescent="0.25">
      <c r="B903" s="116"/>
      <c r="I903" s="656"/>
      <c r="K903" s="116"/>
      <c r="X903" s="1"/>
      <c r="Y903" s="1"/>
      <c r="Z903" s="1"/>
      <c r="AA903" s="1"/>
      <c r="AB903" s="656"/>
      <c r="AC903" s="1"/>
      <c r="AD903" s="116"/>
      <c r="AL903" s="656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43"/>
      <c r="BL903" s="116"/>
      <c r="BU903" s="1"/>
      <c r="BV903" s="1"/>
      <c r="BW903" s="1"/>
      <c r="BX903" s="656"/>
      <c r="BZ903" s="657"/>
      <c r="CA903" s="1"/>
      <c r="CB903" s="1"/>
      <c r="CC903" s="1"/>
      <c r="CD903" s="1"/>
      <c r="CE903" s="1"/>
      <c r="CF903" s="1"/>
      <c r="CG903" s="1"/>
      <c r="CH903" s="1"/>
      <c r="CP903" s="305"/>
      <c r="CR903" s="116"/>
      <c r="CZ903" s="1"/>
      <c r="DA903" s="1"/>
      <c r="DB903" s="1"/>
      <c r="DC903" s="1"/>
      <c r="DD903" s="1"/>
      <c r="DE903" s="1"/>
      <c r="DF903" s="1"/>
      <c r="DG903" s="1"/>
      <c r="DH903" s="656"/>
      <c r="DJ903" s="116"/>
    </row>
    <row r="904" spans="2:114" ht="15.75" customHeight="1" x14ac:dyDescent="0.25">
      <c r="B904" s="116"/>
      <c r="I904" s="656"/>
      <c r="K904" s="116"/>
      <c r="X904" s="1"/>
      <c r="Y904" s="1"/>
      <c r="Z904" s="1"/>
      <c r="AA904" s="1"/>
      <c r="AB904" s="656"/>
      <c r="AC904" s="1"/>
      <c r="AD904" s="116"/>
      <c r="AL904" s="656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43"/>
      <c r="BL904" s="116"/>
      <c r="BU904" s="1"/>
      <c r="BV904" s="1"/>
      <c r="BW904" s="1"/>
      <c r="BX904" s="656"/>
      <c r="BZ904" s="657"/>
      <c r="CA904" s="1"/>
      <c r="CB904" s="1"/>
      <c r="CC904" s="1"/>
      <c r="CD904" s="1"/>
      <c r="CE904" s="1"/>
      <c r="CF904" s="1"/>
      <c r="CG904" s="1"/>
      <c r="CH904" s="1"/>
      <c r="CP904" s="305"/>
      <c r="CR904" s="116"/>
      <c r="CZ904" s="1"/>
      <c r="DA904" s="1"/>
      <c r="DB904" s="1"/>
      <c r="DC904" s="1"/>
      <c r="DD904" s="1"/>
      <c r="DE904" s="1"/>
      <c r="DF904" s="1"/>
      <c r="DG904" s="1"/>
      <c r="DH904" s="656"/>
      <c r="DJ904" s="116"/>
    </row>
    <row r="905" spans="2:114" ht="15.75" customHeight="1" x14ac:dyDescent="0.25">
      <c r="B905" s="116"/>
      <c r="I905" s="656"/>
      <c r="K905" s="116"/>
      <c r="X905" s="1"/>
      <c r="Y905" s="1"/>
      <c r="Z905" s="1"/>
      <c r="AA905" s="1"/>
      <c r="AB905" s="656"/>
      <c r="AC905" s="1"/>
      <c r="AD905" s="116"/>
      <c r="AL905" s="656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43"/>
      <c r="BL905" s="116"/>
      <c r="BU905" s="1"/>
      <c r="BV905" s="1"/>
      <c r="BW905" s="1"/>
      <c r="BX905" s="656"/>
      <c r="BZ905" s="657"/>
      <c r="CA905" s="1"/>
      <c r="CB905" s="1"/>
      <c r="CC905" s="1"/>
      <c r="CD905" s="1"/>
      <c r="CE905" s="1"/>
      <c r="CF905" s="1"/>
      <c r="CG905" s="1"/>
      <c r="CH905" s="1"/>
      <c r="CP905" s="305"/>
      <c r="CR905" s="116"/>
      <c r="CZ905" s="1"/>
      <c r="DA905" s="1"/>
      <c r="DB905" s="1"/>
      <c r="DC905" s="1"/>
      <c r="DD905" s="1"/>
      <c r="DE905" s="1"/>
      <c r="DF905" s="1"/>
      <c r="DG905" s="1"/>
      <c r="DH905" s="656"/>
      <c r="DJ905" s="116"/>
    </row>
    <row r="906" spans="2:114" ht="15.75" customHeight="1" x14ac:dyDescent="0.25">
      <c r="B906" s="116"/>
      <c r="I906" s="656"/>
      <c r="K906" s="116"/>
      <c r="X906" s="1"/>
      <c r="Y906" s="1"/>
      <c r="Z906" s="1"/>
      <c r="AA906" s="1"/>
      <c r="AB906" s="656"/>
      <c r="AC906" s="1"/>
      <c r="AD906" s="116"/>
      <c r="AL906" s="656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43"/>
      <c r="BL906" s="116"/>
      <c r="BU906" s="1"/>
      <c r="BV906" s="1"/>
      <c r="BW906" s="1"/>
      <c r="BX906" s="656"/>
      <c r="BZ906" s="657"/>
      <c r="CA906" s="1"/>
      <c r="CB906" s="1"/>
      <c r="CC906" s="1"/>
      <c r="CD906" s="1"/>
      <c r="CE906" s="1"/>
      <c r="CF906" s="1"/>
      <c r="CG906" s="1"/>
      <c r="CH906" s="1"/>
      <c r="CP906" s="305"/>
      <c r="CR906" s="116"/>
      <c r="CZ906" s="1"/>
      <c r="DA906" s="1"/>
      <c r="DB906" s="1"/>
      <c r="DC906" s="1"/>
      <c r="DD906" s="1"/>
      <c r="DE906" s="1"/>
      <c r="DF906" s="1"/>
      <c r="DG906" s="1"/>
      <c r="DH906" s="656"/>
      <c r="DJ906" s="116"/>
    </row>
    <row r="907" spans="2:114" ht="15.75" customHeight="1" x14ac:dyDescent="0.25">
      <c r="B907" s="116"/>
      <c r="I907" s="656"/>
      <c r="K907" s="116"/>
      <c r="X907" s="1"/>
      <c r="Y907" s="1"/>
      <c r="Z907" s="1"/>
      <c r="AA907" s="1"/>
      <c r="AB907" s="656"/>
      <c r="AC907" s="1"/>
      <c r="AD907" s="116"/>
      <c r="AL907" s="656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43"/>
      <c r="BL907" s="116"/>
      <c r="BU907" s="1"/>
      <c r="BV907" s="1"/>
      <c r="BW907" s="1"/>
      <c r="BX907" s="656"/>
      <c r="BZ907" s="657"/>
      <c r="CA907" s="1"/>
      <c r="CB907" s="1"/>
      <c r="CC907" s="1"/>
      <c r="CD907" s="1"/>
      <c r="CE907" s="1"/>
      <c r="CF907" s="1"/>
      <c r="CG907" s="1"/>
      <c r="CH907" s="1"/>
      <c r="CP907" s="305"/>
      <c r="CR907" s="116"/>
      <c r="CZ907" s="1"/>
      <c r="DA907" s="1"/>
      <c r="DB907" s="1"/>
      <c r="DC907" s="1"/>
      <c r="DD907" s="1"/>
      <c r="DE907" s="1"/>
      <c r="DF907" s="1"/>
      <c r="DG907" s="1"/>
      <c r="DH907" s="656"/>
      <c r="DJ907" s="116"/>
    </row>
    <row r="908" spans="2:114" ht="15.75" customHeight="1" x14ac:dyDescent="0.25">
      <c r="B908" s="116"/>
      <c r="I908" s="656"/>
      <c r="K908" s="116"/>
      <c r="X908" s="1"/>
      <c r="Y908" s="1"/>
      <c r="Z908" s="1"/>
      <c r="AA908" s="1"/>
      <c r="AB908" s="656"/>
      <c r="AC908" s="1"/>
      <c r="AD908" s="116"/>
      <c r="AL908" s="656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43"/>
      <c r="BL908" s="116"/>
      <c r="BU908" s="1"/>
      <c r="BV908" s="1"/>
      <c r="BW908" s="1"/>
      <c r="BX908" s="656"/>
      <c r="BZ908" s="657"/>
      <c r="CA908" s="1"/>
      <c r="CB908" s="1"/>
      <c r="CC908" s="1"/>
      <c r="CD908" s="1"/>
      <c r="CE908" s="1"/>
      <c r="CF908" s="1"/>
      <c r="CG908" s="1"/>
      <c r="CH908" s="1"/>
      <c r="CP908" s="305"/>
      <c r="CR908" s="116"/>
      <c r="CZ908" s="1"/>
      <c r="DA908" s="1"/>
      <c r="DB908" s="1"/>
      <c r="DC908" s="1"/>
      <c r="DD908" s="1"/>
      <c r="DE908" s="1"/>
      <c r="DF908" s="1"/>
      <c r="DG908" s="1"/>
      <c r="DH908" s="656"/>
      <c r="DJ908" s="116"/>
    </row>
    <row r="909" spans="2:114" ht="15.75" customHeight="1" x14ac:dyDescent="0.25">
      <c r="B909" s="116"/>
      <c r="I909" s="656"/>
      <c r="K909" s="116"/>
      <c r="X909" s="1"/>
      <c r="Y909" s="1"/>
      <c r="Z909" s="1"/>
      <c r="AA909" s="1"/>
      <c r="AB909" s="656"/>
      <c r="AC909" s="1"/>
      <c r="AD909" s="116"/>
      <c r="AL909" s="656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43"/>
      <c r="BL909" s="116"/>
      <c r="BU909" s="1"/>
      <c r="BV909" s="1"/>
      <c r="BW909" s="1"/>
      <c r="BX909" s="656"/>
      <c r="BZ909" s="657"/>
      <c r="CA909" s="1"/>
      <c r="CB909" s="1"/>
      <c r="CC909" s="1"/>
      <c r="CD909" s="1"/>
      <c r="CE909" s="1"/>
      <c r="CF909" s="1"/>
      <c r="CG909" s="1"/>
      <c r="CH909" s="1"/>
      <c r="CP909" s="305"/>
      <c r="CR909" s="116"/>
      <c r="CZ909" s="1"/>
      <c r="DA909" s="1"/>
      <c r="DB909" s="1"/>
      <c r="DC909" s="1"/>
      <c r="DD909" s="1"/>
      <c r="DE909" s="1"/>
      <c r="DF909" s="1"/>
      <c r="DG909" s="1"/>
      <c r="DH909" s="656"/>
      <c r="DJ909" s="116"/>
    </row>
    <row r="910" spans="2:114" ht="15.75" customHeight="1" x14ac:dyDescent="0.25">
      <c r="B910" s="116"/>
      <c r="I910" s="656"/>
      <c r="K910" s="116"/>
      <c r="X910" s="1"/>
      <c r="Y910" s="1"/>
      <c r="Z910" s="1"/>
      <c r="AA910" s="1"/>
      <c r="AB910" s="656"/>
      <c r="AC910" s="1"/>
      <c r="AD910" s="116"/>
      <c r="AL910" s="656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43"/>
      <c r="BL910" s="116"/>
      <c r="BU910" s="1"/>
      <c r="BV910" s="1"/>
      <c r="BW910" s="1"/>
      <c r="BX910" s="656"/>
      <c r="BZ910" s="657"/>
      <c r="CA910" s="1"/>
      <c r="CB910" s="1"/>
      <c r="CC910" s="1"/>
      <c r="CD910" s="1"/>
      <c r="CE910" s="1"/>
      <c r="CF910" s="1"/>
      <c r="CG910" s="1"/>
      <c r="CH910" s="1"/>
      <c r="CP910" s="305"/>
      <c r="CR910" s="116"/>
      <c r="CZ910" s="1"/>
      <c r="DA910" s="1"/>
      <c r="DB910" s="1"/>
      <c r="DC910" s="1"/>
      <c r="DD910" s="1"/>
      <c r="DE910" s="1"/>
      <c r="DF910" s="1"/>
      <c r="DG910" s="1"/>
      <c r="DH910" s="656"/>
      <c r="DJ910" s="116"/>
    </row>
    <row r="911" spans="2:114" ht="15.75" customHeight="1" x14ac:dyDescent="0.25">
      <c r="B911" s="116"/>
      <c r="I911" s="656"/>
      <c r="K911" s="116"/>
      <c r="X911" s="1"/>
      <c r="Y911" s="1"/>
      <c r="Z911" s="1"/>
      <c r="AA911" s="1"/>
      <c r="AB911" s="656"/>
      <c r="AC911" s="1"/>
      <c r="AD911" s="116"/>
      <c r="AL911" s="656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43"/>
      <c r="BL911" s="116"/>
      <c r="BU911" s="1"/>
      <c r="BV911" s="1"/>
      <c r="BW911" s="1"/>
      <c r="BX911" s="656"/>
      <c r="BZ911" s="657"/>
      <c r="CA911" s="1"/>
      <c r="CB911" s="1"/>
      <c r="CC911" s="1"/>
      <c r="CD911" s="1"/>
      <c r="CE911" s="1"/>
      <c r="CF911" s="1"/>
      <c r="CG911" s="1"/>
      <c r="CH911" s="1"/>
      <c r="CP911" s="305"/>
      <c r="CR911" s="116"/>
      <c r="CZ911" s="1"/>
      <c r="DA911" s="1"/>
      <c r="DB911" s="1"/>
      <c r="DC911" s="1"/>
      <c r="DD911" s="1"/>
      <c r="DE911" s="1"/>
      <c r="DF911" s="1"/>
      <c r="DG911" s="1"/>
      <c r="DH911" s="656"/>
      <c r="DJ911" s="116"/>
    </row>
    <row r="912" spans="2:114" ht="15.75" customHeight="1" x14ac:dyDescent="0.25">
      <c r="B912" s="116"/>
      <c r="I912" s="656"/>
      <c r="K912" s="116"/>
      <c r="X912" s="1"/>
      <c r="Y912" s="1"/>
      <c r="Z912" s="1"/>
      <c r="AA912" s="1"/>
      <c r="AB912" s="656"/>
      <c r="AC912" s="1"/>
      <c r="AD912" s="116"/>
      <c r="AL912" s="656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43"/>
      <c r="BL912" s="116"/>
      <c r="BU912" s="1"/>
      <c r="BV912" s="1"/>
      <c r="BW912" s="1"/>
      <c r="BX912" s="656"/>
      <c r="BZ912" s="657"/>
      <c r="CA912" s="1"/>
      <c r="CB912" s="1"/>
      <c r="CC912" s="1"/>
      <c r="CD912" s="1"/>
      <c r="CE912" s="1"/>
      <c r="CF912" s="1"/>
      <c r="CG912" s="1"/>
      <c r="CH912" s="1"/>
      <c r="CP912" s="305"/>
      <c r="CR912" s="116"/>
      <c r="CZ912" s="1"/>
      <c r="DA912" s="1"/>
      <c r="DB912" s="1"/>
      <c r="DC912" s="1"/>
      <c r="DD912" s="1"/>
      <c r="DE912" s="1"/>
      <c r="DF912" s="1"/>
      <c r="DG912" s="1"/>
      <c r="DH912" s="656"/>
      <c r="DJ912" s="116"/>
    </row>
    <row r="913" spans="2:114" ht="15.75" customHeight="1" x14ac:dyDescent="0.25">
      <c r="B913" s="116"/>
      <c r="I913" s="656"/>
      <c r="K913" s="116"/>
      <c r="X913" s="1"/>
      <c r="Y913" s="1"/>
      <c r="Z913" s="1"/>
      <c r="AA913" s="1"/>
      <c r="AB913" s="656"/>
      <c r="AC913" s="1"/>
      <c r="AD913" s="116"/>
      <c r="AL913" s="656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43"/>
      <c r="BL913" s="116"/>
      <c r="BU913" s="1"/>
      <c r="BV913" s="1"/>
      <c r="BW913" s="1"/>
      <c r="BX913" s="656"/>
      <c r="BZ913" s="657"/>
      <c r="CA913" s="1"/>
      <c r="CB913" s="1"/>
      <c r="CC913" s="1"/>
      <c r="CD913" s="1"/>
      <c r="CE913" s="1"/>
      <c r="CF913" s="1"/>
      <c r="CG913" s="1"/>
      <c r="CH913" s="1"/>
      <c r="CP913" s="305"/>
      <c r="CR913" s="116"/>
      <c r="CZ913" s="1"/>
      <c r="DA913" s="1"/>
      <c r="DB913" s="1"/>
      <c r="DC913" s="1"/>
      <c r="DD913" s="1"/>
      <c r="DE913" s="1"/>
      <c r="DF913" s="1"/>
      <c r="DG913" s="1"/>
      <c r="DH913" s="656"/>
      <c r="DJ913" s="116"/>
    </row>
    <row r="914" spans="2:114" ht="15.75" customHeight="1" x14ac:dyDescent="0.25">
      <c r="B914" s="116"/>
      <c r="I914" s="656"/>
      <c r="K914" s="116"/>
      <c r="X914" s="1"/>
      <c r="Y914" s="1"/>
      <c r="Z914" s="1"/>
      <c r="AA914" s="1"/>
      <c r="AB914" s="656"/>
      <c r="AC914" s="1"/>
      <c r="AD914" s="116"/>
      <c r="AL914" s="656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43"/>
      <c r="BL914" s="116"/>
      <c r="BU914" s="1"/>
      <c r="BV914" s="1"/>
      <c r="BW914" s="1"/>
      <c r="BX914" s="656"/>
      <c r="BZ914" s="657"/>
      <c r="CA914" s="1"/>
      <c r="CB914" s="1"/>
      <c r="CC914" s="1"/>
      <c r="CD914" s="1"/>
      <c r="CE914" s="1"/>
      <c r="CF914" s="1"/>
      <c r="CG914" s="1"/>
      <c r="CH914" s="1"/>
      <c r="CP914" s="305"/>
      <c r="CR914" s="116"/>
      <c r="CZ914" s="1"/>
      <c r="DA914" s="1"/>
      <c r="DB914" s="1"/>
      <c r="DC914" s="1"/>
      <c r="DD914" s="1"/>
      <c r="DE914" s="1"/>
      <c r="DF914" s="1"/>
      <c r="DG914" s="1"/>
      <c r="DH914" s="656"/>
      <c r="DJ914" s="116"/>
    </row>
    <row r="915" spans="2:114" ht="15.75" customHeight="1" x14ac:dyDescent="0.25">
      <c r="B915" s="116"/>
      <c r="I915" s="656"/>
      <c r="K915" s="116"/>
      <c r="X915" s="1"/>
      <c r="Y915" s="1"/>
      <c r="Z915" s="1"/>
      <c r="AA915" s="1"/>
      <c r="AB915" s="656"/>
      <c r="AC915" s="1"/>
      <c r="AD915" s="116"/>
      <c r="AL915" s="656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43"/>
      <c r="BL915" s="116"/>
      <c r="BU915" s="1"/>
      <c r="BV915" s="1"/>
      <c r="BW915" s="1"/>
      <c r="BX915" s="656"/>
      <c r="BZ915" s="657"/>
      <c r="CA915" s="1"/>
      <c r="CB915" s="1"/>
      <c r="CC915" s="1"/>
      <c r="CD915" s="1"/>
      <c r="CE915" s="1"/>
      <c r="CF915" s="1"/>
      <c r="CG915" s="1"/>
      <c r="CH915" s="1"/>
      <c r="CP915" s="305"/>
      <c r="CR915" s="116"/>
      <c r="CZ915" s="1"/>
      <c r="DA915" s="1"/>
      <c r="DB915" s="1"/>
      <c r="DC915" s="1"/>
      <c r="DD915" s="1"/>
      <c r="DE915" s="1"/>
      <c r="DF915" s="1"/>
      <c r="DG915" s="1"/>
      <c r="DH915" s="656"/>
      <c r="DJ915" s="116"/>
    </row>
    <row r="916" spans="2:114" ht="15.75" customHeight="1" x14ac:dyDescent="0.25">
      <c r="B916" s="116"/>
      <c r="I916" s="656"/>
      <c r="K916" s="116"/>
      <c r="X916" s="1"/>
      <c r="Y916" s="1"/>
      <c r="Z916" s="1"/>
      <c r="AA916" s="1"/>
      <c r="AB916" s="656"/>
      <c r="AC916" s="1"/>
      <c r="AD916" s="116"/>
      <c r="AL916" s="656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43"/>
      <c r="BL916" s="116"/>
      <c r="BU916" s="1"/>
      <c r="BV916" s="1"/>
      <c r="BW916" s="1"/>
      <c r="BX916" s="656"/>
      <c r="BZ916" s="657"/>
      <c r="CA916" s="1"/>
      <c r="CB916" s="1"/>
      <c r="CC916" s="1"/>
      <c r="CD916" s="1"/>
      <c r="CE916" s="1"/>
      <c r="CF916" s="1"/>
      <c r="CG916" s="1"/>
      <c r="CH916" s="1"/>
      <c r="CP916" s="305"/>
      <c r="CR916" s="116"/>
      <c r="CZ916" s="1"/>
      <c r="DA916" s="1"/>
      <c r="DB916" s="1"/>
      <c r="DC916" s="1"/>
      <c r="DD916" s="1"/>
      <c r="DE916" s="1"/>
      <c r="DF916" s="1"/>
      <c r="DG916" s="1"/>
      <c r="DH916" s="656"/>
      <c r="DJ916" s="116"/>
    </row>
    <row r="917" spans="2:114" ht="15.75" customHeight="1" x14ac:dyDescent="0.25">
      <c r="B917" s="116"/>
      <c r="I917" s="656"/>
      <c r="K917" s="116"/>
      <c r="X917" s="1"/>
      <c r="Y917" s="1"/>
      <c r="Z917" s="1"/>
      <c r="AA917" s="1"/>
      <c r="AB917" s="656"/>
      <c r="AC917" s="1"/>
      <c r="AD917" s="116"/>
      <c r="AL917" s="656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43"/>
      <c r="BL917" s="116"/>
      <c r="BU917" s="1"/>
      <c r="BV917" s="1"/>
      <c r="BW917" s="1"/>
      <c r="BX917" s="656"/>
      <c r="BZ917" s="657"/>
      <c r="CA917" s="1"/>
      <c r="CB917" s="1"/>
      <c r="CC917" s="1"/>
      <c r="CD917" s="1"/>
      <c r="CE917" s="1"/>
      <c r="CF917" s="1"/>
      <c r="CG917" s="1"/>
      <c r="CH917" s="1"/>
      <c r="CP917" s="305"/>
      <c r="CR917" s="116"/>
      <c r="CZ917" s="1"/>
      <c r="DA917" s="1"/>
      <c r="DB917" s="1"/>
      <c r="DC917" s="1"/>
      <c r="DD917" s="1"/>
      <c r="DE917" s="1"/>
      <c r="DF917" s="1"/>
      <c r="DG917" s="1"/>
      <c r="DH917" s="656"/>
      <c r="DJ917" s="116"/>
    </row>
    <row r="918" spans="2:114" ht="15.75" customHeight="1" x14ac:dyDescent="0.25">
      <c r="B918" s="116"/>
      <c r="I918" s="656"/>
      <c r="K918" s="116"/>
      <c r="X918" s="1"/>
      <c r="Y918" s="1"/>
      <c r="Z918" s="1"/>
      <c r="AA918" s="1"/>
      <c r="AB918" s="656"/>
      <c r="AC918" s="1"/>
      <c r="AD918" s="116"/>
      <c r="AL918" s="656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43"/>
      <c r="BL918" s="116"/>
      <c r="BU918" s="1"/>
      <c r="BV918" s="1"/>
      <c r="BW918" s="1"/>
      <c r="BX918" s="656"/>
      <c r="BZ918" s="657"/>
      <c r="CA918" s="1"/>
      <c r="CB918" s="1"/>
      <c r="CC918" s="1"/>
      <c r="CD918" s="1"/>
      <c r="CE918" s="1"/>
      <c r="CF918" s="1"/>
      <c r="CG918" s="1"/>
      <c r="CH918" s="1"/>
      <c r="CP918" s="305"/>
      <c r="CR918" s="116"/>
      <c r="CZ918" s="1"/>
      <c r="DA918" s="1"/>
      <c r="DB918" s="1"/>
      <c r="DC918" s="1"/>
      <c r="DD918" s="1"/>
      <c r="DE918" s="1"/>
      <c r="DF918" s="1"/>
      <c r="DG918" s="1"/>
      <c r="DH918" s="656"/>
      <c r="DJ918" s="116"/>
    </row>
    <row r="919" spans="2:114" ht="15.75" customHeight="1" x14ac:dyDescent="0.25">
      <c r="B919" s="116"/>
      <c r="I919" s="656"/>
      <c r="K919" s="116"/>
      <c r="X919" s="1"/>
      <c r="Y919" s="1"/>
      <c r="Z919" s="1"/>
      <c r="AA919" s="1"/>
      <c r="AB919" s="656"/>
      <c r="AC919" s="1"/>
      <c r="AD919" s="116"/>
      <c r="AL919" s="656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43"/>
      <c r="BL919" s="116"/>
      <c r="BU919" s="1"/>
      <c r="BV919" s="1"/>
      <c r="BW919" s="1"/>
      <c r="BX919" s="656"/>
      <c r="BZ919" s="657"/>
      <c r="CA919" s="1"/>
      <c r="CB919" s="1"/>
      <c r="CC919" s="1"/>
      <c r="CD919" s="1"/>
      <c r="CE919" s="1"/>
      <c r="CF919" s="1"/>
      <c r="CG919" s="1"/>
      <c r="CH919" s="1"/>
      <c r="CP919" s="305"/>
      <c r="CR919" s="116"/>
      <c r="CZ919" s="1"/>
      <c r="DA919" s="1"/>
      <c r="DB919" s="1"/>
      <c r="DC919" s="1"/>
      <c r="DD919" s="1"/>
      <c r="DE919" s="1"/>
      <c r="DF919" s="1"/>
      <c r="DG919" s="1"/>
      <c r="DH919" s="656"/>
      <c r="DJ919" s="116"/>
    </row>
    <row r="920" spans="2:114" ht="15.75" customHeight="1" x14ac:dyDescent="0.25">
      <c r="B920" s="116"/>
      <c r="I920" s="656"/>
      <c r="K920" s="116"/>
      <c r="X920" s="1"/>
      <c r="Y920" s="1"/>
      <c r="Z920" s="1"/>
      <c r="AA920" s="1"/>
      <c r="AB920" s="656"/>
      <c r="AC920" s="1"/>
      <c r="AD920" s="116"/>
      <c r="AL920" s="656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43"/>
      <c r="BL920" s="116"/>
      <c r="BU920" s="1"/>
      <c r="BV920" s="1"/>
      <c r="BW920" s="1"/>
      <c r="BX920" s="656"/>
      <c r="BZ920" s="657"/>
      <c r="CA920" s="1"/>
      <c r="CB920" s="1"/>
      <c r="CC920" s="1"/>
      <c r="CD920" s="1"/>
      <c r="CE920" s="1"/>
      <c r="CF920" s="1"/>
      <c r="CG920" s="1"/>
      <c r="CH920" s="1"/>
      <c r="CP920" s="305"/>
      <c r="CR920" s="116"/>
      <c r="CZ920" s="1"/>
      <c r="DA920" s="1"/>
      <c r="DB920" s="1"/>
      <c r="DC920" s="1"/>
      <c r="DD920" s="1"/>
      <c r="DE920" s="1"/>
      <c r="DF920" s="1"/>
      <c r="DG920" s="1"/>
      <c r="DH920" s="656"/>
      <c r="DJ920" s="116"/>
    </row>
    <row r="921" spans="2:114" ht="15.75" customHeight="1" x14ac:dyDescent="0.25">
      <c r="B921" s="116"/>
      <c r="I921" s="656"/>
      <c r="K921" s="116"/>
      <c r="X921" s="1"/>
      <c r="Y921" s="1"/>
      <c r="Z921" s="1"/>
      <c r="AA921" s="1"/>
      <c r="AB921" s="656"/>
      <c r="AC921" s="1"/>
      <c r="AD921" s="116"/>
      <c r="AL921" s="656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43"/>
      <c r="BL921" s="116"/>
      <c r="BU921" s="1"/>
      <c r="BV921" s="1"/>
      <c r="BW921" s="1"/>
      <c r="BX921" s="656"/>
      <c r="BZ921" s="657"/>
      <c r="CA921" s="1"/>
      <c r="CB921" s="1"/>
      <c r="CC921" s="1"/>
      <c r="CD921" s="1"/>
      <c r="CE921" s="1"/>
      <c r="CF921" s="1"/>
      <c r="CG921" s="1"/>
      <c r="CH921" s="1"/>
      <c r="CP921" s="305"/>
      <c r="CR921" s="116"/>
      <c r="CZ921" s="1"/>
      <c r="DA921" s="1"/>
      <c r="DB921" s="1"/>
      <c r="DC921" s="1"/>
      <c r="DD921" s="1"/>
      <c r="DE921" s="1"/>
      <c r="DF921" s="1"/>
      <c r="DG921" s="1"/>
      <c r="DH921" s="656"/>
      <c r="DJ921" s="116"/>
    </row>
    <row r="922" spans="2:114" ht="15.75" customHeight="1" x14ac:dyDescent="0.25">
      <c r="B922" s="116"/>
      <c r="I922" s="656"/>
      <c r="K922" s="116"/>
      <c r="X922" s="1"/>
      <c r="Y922" s="1"/>
      <c r="Z922" s="1"/>
      <c r="AA922" s="1"/>
      <c r="AB922" s="656"/>
      <c r="AC922" s="1"/>
      <c r="AD922" s="116"/>
      <c r="AL922" s="656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43"/>
      <c r="BL922" s="116"/>
      <c r="BU922" s="1"/>
      <c r="BV922" s="1"/>
      <c r="BW922" s="1"/>
      <c r="BX922" s="656"/>
      <c r="BZ922" s="657"/>
      <c r="CA922" s="1"/>
      <c r="CB922" s="1"/>
      <c r="CC922" s="1"/>
      <c r="CD922" s="1"/>
      <c r="CE922" s="1"/>
      <c r="CF922" s="1"/>
      <c r="CG922" s="1"/>
      <c r="CH922" s="1"/>
      <c r="CP922" s="305"/>
      <c r="CR922" s="116"/>
      <c r="CZ922" s="1"/>
      <c r="DA922" s="1"/>
      <c r="DB922" s="1"/>
      <c r="DC922" s="1"/>
      <c r="DD922" s="1"/>
      <c r="DE922" s="1"/>
      <c r="DF922" s="1"/>
      <c r="DG922" s="1"/>
      <c r="DH922" s="656"/>
      <c r="DJ922" s="116"/>
    </row>
    <row r="923" spans="2:114" ht="15.75" customHeight="1" x14ac:dyDescent="0.25">
      <c r="B923" s="116"/>
      <c r="I923" s="656"/>
      <c r="K923" s="116"/>
      <c r="X923" s="1"/>
      <c r="Y923" s="1"/>
      <c r="Z923" s="1"/>
      <c r="AA923" s="1"/>
      <c r="AB923" s="656"/>
      <c r="AC923" s="1"/>
      <c r="AD923" s="116"/>
      <c r="AL923" s="656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43"/>
      <c r="BL923" s="116"/>
      <c r="BU923" s="1"/>
      <c r="BV923" s="1"/>
      <c r="BW923" s="1"/>
      <c r="BX923" s="656"/>
      <c r="BZ923" s="657"/>
      <c r="CA923" s="1"/>
      <c r="CB923" s="1"/>
      <c r="CC923" s="1"/>
      <c r="CD923" s="1"/>
      <c r="CE923" s="1"/>
      <c r="CF923" s="1"/>
      <c r="CG923" s="1"/>
      <c r="CH923" s="1"/>
      <c r="CP923" s="305"/>
      <c r="CR923" s="116"/>
      <c r="CZ923" s="1"/>
      <c r="DA923" s="1"/>
      <c r="DB923" s="1"/>
      <c r="DC923" s="1"/>
      <c r="DD923" s="1"/>
      <c r="DE923" s="1"/>
      <c r="DF923" s="1"/>
      <c r="DG923" s="1"/>
      <c r="DH923" s="656"/>
      <c r="DJ923" s="116"/>
    </row>
    <row r="924" spans="2:114" ht="15.75" customHeight="1" x14ac:dyDescent="0.25">
      <c r="B924" s="116"/>
      <c r="I924" s="656"/>
      <c r="K924" s="116"/>
      <c r="X924" s="1"/>
      <c r="Y924" s="1"/>
      <c r="Z924" s="1"/>
      <c r="AA924" s="1"/>
      <c r="AB924" s="656"/>
      <c r="AC924" s="1"/>
      <c r="AD924" s="116"/>
      <c r="AL924" s="656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43"/>
      <c r="BL924" s="116"/>
      <c r="BU924" s="1"/>
      <c r="BV924" s="1"/>
      <c r="BW924" s="1"/>
      <c r="BX924" s="656"/>
      <c r="BZ924" s="657"/>
      <c r="CA924" s="1"/>
      <c r="CB924" s="1"/>
      <c r="CC924" s="1"/>
      <c r="CD924" s="1"/>
      <c r="CE924" s="1"/>
      <c r="CF924" s="1"/>
      <c r="CG924" s="1"/>
      <c r="CH924" s="1"/>
      <c r="CP924" s="305"/>
      <c r="CR924" s="116"/>
      <c r="CZ924" s="1"/>
      <c r="DA924" s="1"/>
      <c r="DB924" s="1"/>
      <c r="DC924" s="1"/>
      <c r="DD924" s="1"/>
      <c r="DE924" s="1"/>
      <c r="DF924" s="1"/>
      <c r="DG924" s="1"/>
      <c r="DH924" s="656"/>
      <c r="DJ924" s="116"/>
    </row>
    <row r="925" spans="2:114" ht="15.75" customHeight="1" x14ac:dyDescent="0.25">
      <c r="B925" s="116"/>
      <c r="I925" s="656"/>
      <c r="K925" s="116"/>
      <c r="X925" s="1"/>
      <c r="Y925" s="1"/>
      <c r="Z925" s="1"/>
      <c r="AA925" s="1"/>
      <c r="AB925" s="656"/>
      <c r="AC925" s="1"/>
      <c r="AD925" s="116"/>
      <c r="AL925" s="656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43"/>
      <c r="BL925" s="116"/>
      <c r="BU925" s="1"/>
      <c r="BV925" s="1"/>
      <c r="BW925" s="1"/>
      <c r="BX925" s="656"/>
      <c r="BZ925" s="657"/>
      <c r="CA925" s="1"/>
      <c r="CB925" s="1"/>
      <c r="CC925" s="1"/>
      <c r="CD925" s="1"/>
      <c r="CE925" s="1"/>
      <c r="CF925" s="1"/>
      <c r="CG925" s="1"/>
      <c r="CH925" s="1"/>
      <c r="CP925" s="305"/>
      <c r="CR925" s="116"/>
      <c r="CZ925" s="1"/>
      <c r="DA925" s="1"/>
      <c r="DB925" s="1"/>
      <c r="DC925" s="1"/>
      <c r="DD925" s="1"/>
      <c r="DE925" s="1"/>
      <c r="DF925" s="1"/>
      <c r="DG925" s="1"/>
      <c r="DH925" s="656"/>
      <c r="DJ925" s="116"/>
    </row>
    <row r="926" spans="2:114" ht="15.75" customHeight="1" x14ac:dyDescent="0.25">
      <c r="B926" s="116"/>
      <c r="I926" s="656"/>
      <c r="K926" s="116"/>
      <c r="X926" s="1"/>
      <c r="Y926" s="1"/>
      <c r="Z926" s="1"/>
      <c r="AA926" s="1"/>
      <c r="AB926" s="656"/>
      <c r="AC926" s="1"/>
      <c r="AD926" s="116"/>
      <c r="AL926" s="656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43"/>
      <c r="BL926" s="116"/>
      <c r="BU926" s="1"/>
      <c r="BV926" s="1"/>
      <c r="BW926" s="1"/>
      <c r="BX926" s="656"/>
      <c r="BZ926" s="657"/>
      <c r="CA926" s="1"/>
      <c r="CB926" s="1"/>
      <c r="CC926" s="1"/>
      <c r="CD926" s="1"/>
      <c r="CE926" s="1"/>
      <c r="CF926" s="1"/>
      <c r="CG926" s="1"/>
      <c r="CH926" s="1"/>
      <c r="CP926" s="305"/>
      <c r="CR926" s="116"/>
      <c r="CZ926" s="1"/>
      <c r="DA926" s="1"/>
      <c r="DB926" s="1"/>
      <c r="DC926" s="1"/>
      <c r="DD926" s="1"/>
      <c r="DE926" s="1"/>
      <c r="DF926" s="1"/>
      <c r="DG926" s="1"/>
      <c r="DH926" s="656"/>
      <c r="DJ926" s="116"/>
    </row>
    <row r="927" spans="2:114" ht="15.75" customHeight="1" x14ac:dyDescent="0.25">
      <c r="B927" s="116"/>
      <c r="I927" s="656"/>
      <c r="K927" s="116"/>
      <c r="X927" s="1"/>
      <c r="Y927" s="1"/>
      <c r="Z927" s="1"/>
      <c r="AA927" s="1"/>
      <c r="AB927" s="656"/>
      <c r="AC927" s="1"/>
      <c r="AD927" s="116"/>
      <c r="AL927" s="656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43"/>
      <c r="BL927" s="116"/>
      <c r="BU927" s="1"/>
      <c r="BV927" s="1"/>
      <c r="BW927" s="1"/>
      <c r="BX927" s="656"/>
      <c r="BZ927" s="657"/>
      <c r="CA927" s="1"/>
      <c r="CB927" s="1"/>
      <c r="CC927" s="1"/>
      <c r="CD927" s="1"/>
      <c r="CE927" s="1"/>
      <c r="CF927" s="1"/>
      <c r="CG927" s="1"/>
      <c r="CH927" s="1"/>
      <c r="CP927" s="305"/>
      <c r="CR927" s="116"/>
      <c r="CZ927" s="1"/>
      <c r="DA927" s="1"/>
      <c r="DB927" s="1"/>
      <c r="DC927" s="1"/>
      <c r="DD927" s="1"/>
      <c r="DE927" s="1"/>
      <c r="DF927" s="1"/>
      <c r="DG927" s="1"/>
      <c r="DH927" s="656"/>
      <c r="DJ927" s="116"/>
    </row>
    <row r="928" spans="2:114" ht="15.75" customHeight="1" x14ac:dyDescent="0.25">
      <c r="B928" s="116"/>
      <c r="I928" s="656"/>
      <c r="K928" s="116"/>
      <c r="X928" s="1"/>
      <c r="Y928" s="1"/>
      <c r="Z928" s="1"/>
      <c r="AA928" s="1"/>
      <c r="AB928" s="656"/>
      <c r="AC928" s="1"/>
      <c r="AD928" s="116"/>
      <c r="AL928" s="656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43"/>
      <c r="BL928" s="116"/>
      <c r="BU928" s="1"/>
      <c r="BV928" s="1"/>
      <c r="BW928" s="1"/>
      <c r="BX928" s="656"/>
      <c r="BZ928" s="657"/>
      <c r="CA928" s="1"/>
      <c r="CB928" s="1"/>
      <c r="CC928" s="1"/>
      <c r="CD928" s="1"/>
      <c r="CE928" s="1"/>
      <c r="CF928" s="1"/>
      <c r="CG928" s="1"/>
      <c r="CH928" s="1"/>
      <c r="CP928" s="305"/>
      <c r="CR928" s="116"/>
      <c r="CZ928" s="1"/>
      <c r="DA928" s="1"/>
      <c r="DB928" s="1"/>
      <c r="DC928" s="1"/>
      <c r="DD928" s="1"/>
      <c r="DE928" s="1"/>
      <c r="DF928" s="1"/>
      <c r="DG928" s="1"/>
      <c r="DH928" s="656"/>
      <c r="DJ928" s="116"/>
    </row>
    <row r="929" spans="2:114" ht="15.75" customHeight="1" x14ac:dyDescent="0.25">
      <c r="B929" s="116"/>
      <c r="I929" s="656"/>
      <c r="K929" s="116"/>
      <c r="X929" s="1"/>
      <c r="Y929" s="1"/>
      <c r="Z929" s="1"/>
      <c r="AA929" s="1"/>
      <c r="AB929" s="656"/>
      <c r="AC929" s="1"/>
      <c r="AD929" s="116"/>
      <c r="AL929" s="656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43"/>
      <c r="BL929" s="116"/>
      <c r="BU929" s="1"/>
      <c r="BV929" s="1"/>
      <c r="BW929" s="1"/>
      <c r="BX929" s="656"/>
      <c r="BZ929" s="657"/>
      <c r="CA929" s="1"/>
      <c r="CB929" s="1"/>
      <c r="CC929" s="1"/>
      <c r="CD929" s="1"/>
      <c r="CE929" s="1"/>
      <c r="CF929" s="1"/>
      <c r="CG929" s="1"/>
      <c r="CH929" s="1"/>
      <c r="CP929" s="305"/>
      <c r="CR929" s="116"/>
      <c r="CZ929" s="1"/>
      <c r="DA929" s="1"/>
      <c r="DB929" s="1"/>
      <c r="DC929" s="1"/>
      <c r="DD929" s="1"/>
      <c r="DE929" s="1"/>
      <c r="DF929" s="1"/>
      <c r="DG929" s="1"/>
      <c r="DH929" s="656"/>
      <c r="DJ929" s="116"/>
    </row>
    <row r="930" spans="2:114" ht="15.75" customHeight="1" x14ac:dyDescent="0.25">
      <c r="B930" s="116"/>
      <c r="I930" s="656"/>
      <c r="K930" s="116"/>
      <c r="X930" s="1"/>
      <c r="Y930" s="1"/>
      <c r="Z930" s="1"/>
      <c r="AA930" s="1"/>
      <c r="AB930" s="656"/>
      <c r="AC930" s="1"/>
      <c r="AD930" s="116"/>
      <c r="AL930" s="656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43"/>
      <c r="BL930" s="116"/>
      <c r="BU930" s="1"/>
      <c r="BV930" s="1"/>
      <c r="BW930" s="1"/>
      <c r="BX930" s="656"/>
      <c r="BZ930" s="657"/>
      <c r="CA930" s="1"/>
      <c r="CB930" s="1"/>
      <c r="CC930" s="1"/>
      <c r="CD930" s="1"/>
      <c r="CE930" s="1"/>
      <c r="CF930" s="1"/>
      <c r="CG930" s="1"/>
      <c r="CH930" s="1"/>
      <c r="CP930" s="305"/>
      <c r="CR930" s="116"/>
      <c r="CZ930" s="1"/>
      <c r="DA930" s="1"/>
      <c r="DB930" s="1"/>
      <c r="DC930" s="1"/>
      <c r="DD930" s="1"/>
      <c r="DE930" s="1"/>
      <c r="DF930" s="1"/>
      <c r="DG930" s="1"/>
      <c r="DH930" s="656"/>
      <c r="DJ930" s="116"/>
    </row>
    <row r="931" spans="2:114" ht="15.75" customHeight="1" x14ac:dyDescent="0.25">
      <c r="B931" s="116"/>
      <c r="I931" s="656"/>
      <c r="K931" s="116"/>
      <c r="X931" s="1"/>
      <c r="Y931" s="1"/>
      <c r="Z931" s="1"/>
      <c r="AA931" s="1"/>
      <c r="AB931" s="656"/>
      <c r="AC931" s="1"/>
      <c r="AD931" s="116"/>
      <c r="AL931" s="656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43"/>
      <c r="BL931" s="116"/>
      <c r="BU931" s="1"/>
      <c r="BV931" s="1"/>
      <c r="BW931" s="1"/>
      <c r="BX931" s="656"/>
      <c r="BZ931" s="657"/>
      <c r="CA931" s="1"/>
      <c r="CB931" s="1"/>
      <c r="CC931" s="1"/>
      <c r="CD931" s="1"/>
      <c r="CE931" s="1"/>
      <c r="CF931" s="1"/>
      <c r="CG931" s="1"/>
      <c r="CH931" s="1"/>
      <c r="CP931" s="305"/>
      <c r="CR931" s="116"/>
      <c r="CZ931" s="1"/>
      <c r="DA931" s="1"/>
      <c r="DB931" s="1"/>
      <c r="DC931" s="1"/>
      <c r="DD931" s="1"/>
      <c r="DE931" s="1"/>
      <c r="DF931" s="1"/>
      <c r="DG931" s="1"/>
      <c r="DH931" s="656"/>
      <c r="DJ931" s="116"/>
    </row>
    <row r="932" spans="2:114" ht="15.75" customHeight="1" x14ac:dyDescent="0.25">
      <c r="B932" s="116"/>
      <c r="I932" s="656"/>
      <c r="K932" s="116"/>
      <c r="X932" s="1"/>
      <c r="Y932" s="1"/>
      <c r="Z932" s="1"/>
      <c r="AA932" s="1"/>
      <c r="AB932" s="656"/>
      <c r="AC932" s="1"/>
      <c r="AD932" s="116"/>
      <c r="AL932" s="656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43"/>
      <c r="BL932" s="116"/>
      <c r="BU932" s="1"/>
      <c r="BV932" s="1"/>
      <c r="BW932" s="1"/>
      <c r="BX932" s="656"/>
      <c r="BZ932" s="657"/>
      <c r="CA932" s="1"/>
      <c r="CB932" s="1"/>
      <c r="CC932" s="1"/>
      <c r="CD932" s="1"/>
      <c r="CE932" s="1"/>
      <c r="CF932" s="1"/>
      <c r="CG932" s="1"/>
      <c r="CH932" s="1"/>
      <c r="CP932" s="305"/>
      <c r="CR932" s="116"/>
      <c r="CZ932" s="1"/>
      <c r="DA932" s="1"/>
      <c r="DB932" s="1"/>
      <c r="DC932" s="1"/>
      <c r="DD932" s="1"/>
      <c r="DE932" s="1"/>
      <c r="DF932" s="1"/>
      <c r="DG932" s="1"/>
      <c r="DH932" s="656"/>
      <c r="DJ932" s="116"/>
    </row>
    <row r="933" spans="2:114" ht="15.75" customHeight="1" x14ac:dyDescent="0.25">
      <c r="B933" s="116"/>
      <c r="I933" s="656"/>
      <c r="K933" s="116"/>
      <c r="X933" s="1"/>
      <c r="Y933" s="1"/>
      <c r="Z933" s="1"/>
      <c r="AA933" s="1"/>
      <c r="AB933" s="656"/>
      <c r="AC933" s="1"/>
      <c r="AD933" s="116"/>
      <c r="AL933" s="656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43"/>
      <c r="BL933" s="116"/>
      <c r="BU933" s="1"/>
      <c r="BV933" s="1"/>
      <c r="BW933" s="1"/>
      <c r="BX933" s="656"/>
      <c r="BZ933" s="657"/>
      <c r="CA933" s="1"/>
      <c r="CB933" s="1"/>
      <c r="CC933" s="1"/>
      <c r="CD933" s="1"/>
      <c r="CE933" s="1"/>
      <c r="CF933" s="1"/>
      <c r="CG933" s="1"/>
      <c r="CH933" s="1"/>
      <c r="CP933" s="305"/>
      <c r="CR933" s="116"/>
      <c r="CZ933" s="1"/>
      <c r="DA933" s="1"/>
      <c r="DB933" s="1"/>
      <c r="DC933" s="1"/>
      <c r="DD933" s="1"/>
      <c r="DE933" s="1"/>
      <c r="DF933" s="1"/>
      <c r="DG933" s="1"/>
      <c r="DH933" s="656"/>
      <c r="DJ933" s="116"/>
    </row>
    <row r="934" spans="2:114" ht="15.75" customHeight="1" x14ac:dyDescent="0.25">
      <c r="B934" s="116"/>
      <c r="I934" s="656"/>
      <c r="K934" s="116"/>
      <c r="X934" s="1"/>
      <c r="Y934" s="1"/>
      <c r="Z934" s="1"/>
      <c r="AA934" s="1"/>
      <c r="AB934" s="656"/>
      <c r="AC934" s="1"/>
      <c r="AD934" s="116"/>
      <c r="AL934" s="656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43"/>
      <c r="BL934" s="116"/>
      <c r="BU934" s="1"/>
      <c r="BV934" s="1"/>
      <c r="BW934" s="1"/>
      <c r="BX934" s="656"/>
      <c r="BZ934" s="657"/>
      <c r="CA934" s="1"/>
      <c r="CB934" s="1"/>
      <c r="CC934" s="1"/>
      <c r="CD934" s="1"/>
      <c r="CE934" s="1"/>
      <c r="CF934" s="1"/>
      <c r="CG934" s="1"/>
      <c r="CH934" s="1"/>
      <c r="CP934" s="305"/>
      <c r="CR934" s="116"/>
      <c r="CZ934" s="1"/>
      <c r="DA934" s="1"/>
      <c r="DB934" s="1"/>
      <c r="DC934" s="1"/>
      <c r="DD934" s="1"/>
      <c r="DE934" s="1"/>
      <c r="DF934" s="1"/>
      <c r="DG934" s="1"/>
      <c r="DH934" s="656"/>
      <c r="DJ934" s="116"/>
    </row>
    <row r="935" spans="2:114" ht="15.75" customHeight="1" x14ac:dyDescent="0.25">
      <c r="B935" s="116"/>
      <c r="I935" s="656"/>
      <c r="K935" s="116"/>
      <c r="X935" s="1"/>
      <c r="Y935" s="1"/>
      <c r="Z935" s="1"/>
      <c r="AA935" s="1"/>
      <c r="AB935" s="656"/>
      <c r="AC935" s="1"/>
      <c r="AD935" s="116"/>
      <c r="AL935" s="656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43"/>
      <c r="BL935" s="116"/>
      <c r="BU935" s="1"/>
      <c r="BV935" s="1"/>
      <c r="BW935" s="1"/>
      <c r="BX935" s="656"/>
      <c r="BZ935" s="657"/>
      <c r="CA935" s="1"/>
      <c r="CB935" s="1"/>
      <c r="CC935" s="1"/>
      <c r="CD935" s="1"/>
      <c r="CE935" s="1"/>
      <c r="CF935" s="1"/>
      <c r="CG935" s="1"/>
      <c r="CH935" s="1"/>
      <c r="CP935" s="305"/>
      <c r="CR935" s="116"/>
      <c r="CZ935" s="1"/>
      <c r="DA935" s="1"/>
      <c r="DB935" s="1"/>
      <c r="DC935" s="1"/>
      <c r="DD935" s="1"/>
      <c r="DE935" s="1"/>
      <c r="DF935" s="1"/>
      <c r="DG935" s="1"/>
      <c r="DH935" s="656"/>
      <c r="DJ935" s="116"/>
    </row>
    <row r="936" spans="2:114" ht="15.75" customHeight="1" x14ac:dyDescent="0.25">
      <c r="B936" s="116"/>
      <c r="I936" s="656"/>
      <c r="K936" s="116"/>
      <c r="X936" s="1"/>
      <c r="Y936" s="1"/>
      <c r="Z936" s="1"/>
      <c r="AA936" s="1"/>
      <c r="AB936" s="656"/>
      <c r="AC936" s="1"/>
      <c r="AD936" s="116"/>
      <c r="AL936" s="656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43"/>
      <c r="BL936" s="116"/>
      <c r="BU936" s="1"/>
      <c r="BV936" s="1"/>
      <c r="BW936" s="1"/>
      <c r="BX936" s="656"/>
      <c r="BZ936" s="657"/>
      <c r="CA936" s="1"/>
      <c r="CB936" s="1"/>
      <c r="CC936" s="1"/>
      <c r="CD936" s="1"/>
      <c r="CE936" s="1"/>
      <c r="CF936" s="1"/>
      <c r="CG936" s="1"/>
      <c r="CH936" s="1"/>
      <c r="CP936" s="305"/>
      <c r="CR936" s="116"/>
      <c r="CZ936" s="1"/>
      <c r="DA936" s="1"/>
      <c r="DB936" s="1"/>
      <c r="DC936" s="1"/>
      <c r="DD936" s="1"/>
      <c r="DE936" s="1"/>
      <c r="DF936" s="1"/>
      <c r="DG936" s="1"/>
      <c r="DH936" s="656"/>
      <c r="DJ936" s="116"/>
    </row>
    <row r="937" spans="2:114" ht="15.75" customHeight="1" x14ac:dyDescent="0.25">
      <c r="B937" s="116"/>
      <c r="I937" s="656"/>
      <c r="K937" s="116"/>
      <c r="X937" s="1"/>
      <c r="Y937" s="1"/>
      <c r="Z937" s="1"/>
      <c r="AA937" s="1"/>
      <c r="AB937" s="656"/>
      <c r="AC937" s="1"/>
      <c r="AD937" s="116"/>
      <c r="AL937" s="656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43"/>
      <c r="BL937" s="116"/>
      <c r="BU937" s="1"/>
      <c r="BV937" s="1"/>
      <c r="BW937" s="1"/>
      <c r="BX937" s="656"/>
      <c r="BZ937" s="657"/>
      <c r="CA937" s="1"/>
      <c r="CB937" s="1"/>
      <c r="CC937" s="1"/>
      <c r="CD937" s="1"/>
      <c r="CE937" s="1"/>
      <c r="CF937" s="1"/>
      <c r="CG937" s="1"/>
      <c r="CH937" s="1"/>
      <c r="CP937" s="305"/>
      <c r="CR937" s="116"/>
      <c r="CZ937" s="1"/>
      <c r="DA937" s="1"/>
      <c r="DB937" s="1"/>
      <c r="DC937" s="1"/>
      <c r="DD937" s="1"/>
      <c r="DE937" s="1"/>
      <c r="DF937" s="1"/>
      <c r="DG937" s="1"/>
      <c r="DH937" s="656"/>
      <c r="DJ937" s="116"/>
    </row>
    <row r="938" spans="2:114" ht="15.75" customHeight="1" x14ac:dyDescent="0.25">
      <c r="B938" s="116"/>
      <c r="I938" s="656"/>
      <c r="K938" s="116"/>
      <c r="X938" s="1"/>
      <c r="Y938" s="1"/>
      <c r="Z938" s="1"/>
      <c r="AA938" s="1"/>
      <c r="AB938" s="656"/>
      <c r="AC938" s="1"/>
      <c r="AD938" s="116"/>
      <c r="AL938" s="656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43"/>
      <c r="BL938" s="116"/>
      <c r="BU938" s="1"/>
      <c r="BV938" s="1"/>
      <c r="BW938" s="1"/>
      <c r="BX938" s="656"/>
      <c r="BZ938" s="657"/>
      <c r="CA938" s="1"/>
      <c r="CB938" s="1"/>
      <c r="CC938" s="1"/>
      <c r="CD938" s="1"/>
      <c r="CE938" s="1"/>
      <c r="CF938" s="1"/>
      <c r="CG938" s="1"/>
      <c r="CH938" s="1"/>
      <c r="CP938" s="305"/>
      <c r="CR938" s="116"/>
      <c r="CZ938" s="1"/>
      <c r="DA938" s="1"/>
      <c r="DB938" s="1"/>
      <c r="DC938" s="1"/>
      <c r="DD938" s="1"/>
      <c r="DE938" s="1"/>
      <c r="DF938" s="1"/>
      <c r="DG938" s="1"/>
      <c r="DH938" s="656"/>
      <c r="DJ938" s="116"/>
    </row>
    <row r="939" spans="2:114" ht="15.75" customHeight="1" x14ac:dyDescent="0.25">
      <c r="B939" s="116"/>
      <c r="I939" s="656"/>
      <c r="K939" s="116"/>
      <c r="X939" s="1"/>
      <c r="Y939" s="1"/>
      <c r="Z939" s="1"/>
      <c r="AA939" s="1"/>
      <c r="AB939" s="656"/>
      <c r="AC939" s="1"/>
      <c r="AD939" s="116"/>
      <c r="AL939" s="656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43"/>
      <c r="BL939" s="116"/>
      <c r="BU939" s="1"/>
      <c r="BV939" s="1"/>
      <c r="BW939" s="1"/>
      <c r="BX939" s="656"/>
      <c r="BZ939" s="657"/>
      <c r="CA939" s="1"/>
      <c r="CB939" s="1"/>
      <c r="CC939" s="1"/>
      <c r="CD939" s="1"/>
      <c r="CE939" s="1"/>
      <c r="CF939" s="1"/>
      <c r="CG939" s="1"/>
      <c r="CH939" s="1"/>
      <c r="CP939" s="305"/>
      <c r="CR939" s="116"/>
      <c r="CZ939" s="1"/>
      <c r="DA939" s="1"/>
      <c r="DB939" s="1"/>
      <c r="DC939" s="1"/>
      <c r="DD939" s="1"/>
      <c r="DE939" s="1"/>
      <c r="DF939" s="1"/>
      <c r="DG939" s="1"/>
      <c r="DH939" s="656"/>
      <c r="DJ939" s="116"/>
    </row>
    <row r="940" spans="2:114" ht="15.75" customHeight="1" x14ac:dyDescent="0.25">
      <c r="B940" s="116"/>
      <c r="I940" s="656"/>
      <c r="K940" s="116"/>
      <c r="X940" s="1"/>
      <c r="Y940" s="1"/>
      <c r="Z940" s="1"/>
      <c r="AA940" s="1"/>
      <c r="AB940" s="656"/>
      <c r="AC940" s="1"/>
      <c r="AD940" s="116"/>
      <c r="AL940" s="656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43"/>
      <c r="BL940" s="116"/>
      <c r="BU940" s="1"/>
      <c r="BV940" s="1"/>
      <c r="BW940" s="1"/>
      <c r="BX940" s="656"/>
      <c r="BZ940" s="657"/>
      <c r="CA940" s="1"/>
      <c r="CB940" s="1"/>
      <c r="CC940" s="1"/>
      <c r="CD940" s="1"/>
      <c r="CE940" s="1"/>
      <c r="CF940" s="1"/>
      <c r="CG940" s="1"/>
      <c r="CH940" s="1"/>
      <c r="CP940" s="305"/>
      <c r="CR940" s="116"/>
      <c r="CZ940" s="1"/>
      <c r="DA940" s="1"/>
      <c r="DB940" s="1"/>
      <c r="DC940" s="1"/>
      <c r="DD940" s="1"/>
      <c r="DE940" s="1"/>
      <c r="DF940" s="1"/>
      <c r="DG940" s="1"/>
      <c r="DH940" s="656"/>
      <c r="DJ940" s="116"/>
    </row>
    <row r="941" spans="2:114" ht="15.75" customHeight="1" x14ac:dyDescent="0.25">
      <c r="B941" s="116"/>
      <c r="I941" s="656"/>
      <c r="K941" s="116"/>
      <c r="X941" s="1"/>
      <c r="Y941" s="1"/>
      <c r="Z941" s="1"/>
      <c r="AA941" s="1"/>
      <c r="AB941" s="656"/>
      <c r="AC941" s="1"/>
      <c r="AD941" s="116"/>
      <c r="AL941" s="656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43"/>
      <c r="BL941" s="116"/>
      <c r="BU941" s="1"/>
      <c r="BV941" s="1"/>
      <c r="BW941" s="1"/>
      <c r="BX941" s="656"/>
      <c r="BZ941" s="657"/>
      <c r="CA941" s="1"/>
      <c r="CB941" s="1"/>
      <c r="CC941" s="1"/>
      <c r="CD941" s="1"/>
      <c r="CE941" s="1"/>
      <c r="CF941" s="1"/>
      <c r="CG941" s="1"/>
      <c r="CH941" s="1"/>
      <c r="CP941" s="305"/>
      <c r="CR941" s="116"/>
      <c r="CZ941" s="1"/>
      <c r="DA941" s="1"/>
      <c r="DB941" s="1"/>
      <c r="DC941" s="1"/>
      <c r="DD941" s="1"/>
      <c r="DE941" s="1"/>
      <c r="DF941" s="1"/>
      <c r="DG941" s="1"/>
      <c r="DH941" s="656"/>
      <c r="DJ941" s="116"/>
    </row>
    <row r="942" spans="2:114" ht="15.75" customHeight="1" x14ac:dyDescent="0.25">
      <c r="B942" s="116"/>
      <c r="I942" s="656"/>
      <c r="K942" s="116"/>
      <c r="X942" s="1"/>
      <c r="Y942" s="1"/>
      <c r="Z942" s="1"/>
      <c r="AA942" s="1"/>
      <c r="AB942" s="656"/>
      <c r="AC942" s="1"/>
      <c r="AD942" s="116"/>
      <c r="AL942" s="656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43"/>
      <c r="BL942" s="116"/>
      <c r="BU942" s="1"/>
      <c r="BV942" s="1"/>
      <c r="BW942" s="1"/>
      <c r="BX942" s="656"/>
      <c r="BZ942" s="657"/>
      <c r="CA942" s="1"/>
      <c r="CB942" s="1"/>
      <c r="CC942" s="1"/>
      <c r="CD942" s="1"/>
      <c r="CE942" s="1"/>
      <c r="CF942" s="1"/>
      <c r="CG942" s="1"/>
      <c r="CH942" s="1"/>
      <c r="CP942" s="305"/>
      <c r="CR942" s="116"/>
      <c r="CZ942" s="1"/>
      <c r="DA942" s="1"/>
      <c r="DB942" s="1"/>
      <c r="DC942" s="1"/>
      <c r="DD942" s="1"/>
      <c r="DE942" s="1"/>
      <c r="DF942" s="1"/>
      <c r="DG942" s="1"/>
      <c r="DH942" s="656"/>
      <c r="DJ942" s="116"/>
    </row>
    <row r="943" spans="2:114" ht="15.75" customHeight="1" x14ac:dyDescent="0.25">
      <c r="B943" s="116"/>
      <c r="I943" s="656"/>
      <c r="K943" s="116"/>
      <c r="X943" s="1"/>
      <c r="Y943" s="1"/>
      <c r="Z943" s="1"/>
      <c r="AA943" s="1"/>
      <c r="AB943" s="656"/>
      <c r="AC943" s="1"/>
      <c r="AD943" s="116"/>
      <c r="AL943" s="656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43"/>
      <c r="BL943" s="116"/>
      <c r="BU943" s="1"/>
      <c r="BV943" s="1"/>
      <c r="BW943" s="1"/>
      <c r="BX943" s="656"/>
      <c r="BZ943" s="657"/>
      <c r="CA943" s="1"/>
      <c r="CB943" s="1"/>
      <c r="CC943" s="1"/>
      <c r="CD943" s="1"/>
      <c r="CE943" s="1"/>
      <c r="CF943" s="1"/>
      <c r="CG943" s="1"/>
      <c r="CH943" s="1"/>
      <c r="CP943" s="305"/>
      <c r="CR943" s="116"/>
      <c r="CZ943" s="1"/>
      <c r="DA943" s="1"/>
      <c r="DB943" s="1"/>
      <c r="DC943" s="1"/>
      <c r="DD943" s="1"/>
      <c r="DE943" s="1"/>
      <c r="DF943" s="1"/>
      <c r="DG943" s="1"/>
      <c r="DH943" s="656"/>
      <c r="DJ943" s="116"/>
    </row>
    <row r="944" spans="2:114" ht="15.75" customHeight="1" x14ac:dyDescent="0.25">
      <c r="B944" s="116"/>
      <c r="I944" s="656"/>
      <c r="K944" s="116"/>
      <c r="X944" s="1"/>
      <c r="Y944" s="1"/>
      <c r="Z944" s="1"/>
      <c r="AA944" s="1"/>
      <c r="AB944" s="656"/>
      <c r="AC944" s="1"/>
      <c r="AD944" s="116"/>
      <c r="AL944" s="656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43"/>
      <c r="BL944" s="116"/>
      <c r="BU944" s="1"/>
      <c r="BV944" s="1"/>
      <c r="BW944" s="1"/>
      <c r="BX944" s="656"/>
      <c r="BZ944" s="657"/>
      <c r="CA944" s="1"/>
      <c r="CB944" s="1"/>
      <c r="CC944" s="1"/>
      <c r="CD944" s="1"/>
      <c r="CE944" s="1"/>
      <c r="CF944" s="1"/>
      <c r="CG944" s="1"/>
      <c r="CH944" s="1"/>
      <c r="CP944" s="305"/>
      <c r="CR944" s="116"/>
      <c r="CZ944" s="1"/>
      <c r="DA944" s="1"/>
      <c r="DB944" s="1"/>
      <c r="DC944" s="1"/>
      <c r="DD944" s="1"/>
      <c r="DE944" s="1"/>
      <c r="DF944" s="1"/>
      <c r="DG944" s="1"/>
      <c r="DH944" s="656"/>
      <c r="DJ944" s="116"/>
    </row>
    <row r="945" spans="2:114" ht="15.75" customHeight="1" x14ac:dyDescent="0.25">
      <c r="B945" s="116"/>
      <c r="I945" s="656"/>
      <c r="K945" s="116"/>
      <c r="X945" s="1"/>
      <c r="Y945" s="1"/>
      <c r="Z945" s="1"/>
      <c r="AA945" s="1"/>
      <c r="AB945" s="656"/>
      <c r="AC945" s="1"/>
      <c r="AD945" s="116"/>
      <c r="AL945" s="656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43"/>
      <c r="BL945" s="116"/>
      <c r="BU945" s="1"/>
      <c r="BV945" s="1"/>
      <c r="BW945" s="1"/>
      <c r="BX945" s="656"/>
      <c r="BZ945" s="657"/>
      <c r="CA945" s="1"/>
      <c r="CB945" s="1"/>
      <c r="CC945" s="1"/>
      <c r="CD945" s="1"/>
      <c r="CE945" s="1"/>
      <c r="CF945" s="1"/>
      <c r="CG945" s="1"/>
      <c r="CH945" s="1"/>
      <c r="CP945" s="305"/>
      <c r="CR945" s="116"/>
      <c r="CZ945" s="1"/>
      <c r="DA945" s="1"/>
      <c r="DB945" s="1"/>
      <c r="DC945" s="1"/>
      <c r="DD945" s="1"/>
      <c r="DE945" s="1"/>
      <c r="DF945" s="1"/>
      <c r="DG945" s="1"/>
      <c r="DH945" s="656"/>
      <c r="DJ945" s="116"/>
    </row>
    <row r="946" spans="2:114" ht="15.75" customHeight="1" x14ac:dyDescent="0.25">
      <c r="B946" s="116"/>
      <c r="I946" s="656"/>
      <c r="K946" s="116"/>
      <c r="X946" s="1"/>
      <c r="Y946" s="1"/>
      <c r="Z946" s="1"/>
      <c r="AA946" s="1"/>
      <c r="AB946" s="656"/>
      <c r="AC946" s="1"/>
      <c r="AD946" s="116"/>
      <c r="AL946" s="656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43"/>
      <c r="BL946" s="116"/>
      <c r="BU946" s="1"/>
      <c r="BV946" s="1"/>
      <c r="BW946" s="1"/>
      <c r="BX946" s="656"/>
      <c r="BZ946" s="657"/>
      <c r="CA946" s="1"/>
      <c r="CB946" s="1"/>
      <c r="CC946" s="1"/>
      <c r="CD946" s="1"/>
      <c r="CE946" s="1"/>
      <c r="CF946" s="1"/>
      <c r="CG946" s="1"/>
      <c r="CH946" s="1"/>
      <c r="CP946" s="305"/>
      <c r="CR946" s="116"/>
      <c r="CZ946" s="1"/>
      <c r="DA946" s="1"/>
      <c r="DB946" s="1"/>
      <c r="DC946" s="1"/>
      <c r="DD946" s="1"/>
      <c r="DE946" s="1"/>
      <c r="DF946" s="1"/>
      <c r="DG946" s="1"/>
      <c r="DH946" s="656"/>
      <c r="DJ946" s="116"/>
    </row>
    <row r="947" spans="2:114" ht="15.75" customHeight="1" x14ac:dyDescent="0.25">
      <c r="B947" s="116"/>
      <c r="I947" s="656"/>
      <c r="K947" s="116"/>
      <c r="X947" s="1"/>
      <c r="Y947" s="1"/>
      <c r="Z947" s="1"/>
      <c r="AA947" s="1"/>
      <c r="AB947" s="656"/>
      <c r="AC947" s="1"/>
      <c r="AD947" s="116"/>
      <c r="AL947" s="656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43"/>
      <c r="BL947" s="116"/>
      <c r="BU947" s="1"/>
      <c r="BV947" s="1"/>
      <c r="BW947" s="1"/>
      <c r="BX947" s="656"/>
      <c r="BZ947" s="657"/>
      <c r="CA947" s="1"/>
      <c r="CB947" s="1"/>
      <c r="CC947" s="1"/>
      <c r="CD947" s="1"/>
      <c r="CE947" s="1"/>
      <c r="CF947" s="1"/>
      <c r="CG947" s="1"/>
      <c r="CH947" s="1"/>
      <c r="CP947" s="305"/>
      <c r="CR947" s="116"/>
      <c r="CZ947" s="1"/>
      <c r="DA947" s="1"/>
      <c r="DB947" s="1"/>
      <c r="DC947" s="1"/>
      <c r="DD947" s="1"/>
      <c r="DE947" s="1"/>
      <c r="DF947" s="1"/>
      <c r="DG947" s="1"/>
      <c r="DH947" s="656"/>
      <c r="DJ947" s="116"/>
    </row>
    <row r="948" spans="2:114" ht="15.75" customHeight="1" x14ac:dyDescent="0.25">
      <c r="B948" s="116"/>
      <c r="I948" s="656"/>
      <c r="K948" s="116"/>
      <c r="X948" s="1"/>
      <c r="Y948" s="1"/>
      <c r="Z948" s="1"/>
      <c r="AA948" s="1"/>
      <c r="AB948" s="656"/>
      <c r="AC948" s="1"/>
      <c r="AD948" s="116"/>
      <c r="AL948" s="656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43"/>
      <c r="BL948" s="116"/>
      <c r="BU948" s="1"/>
      <c r="BV948" s="1"/>
      <c r="BW948" s="1"/>
      <c r="BX948" s="656"/>
      <c r="BZ948" s="657"/>
      <c r="CA948" s="1"/>
      <c r="CB948" s="1"/>
      <c r="CC948" s="1"/>
      <c r="CD948" s="1"/>
      <c r="CE948" s="1"/>
      <c r="CF948" s="1"/>
      <c r="CG948" s="1"/>
      <c r="CH948" s="1"/>
      <c r="CP948" s="305"/>
      <c r="CR948" s="116"/>
      <c r="CZ948" s="1"/>
      <c r="DA948" s="1"/>
      <c r="DB948" s="1"/>
      <c r="DC948" s="1"/>
      <c r="DD948" s="1"/>
      <c r="DE948" s="1"/>
      <c r="DF948" s="1"/>
      <c r="DG948" s="1"/>
      <c r="DH948" s="656"/>
      <c r="DJ948" s="116"/>
    </row>
    <row r="949" spans="2:114" ht="15.75" customHeight="1" x14ac:dyDescent="0.25">
      <c r="B949" s="116"/>
      <c r="I949" s="656"/>
      <c r="K949" s="116"/>
      <c r="X949" s="1"/>
      <c r="Y949" s="1"/>
      <c r="Z949" s="1"/>
      <c r="AA949" s="1"/>
      <c r="AB949" s="656"/>
      <c r="AC949" s="1"/>
      <c r="AD949" s="116"/>
      <c r="AL949" s="656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43"/>
      <c r="BL949" s="116"/>
      <c r="BU949" s="1"/>
      <c r="BV949" s="1"/>
      <c r="BW949" s="1"/>
      <c r="BX949" s="656"/>
      <c r="BZ949" s="657"/>
      <c r="CA949" s="1"/>
      <c r="CB949" s="1"/>
      <c r="CC949" s="1"/>
      <c r="CD949" s="1"/>
      <c r="CE949" s="1"/>
      <c r="CF949" s="1"/>
      <c r="CG949" s="1"/>
      <c r="CH949" s="1"/>
      <c r="CP949" s="305"/>
      <c r="CR949" s="116"/>
      <c r="CZ949" s="1"/>
      <c r="DA949" s="1"/>
      <c r="DB949" s="1"/>
      <c r="DC949" s="1"/>
      <c r="DD949" s="1"/>
      <c r="DE949" s="1"/>
      <c r="DF949" s="1"/>
      <c r="DG949" s="1"/>
      <c r="DH949" s="656"/>
      <c r="DJ949" s="116"/>
    </row>
    <row r="950" spans="2:114" ht="15.75" customHeight="1" x14ac:dyDescent="0.25">
      <c r="B950" s="116"/>
      <c r="I950" s="656"/>
      <c r="K950" s="116"/>
      <c r="X950" s="1"/>
      <c r="Y950" s="1"/>
      <c r="Z950" s="1"/>
      <c r="AA950" s="1"/>
      <c r="AB950" s="656"/>
      <c r="AC950" s="1"/>
      <c r="AD950" s="116"/>
      <c r="AL950" s="656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43"/>
      <c r="BL950" s="116"/>
      <c r="BU950" s="1"/>
      <c r="BV950" s="1"/>
      <c r="BW950" s="1"/>
      <c r="BX950" s="656"/>
      <c r="BZ950" s="657"/>
      <c r="CA950" s="1"/>
      <c r="CB950" s="1"/>
      <c r="CC950" s="1"/>
      <c r="CD950" s="1"/>
      <c r="CE950" s="1"/>
      <c r="CF950" s="1"/>
      <c r="CG950" s="1"/>
      <c r="CH950" s="1"/>
      <c r="CP950" s="305"/>
      <c r="CR950" s="116"/>
      <c r="CZ950" s="1"/>
      <c r="DA950" s="1"/>
      <c r="DB950" s="1"/>
      <c r="DC950" s="1"/>
      <c r="DD950" s="1"/>
      <c r="DE950" s="1"/>
      <c r="DF950" s="1"/>
      <c r="DG950" s="1"/>
      <c r="DH950" s="656"/>
      <c r="DJ950" s="116"/>
    </row>
    <row r="951" spans="2:114" ht="15.75" customHeight="1" x14ac:dyDescent="0.25">
      <c r="B951" s="116"/>
      <c r="I951" s="656"/>
      <c r="K951" s="116"/>
      <c r="X951" s="1"/>
      <c r="Y951" s="1"/>
      <c r="Z951" s="1"/>
      <c r="AA951" s="1"/>
      <c r="AB951" s="656"/>
      <c r="AC951" s="1"/>
      <c r="AD951" s="116"/>
      <c r="AL951" s="656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43"/>
      <c r="BL951" s="116"/>
      <c r="BU951" s="1"/>
      <c r="BV951" s="1"/>
      <c r="BW951" s="1"/>
      <c r="BX951" s="656"/>
      <c r="BZ951" s="657"/>
      <c r="CA951" s="1"/>
      <c r="CB951" s="1"/>
      <c r="CC951" s="1"/>
      <c r="CD951" s="1"/>
      <c r="CE951" s="1"/>
      <c r="CF951" s="1"/>
      <c r="CG951" s="1"/>
      <c r="CH951" s="1"/>
      <c r="CP951" s="305"/>
      <c r="CR951" s="116"/>
      <c r="CZ951" s="1"/>
      <c r="DA951" s="1"/>
      <c r="DB951" s="1"/>
      <c r="DC951" s="1"/>
      <c r="DD951" s="1"/>
      <c r="DE951" s="1"/>
      <c r="DF951" s="1"/>
      <c r="DG951" s="1"/>
      <c r="DH951" s="656"/>
      <c r="DJ951" s="116"/>
    </row>
    <row r="952" spans="2:114" ht="15.75" customHeight="1" x14ac:dyDescent="0.25">
      <c r="B952" s="116"/>
      <c r="I952" s="656"/>
      <c r="K952" s="116"/>
      <c r="X952" s="1"/>
      <c r="Y952" s="1"/>
      <c r="Z952" s="1"/>
      <c r="AA952" s="1"/>
      <c r="AB952" s="656"/>
      <c r="AC952" s="1"/>
      <c r="AD952" s="116"/>
      <c r="AL952" s="656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43"/>
      <c r="BL952" s="116"/>
      <c r="BU952" s="1"/>
      <c r="BV952" s="1"/>
      <c r="BW952" s="1"/>
      <c r="BX952" s="656"/>
      <c r="BZ952" s="657"/>
      <c r="CA952" s="1"/>
      <c r="CB952" s="1"/>
      <c r="CC952" s="1"/>
      <c r="CD952" s="1"/>
      <c r="CE952" s="1"/>
      <c r="CF952" s="1"/>
      <c r="CG952" s="1"/>
      <c r="CH952" s="1"/>
      <c r="CP952" s="305"/>
      <c r="CR952" s="116"/>
      <c r="CZ952" s="1"/>
      <c r="DA952" s="1"/>
      <c r="DB952" s="1"/>
      <c r="DC952" s="1"/>
      <c r="DD952" s="1"/>
      <c r="DE952" s="1"/>
      <c r="DF952" s="1"/>
      <c r="DG952" s="1"/>
      <c r="DH952" s="656"/>
      <c r="DJ952" s="116"/>
    </row>
    <row r="953" spans="2:114" ht="15.75" customHeight="1" x14ac:dyDescent="0.25">
      <c r="B953" s="116"/>
      <c r="I953" s="656"/>
      <c r="K953" s="116"/>
      <c r="X953" s="1"/>
      <c r="Y953" s="1"/>
      <c r="Z953" s="1"/>
      <c r="AA953" s="1"/>
      <c r="AB953" s="656"/>
      <c r="AC953" s="1"/>
      <c r="AD953" s="116"/>
      <c r="AL953" s="656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43"/>
      <c r="BL953" s="116"/>
      <c r="BU953" s="1"/>
      <c r="BV953" s="1"/>
      <c r="BW953" s="1"/>
      <c r="BX953" s="656"/>
      <c r="BZ953" s="657"/>
      <c r="CA953" s="1"/>
      <c r="CB953" s="1"/>
      <c r="CC953" s="1"/>
      <c r="CD953" s="1"/>
      <c r="CE953" s="1"/>
      <c r="CF953" s="1"/>
      <c r="CG953" s="1"/>
      <c r="CH953" s="1"/>
      <c r="CP953" s="305"/>
      <c r="CR953" s="116"/>
      <c r="CZ953" s="1"/>
      <c r="DA953" s="1"/>
      <c r="DB953" s="1"/>
      <c r="DC953" s="1"/>
      <c r="DD953" s="1"/>
      <c r="DE953" s="1"/>
      <c r="DF953" s="1"/>
      <c r="DG953" s="1"/>
      <c r="DH953" s="656"/>
      <c r="DJ953" s="116"/>
    </row>
    <row r="954" spans="2:114" ht="15.75" customHeight="1" x14ac:dyDescent="0.25">
      <c r="B954" s="116"/>
      <c r="I954" s="656"/>
      <c r="K954" s="116"/>
      <c r="X954" s="1"/>
      <c r="Y954" s="1"/>
      <c r="Z954" s="1"/>
      <c r="AA954" s="1"/>
      <c r="AB954" s="656"/>
      <c r="AC954" s="1"/>
      <c r="AD954" s="116"/>
      <c r="AL954" s="656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43"/>
      <c r="BL954" s="116"/>
      <c r="BU954" s="1"/>
      <c r="BV954" s="1"/>
      <c r="BW954" s="1"/>
      <c r="BX954" s="656"/>
      <c r="BZ954" s="657"/>
      <c r="CA954" s="1"/>
      <c r="CB954" s="1"/>
      <c r="CC954" s="1"/>
      <c r="CD954" s="1"/>
      <c r="CE954" s="1"/>
      <c r="CF954" s="1"/>
      <c r="CG954" s="1"/>
      <c r="CH954" s="1"/>
      <c r="CP954" s="305"/>
      <c r="CR954" s="116"/>
      <c r="CZ954" s="1"/>
      <c r="DA954" s="1"/>
      <c r="DB954" s="1"/>
      <c r="DC954" s="1"/>
      <c r="DD954" s="1"/>
      <c r="DE954" s="1"/>
      <c r="DF954" s="1"/>
      <c r="DG954" s="1"/>
      <c r="DH954" s="656"/>
      <c r="DJ954" s="116"/>
    </row>
    <row r="955" spans="2:114" ht="15.75" customHeight="1" x14ac:dyDescent="0.25">
      <c r="B955" s="116"/>
      <c r="I955" s="656"/>
      <c r="K955" s="116"/>
      <c r="X955" s="1"/>
      <c r="Y955" s="1"/>
      <c r="Z955" s="1"/>
      <c r="AA955" s="1"/>
      <c r="AB955" s="656"/>
      <c r="AC955" s="1"/>
      <c r="AD955" s="116"/>
      <c r="AL955" s="656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43"/>
      <c r="BL955" s="116"/>
      <c r="BU955" s="1"/>
      <c r="BV955" s="1"/>
      <c r="BW955" s="1"/>
      <c r="BX955" s="656"/>
      <c r="BZ955" s="657"/>
      <c r="CA955" s="1"/>
      <c r="CB955" s="1"/>
      <c r="CC955" s="1"/>
      <c r="CD955" s="1"/>
      <c r="CE955" s="1"/>
      <c r="CF955" s="1"/>
      <c r="CG955" s="1"/>
      <c r="CH955" s="1"/>
      <c r="CP955" s="305"/>
      <c r="CR955" s="116"/>
      <c r="CZ955" s="1"/>
      <c r="DA955" s="1"/>
      <c r="DB955" s="1"/>
      <c r="DC955" s="1"/>
      <c r="DD955" s="1"/>
      <c r="DE955" s="1"/>
      <c r="DF955" s="1"/>
      <c r="DG955" s="1"/>
      <c r="DH955" s="656"/>
      <c r="DJ955" s="116"/>
    </row>
    <row r="956" spans="2:114" ht="15.75" customHeight="1" x14ac:dyDescent="0.25">
      <c r="B956" s="116"/>
      <c r="I956" s="656"/>
      <c r="K956" s="116"/>
      <c r="X956" s="1"/>
      <c r="Y956" s="1"/>
      <c r="Z956" s="1"/>
      <c r="AA956" s="1"/>
      <c r="AB956" s="656"/>
      <c r="AC956" s="1"/>
      <c r="AD956" s="116"/>
      <c r="AL956" s="656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43"/>
      <c r="BL956" s="116"/>
      <c r="BU956" s="1"/>
      <c r="BV956" s="1"/>
      <c r="BW956" s="1"/>
      <c r="BX956" s="656"/>
      <c r="BZ956" s="657"/>
      <c r="CA956" s="1"/>
      <c r="CB956" s="1"/>
      <c r="CC956" s="1"/>
      <c r="CD956" s="1"/>
      <c r="CE956" s="1"/>
      <c r="CF956" s="1"/>
      <c r="CG956" s="1"/>
      <c r="CH956" s="1"/>
      <c r="CP956" s="305"/>
      <c r="CR956" s="116"/>
      <c r="CZ956" s="1"/>
      <c r="DA956" s="1"/>
      <c r="DB956" s="1"/>
      <c r="DC956" s="1"/>
      <c r="DD956" s="1"/>
      <c r="DE956" s="1"/>
      <c r="DF956" s="1"/>
      <c r="DG956" s="1"/>
      <c r="DH956" s="656"/>
      <c r="DJ956" s="116"/>
    </row>
    <row r="957" spans="2:114" ht="15.75" customHeight="1" x14ac:dyDescent="0.25">
      <c r="B957" s="116"/>
      <c r="I957" s="656"/>
      <c r="K957" s="116"/>
      <c r="X957" s="1"/>
      <c r="Y957" s="1"/>
      <c r="Z957" s="1"/>
      <c r="AA957" s="1"/>
      <c r="AB957" s="656"/>
      <c r="AC957" s="1"/>
      <c r="AD957" s="116"/>
      <c r="AL957" s="656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43"/>
      <c r="BL957" s="116"/>
      <c r="BU957" s="1"/>
      <c r="BV957" s="1"/>
      <c r="BW957" s="1"/>
      <c r="BX957" s="656"/>
      <c r="BZ957" s="657"/>
      <c r="CA957" s="1"/>
      <c r="CB957" s="1"/>
      <c r="CC957" s="1"/>
      <c r="CD957" s="1"/>
      <c r="CE957" s="1"/>
      <c r="CF957" s="1"/>
      <c r="CG957" s="1"/>
      <c r="CH957" s="1"/>
      <c r="CP957" s="305"/>
      <c r="CR957" s="116"/>
      <c r="CZ957" s="1"/>
      <c r="DA957" s="1"/>
      <c r="DB957" s="1"/>
      <c r="DC957" s="1"/>
      <c r="DD957" s="1"/>
      <c r="DE957" s="1"/>
      <c r="DF957" s="1"/>
      <c r="DG957" s="1"/>
      <c r="DH957" s="656"/>
      <c r="DJ957" s="116"/>
    </row>
    <row r="958" spans="2:114" ht="15.75" customHeight="1" x14ac:dyDescent="0.25">
      <c r="B958" s="116"/>
      <c r="I958" s="656"/>
      <c r="K958" s="116"/>
      <c r="X958" s="1"/>
      <c r="Y958" s="1"/>
      <c r="Z958" s="1"/>
      <c r="AA958" s="1"/>
      <c r="AB958" s="656"/>
      <c r="AC958" s="1"/>
      <c r="AD958" s="116"/>
      <c r="AL958" s="656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43"/>
      <c r="BL958" s="116"/>
      <c r="BU958" s="1"/>
      <c r="BV958" s="1"/>
      <c r="BW958" s="1"/>
      <c r="BX958" s="656"/>
      <c r="BZ958" s="657"/>
      <c r="CA958" s="1"/>
      <c r="CB958" s="1"/>
      <c r="CC958" s="1"/>
      <c r="CD958" s="1"/>
      <c r="CE958" s="1"/>
      <c r="CF958" s="1"/>
      <c r="CG958" s="1"/>
      <c r="CH958" s="1"/>
      <c r="CP958" s="305"/>
      <c r="CR958" s="116"/>
      <c r="CZ958" s="1"/>
      <c r="DA958" s="1"/>
      <c r="DB958" s="1"/>
      <c r="DC958" s="1"/>
      <c r="DD958" s="1"/>
      <c r="DE958" s="1"/>
      <c r="DF958" s="1"/>
      <c r="DG958" s="1"/>
      <c r="DH958" s="656"/>
      <c r="DJ958" s="116"/>
    </row>
    <row r="959" spans="2:114" ht="15.75" customHeight="1" x14ac:dyDescent="0.25">
      <c r="B959" s="116"/>
      <c r="I959" s="656"/>
      <c r="K959" s="116"/>
      <c r="X959" s="1"/>
      <c r="Y959" s="1"/>
      <c r="Z959" s="1"/>
      <c r="AA959" s="1"/>
      <c r="AB959" s="656"/>
      <c r="AC959" s="1"/>
      <c r="AD959" s="116"/>
      <c r="AL959" s="656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43"/>
      <c r="BL959" s="116"/>
      <c r="BU959" s="1"/>
      <c r="BV959" s="1"/>
      <c r="BW959" s="1"/>
      <c r="BX959" s="656"/>
      <c r="BZ959" s="657"/>
      <c r="CA959" s="1"/>
      <c r="CB959" s="1"/>
      <c r="CC959" s="1"/>
      <c r="CD959" s="1"/>
      <c r="CE959" s="1"/>
      <c r="CF959" s="1"/>
      <c r="CG959" s="1"/>
      <c r="CH959" s="1"/>
      <c r="CP959" s="305"/>
      <c r="CR959" s="116"/>
      <c r="CZ959" s="1"/>
      <c r="DA959" s="1"/>
      <c r="DB959" s="1"/>
      <c r="DC959" s="1"/>
      <c r="DD959" s="1"/>
      <c r="DE959" s="1"/>
      <c r="DF959" s="1"/>
      <c r="DG959" s="1"/>
      <c r="DH959" s="656"/>
      <c r="DJ959" s="116"/>
    </row>
    <row r="960" spans="2:114" ht="15.75" customHeight="1" x14ac:dyDescent="0.25">
      <c r="B960" s="116"/>
      <c r="I960" s="656"/>
      <c r="K960" s="116"/>
      <c r="X960" s="1"/>
      <c r="Y960" s="1"/>
      <c r="Z960" s="1"/>
      <c r="AA960" s="1"/>
      <c r="AB960" s="656"/>
      <c r="AC960" s="1"/>
      <c r="AD960" s="116"/>
      <c r="AL960" s="656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43"/>
      <c r="BL960" s="116"/>
      <c r="BU960" s="1"/>
      <c r="BV960" s="1"/>
      <c r="BW960" s="1"/>
      <c r="BX960" s="656"/>
      <c r="BZ960" s="657"/>
      <c r="CA960" s="1"/>
      <c r="CB960" s="1"/>
      <c r="CC960" s="1"/>
      <c r="CD960" s="1"/>
      <c r="CE960" s="1"/>
      <c r="CF960" s="1"/>
      <c r="CG960" s="1"/>
      <c r="CH960" s="1"/>
      <c r="CP960" s="305"/>
      <c r="CR960" s="116"/>
      <c r="CZ960" s="1"/>
      <c r="DA960" s="1"/>
      <c r="DB960" s="1"/>
      <c r="DC960" s="1"/>
      <c r="DD960" s="1"/>
      <c r="DE960" s="1"/>
      <c r="DF960" s="1"/>
      <c r="DG960" s="1"/>
      <c r="DH960" s="656"/>
      <c r="DJ960" s="116"/>
    </row>
    <row r="961" spans="2:114" ht="15.75" customHeight="1" x14ac:dyDescent="0.25">
      <c r="B961" s="116"/>
      <c r="I961" s="656"/>
      <c r="K961" s="116"/>
      <c r="X961" s="1"/>
      <c r="Y961" s="1"/>
      <c r="Z961" s="1"/>
      <c r="AA961" s="1"/>
      <c r="AB961" s="656"/>
      <c r="AC961" s="1"/>
      <c r="AD961" s="116"/>
      <c r="AL961" s="656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43"/>
      <c r="BL961" s="116"/>
      <c r="BU961" s="1"/>
      <c r="BV961" s="1"/>
      <c r="BW961" s="1"/>
      <c r="BX961" s="656"/>
      <c r="BZ961" s="657"/>
      <c r="CA961" s="1"/>
      <c r="CB961" s="1"/>
      <c r="CC961" s="1"/>
      <c r="CD961" s="1"/>
      <c r="CE961" s="1"/>
      <c r="CF961" s="1"/>
      <c r="CG961" s="1"/>
      <c r="CH961" s="1"/>
      <c r="CP961" s="305"/>
      <c r="CR961" s="116"/>
      <c r="CZ961" s="1"/>
      <c r="DA961" s="1"/>
      <c r="DB961" s="1"/>
      <c r="DC961" s="1"/>
      <c r="DD961" s="1"/>
      <c r="DE961" s="1"/>
      <c r="DF961" s="1"/>
      <c r="DG961" s="1"/>
      <c r="DH961" s="656"/>
      <c r="DJ961" s="116"/>
    </row>
    <row r="962" spans="2:114" ht="15.75" customHeight="1" x14ac:dyDescent="0.25">
      <c r="B962" s="116"/>
      <c r="I962" s="656"/>
      <c r="K962" s="116"/>
      <c r="X962" s="1"/>
      <c r="Y962" s="1"/>
      <c r="Z962" s="1"/>
      <c r="AA962" s="1"/>
      <c r="AB962" s="656"/>
      <c r="AC962" s="1"/>
      <c r="AD962" s="116"/>
      <c r="AL962" s="656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43"/>
      <c r="BL962" s="116"/>
      <c r="BU962" s="1"/>
      <c r="BV962" s="1"/>
      <c r="BW962" s="1"/>
      <c r="BX962" s="656"/>
      <c r="BZ962" s="657"/>
      <c r="CA962" s="1"/>
      <c r="CB962" s="1"/>
      <c r="CC962" s="1"/>
      <c r="CD962" s="1"/>
      <c r="CE962" s="1"/>
      <c r="CF962" s="1"/>
      <c r="CG962" s="1"/>
      <c r="CH962" s="1"/>
      <c r="CP962" s="305"/>
      <c r="CR962" s="116"/>
      <c r="CZ962" s="1"/>
      <c r="DA962" s="1"/>
      <c r="DB962" s="1"/>
      <c r="DC962" s="1"/>
      <c r="DD962" s="1"/>
      <c r="DE962" s="1"/>
      <c r="DF962" s="1"/>
      <c r="DG962" s="1"/>
      <c r="DH962" s="656"/>
      <c r="DJ962" s="116"/>
    </row>
    <row r="963" spans="2:114" ht="15.75" customHeight="1" x14ac:dyDescent="0.25">
      <c r="B963" s="116"/>
      <c r="I963" s="656"/>
      <c r="K963" s="116"/>
      <c r="X963" s="1"/>
      <c r="Y963" s="1"/>
      <c r="Z963" s="1"/>
      <c r="AA963" s="1"/>
      <c r="AB963" s="656"/>
      <c r="AC963" s="1"/>
      <c r="AD963" s="116"/>
      <c r="AL963" s="656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43"/>
      <c r="BL963" s="116"/>
      <c r="BU963" s="1"/>
      <c r="BV963" s="1"/>
      <c r="BW963" s="1"/>
      <c r="BX963" s="656"/>
      <c r="BZ963" s="657"/>
      <c r="CA963" s="1"/>
      <c r="CB963" s="1"/>
      <c r="CC963" s="1"/>
      <c r="CD963" s="1"/>
      <c r="CE963" s="1"/>
      <c r="CF963" s="1"/>
      <c r="CG963" s="1"/>
      <c r="CH963" s="1"/>
      <c r="CP963" s="305"/>
      <c r="CR963" s="116"/>
      <c r="CZ963" s="1"/>
      <c r="DA963" s="1"/>
      <c r="DB963" s="1"/>
      <c r="DC963" s="1"/>
      <c r="DD963" s="1"/>
      <c r="DE963" s="1"/>
      <c r="DF963" s="1"/>
      <c r="DG963" s="1"/>
      <c r="DH963" s="656"/>
      <c r="DJ963" s="116"/>
    </row>
    <row r="964" spans="2:114" ht="15.75" customHeight="1" x14ac:dyDescent="0.25">
      <c r="B964" s="116"/>
      <c r="I964" s="656"/>
      <c r="K964" s="116"/>
      <c r="X964" s="1"/>
      <c r="Y964" s="1"/>
      <c r="Z964" s="1"/>
      <c r="AA964" s="1"/>
      <c r="AB964" s="656"/>
      <c r="AC964" s="1"/>
      <c r="AD964" s="116"/>
      <c r="AL964" s="656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43"/>
      <c r="BL964" s="116"/>
      <c r="BU964" s="1"/>
      <c r="BV964" s="1"/>
      <c r="BW964" s="1"/>
      <c r="BX964" s="656"/>
      <c r="BZ964" s="657"/>
      <c r="CA964" s="1"/>
      <c r="CB964" s="1"/>
      <c r="CC964" s="1"/>
      <c r="CD964" s="1"/>
      <c r="CE964" s="1"/>
      <c r="CF964" s="1"/>
      <c r="CG964" s="1"/>
      <c r="CH964" s="1"/>
      <c r="CP964" s="305"/>
      <c r="CR964" s="116"/>
      <c r="CZ964" s="1"/>
      <c r="DA964" s="1"/>
      <c r="DB964" s="1"/>
      <c r="DC964" s="1"/>
      <c r="DD964" s="1"/>
      <c r="DE964" s="1"/>
      <c r="DF964" s="1"/>
      <c r="DG964" s="1"/>
      <c r="DH964" s="656"/>
      <c r="DJ964" s="116"/>
    </row>
    <row r="965" spans="2:114" ht="15.75" customHeight="1" x14ac:dyDescent="0.25">
      <c r="B965" s="116"/>
      <c r="I965" s="656"/>
      <c r="K965" s="116"/>
      <c r="X965" s="1"/>
      <c r="Y965" s="1"/>
      <c r="Z965" s="1"/>
      <c r="AA965" s="1"/>
      <c r="AB965" s="656"/>
      <c r="AC965" s="1"/>
      <c r="AD965" s="116"/>
      <c r="AL965" s="656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43"/>
      <c r="BL965" s="116"/>
      <c r="BU965" s="1"/>
      <c r="BV965" s="1"/>
      <c r="BW965" s="1"/>
      <c r="BX965" s="656"/>
      <c r="BZ965" s="657"/>
      <c r="CA965" s="1"/>
      <c r="CB965" s="1"/>
      <c r="CC965" s="1"/>
      <c r="CD965" s="1"/>
      <c r="CE965" s="1"/>
      <c r="CF965" s="1"/>
      <c r="CG965" s="1"/>
      <c r="CH965" s="1"/>
      <c r="CP965" s="305"/>
      <c r="CR965" s="116"/>
      <c r="CZ965" s="1"/>
      <c r="DA965" s="1"/>
      <c r="DB965" s="1"/>
      <c r="DC965" s="1"/>
      <c r="DD965" s="1"/>
      <c r="DE965" s="1"/>
      <c r="DF965" s="1"/>
      <c r="DG965" s="1"/>
      <c r="DH965" s="656"/>
      <c r="DJ965" s="116"/>
    </row>
    <row r="966" spans="2:114" ht="15.75" customHeight="1" x14ac:dyDescent="0.25">
      <c r="B966" s="116"/>
      <c r="I966" s="656"/>
      <c r="K966" s="116"/>
      <c r="X966" s="1"/>
      <c r="Y966" s="1"/>
      <c r="Z966" s="1"/>
      <c r="AA966" s="1"/>
      <c r="AB966" s="656"/>
      <c r="AC966" s="1"/>
      <c r="AD966" s="116"/>
      <c r="AL966" s="656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43"/>
      <c r="BL966" s="116"/>
      <c r="BU966" s="1"/>
      <c r="BV966" s="1"/>
      <c r="BW966" s="1"/>
      <c r="BX966" s="656"/>
      <c r="BZ966" s="657"/>
      <c r="CA966" s="1"/>
      <c r="CB966" s="1"/>
      <c r="CC966" s="1"/>
      <c r="CD966" s="1"/>
      <c r="CE966" s="1"/>
      <c r="CF966" s="1"/>
      <c r="CG966" s="1"/>
      <c r="CH966" s="1"/>
      <c r="CP966" s="305"/>
      <c r="CR966" s="116"/>
      <c r="CZ966" s="1"/>
      <c r="DA966" s="1"/>
      <c r="DB966" s="1"/>
      <c r="DC966" s="1"/>
      <c r="DD966" s="1"/>
      <c r="DE966" s="1"/>
      <c r="DF966" s="1"/>
      <c r="DG966" s="1"/>
      <c r="DH966" s="656"/>
      <c r="DJ966" s="116"/>
    </row>
    <row r="967" spans="2:114" ht="15.75" customHeight="1" x14ac:dyDescent="0.25">
      <c r="B967" s="116"/>
      <c r="I967" s="656"/>
      <c r="K967" s="116"/>
      <c r="X967" s="1"/>
      <c r="Y967" s="1"/>
      <c r="Z967" s="1"/>
      <c r="AA967" s="1"/>
      <c r="AB967" s="656"/>
      <c r="AC967" s="1"/>
      <c r="AD967" s="116"/>
      <c r="AL967" s="656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43"/>
      <c r="BL967" s="116"/>
      <c r="BU967" s="1"/>
      <c r="BV967" s="1"/>
      <c r="BW967" s="1"/>
      <c r="BX967" s="656"/>
      <c r="BZ967" s="657"/>
      <c r="CA967" s="1"/>
      <c r="CB967" s="1"/>
      <c r="CC967" s="1"/>
      <c r="CD967" s="1"/>
      <c r="CE967" s="1"/>
      <c r="CF967" s="1"/>
      <c r="CG967" s="1"/>
      <c r="CH967" s="1"/>
      <c r="CP967" s="305"/>
      <c r="CR967" s="116"/>
      <c r="CZ967" s="1"/>
      <c r="DA967" s="1"/>
      <c r="DB967" s="1"/>
      <c r="DC967" s="1"/>
      <c r="DD967" s="1"/>
      <c r="DE967" s="1"/>
      <c r="DF967" s="1"/>
      <c r="DG967" s="1"/>
      <c r="DH967" s="656"/>
      <c r="DJ967" s="116"/>
    </row>
    <row r="968" spans="2:114" ht="15.75" customHeight="1" x14ac:dyDescent="0.25">
      <c r="B968" s="116"/>
      <c r="I968" s="656"/>
      <c r="K968" s="116"/>
      <c r="X968" s="1"/>
      <c r="Y968" s="1"/>
      <c r="Z968" s="1"/>
      <c r="AA968" s="1"/>
      <c r="AB968" s="656"/>
      <c r="AC968" s="1"/>
      <c r="AD968" s="116"/>
      <c r="AL968" s="656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43"/>
      <c r="BL968" s="116"/>
      <c r="BU968" s="1"/>
      <c r="BV968" s="1"/>
      <c r="BW968" s="1"/>
      <c r="BX968" s="656"/>
      <c r="BZ968" s="657"/>
      <c r="CA968" s="1"/>
      <c r="CB968" s="1"/>
      <c r="CC968" s="1"/>
      <c r="CD968" s="1"/>
      <c r="CE968" s="1"/>
      <c r="CF968" s="1"/>
      <c r="CG968" s="1"/>
      <c r="CH968" s="1"/>
      <c r="CP968" s="305"/>
      <c r="CR968" s="116"/>
      <c r="CZ968" s="1"/>
      <c r="DA968" s="1"/>
      <c r="DB968" s="1"/>
      <c r="DC968" s="1"/>
      <c r="DD968" s="1"/>
      <c r="DE968" s="1"/>
      <c r="DF968" s="1"/>
      <c r="DG968" s="1"/>
      <c r="DH968" s="656"/>
      <c r="DJ968" s="116"/>
    </row>
    <row r="969" spans="2:114" ht="15.75" customHeight="1" x14ac:dyDescent="0.25">
      <c r="B969" s="116"/>
      <c r="I969" s="656"/>
      <c r="K969" s="116"/>
      <c r="X969" s="1"/>
      <c r="Y969" s="1"/>
      <c r="Z969" s="1"/>
      <c r="AA969" s="1"/>
      <c r="AB969" s="656"/>
      <c r="AC969" s="1"/>
      <c r="AD969" s="116"/>
      <c r="AL969" s="656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43"/>
      <c r="BL969" s="116"/>
      <c r="BU969" s="1"/>
      <c r="BV969" s="1"/>
      <c r="BW969" s="1"/>
      <c r="BX969" s="656"/>
      <c r="BZ969" s="657"/>
      <c r="CA969" s="1"/>
      <c r="CB969" s="1"/>
      <c r="CC969" s="1"/>
      <c r="CD969" s="1"/>
      <c r="CE969" s="1"/>
      <c r="CF969" s="1"/>
      <c r="CG969" s="1"/>
      <c r="CH969" s="1"/>
      <c r="CP969" s="305"/>
      <c r="CR969" s="116"/>
      <c r="CZ969" s="1"/>
      <c r="DA969" s="1"/>
      <c r="DB969" s="1"/>
      <c r="DC969" s="1"/>
      <c r="DD969" s="1"/>
      <c r="DE969" s="1"/>
      <c r="DF969" s="1"/>
      <c r="DG969" s="1"/>
      <c r="DH969" s="656"/>
      <c r="DJ969" s="116"/>
    </row>
    <row r="970" spans="2:114" ht="15.75" customHeight="1" x14ac:dyDescent="0.25">
      <c r="B970" s="116"/>
      <c r="I970" s="656"/>
      <c r="K970" s="116"/>
      <c r="X970" s="1"/>
      <c r="Y970" s="1"/>
      <c r="Z970" s="1"/>
      <c r="AA970" s="1"/>
      <c r="AB970" s="656"/>
      <c r="AC970" s="1"/>
      <c r="AD970" s="116"/>
      <c r="AL970" s="656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43"/>
      <c r="BL970" s="116"/>
      <c r="BU970" s="1"/>
      <c r="BV970" s="1"/>
      <c r="BW970" s="1"/>
      <c r="BX970" s="656"/>
      <c r="BZ970" s="657"/>
      <c r="CA970" s="1"/>
      <c r="CB970" s="1"/>
      <c r="CC970" s="1"/>
      <c r="CD970" s="1"/>
      <c r="CE970" s="1"/>
      <c r="CF970" s="1"/>
      <c r="CG970" s="1"/>
      <c r="CH970" s="1"/>
      <c r="CP970" s="305"/>
      <c r="CR970" s="116"/>
      <c r="CZ970" s="1"/>
      <c r="DA970" s="1"/>
      <c r="DB970" s="1"/>
      <c r="DC970" s="1"/>
      <c r="DD970" s="1"/>
      <c r="DE970" s="1"/>
      <c r="DF970" s="1"/>
      <c r="DG970" s="1"/>
      <c r="DH970" s="656"/>
      <c r="DJ970" s="116"/>
    </row>
    <row r="971" spans="2:114" ht="15.75" customHeight="1" x14ac:dyDescent="0.25">
      <c r="B971" s="116"/>
      <c r="I971" s="656"/>
      <c r="K971" s="116"/>
      <c r="X971" s="1"/>
      <c r="Y971" s="1"/>
      <c r="Z971" s="1"/>
      <c r="AA971" s="1"/>
      <c r="AB971" s="656"/>
      <c r="AC971" s="1"/>
      <c r="AD971" s="116"/>
      <c r="AL971" s="656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43"/>
      <c r="BL971" s="116"/>
      <c r="BU971" s="1"/>
      <c r="BV971" s="1"/>
      <c r="BW971" s="1"/>
      <c r="BX971" s="656"/>
      <c r="BZ971" s="657"/>
      <c r="CA971" s="1"/>
      <c r="CB971" s="1"/>
      <c r="CC971" s="1"/>
      <c r="CD971" s="1"/>
      <c r="CE971" s="1"/>
      <c r="CF971" s="1"/>
      <c r="CG971" s="1"/>
      <c r="CH971" s="1"/>
      <c r="CP971" s="305"/>
      <c r="CR971" s="116"/>
      <c r="CZ971" s="1"/>
      <c r="DA971" s="1"/>
      <c r="DB971" s="1"/>
      <c r="DC971" s="1"/>
      <c r="DD971" s="1"/>
      <c r="DE971" s="1"/>
      <c r="DF971" s="1"/>
      <c r="DG971" s="1"/>
      <c r="DH971" s="656"/>
      <c r="DJ971" s="116"/>
    </row>
    <row r="972" spans="2:114" ht="15.75" customHeight="1" x14ac:dyDescent="0.25">
      <c r="B972" s="116"/>
      <c r="I972" s="656"/>
      <c r="K972" s="116"/>
      <c r="X972" s="1"/>
      <c r="Y972" s="1"/>
      <c r="Z972" s="1"/>
      <c r="AA972" s="1"/>
      <c r="AB972" s="656"/>
      <c r="AC972" s="1"/>
      <c r="AD972" s="116"/>
      <c r="AL972" s="656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43"/>
      <c r="BL972" s="116"/>
      <c r="BU972" s="1"/>
      <c r="BV972" s="1"/>
      <c r="BW972" s="1"/>
      <c r="BX972" s="656"/>
      <c r="BZ972" s="657"/>
      <c r="CA972" s="1"/>
      <c r="CB972" s="1"/>
      <c r="CC972" s="1"/>
      <c r="CD972" s="1"/>
      <c r="CE972" s="1"/>
      <c r="CF972" s="1"/>
      <c r="CG972" s="1"/>
      <c r="CH972" s="1"/>
      <c r="CP972" s="305"/>
      <c r="CR972" s="116"/>
      <c r="CZ972" s="1"/>
      <c r="DA972" s="1"/>
      <c r="DB972" s="1"/>
      <c r="DC972" s="1"/>
      <c r="DD972" s="1"/>
      <c r="DE972" s="1"/>
      <c r="DF972" s="1"/>
      <c r="DG972" s="1"/>
      <c r="DH972" s="656"/>
      <c r="DJ972" s="116"/>
    </row>
    <row r="973" spans="2:114" ht="15.75" customHeight="1" x14ac:dyDescent="0.25">
      <c r="B973" s="116"/>
      <c r="I973" s="656"/>
      <c r="K973" s="116"/>
      <c r="X973" s="1"/>
      <c r="Y973" s="1"/>
      <c r="Z973" s="1"/>
      <c r="AA973" s="1"/>
      <c r="AB973" s="656"/>
      <c r="AC973" s="1"/>
      <c r="AD973" s="116"/>
      <c r="AL973" s="656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43"/>
      <c r="BL973" s="116"/>
      <c r="BU973" s="1"/>
      <c r="BV973" s="1"/>
      <c r="BW973" s="1"/>
      <c r="BX973" s="656"/>
      <c r="BZ973" s="657"/>
      <c r="CA973" s="1"/>
      <c r="CB973" s="1"/>
      <c r="CC973" s="1"/>
      <c r="CD973" s="1"/>
      <c r="CE973" s="1"/>
      <c r="CF973" s="1"/>
      <c r="CG973" s="1"/>
      <c r="CH973" s="1"/>
      <c r="CP973" s="305"/>
      <c r="CR973" s="116"/>
      <c r="CZ973" s="1"/>
      <c r="DA973" s="1"/>
      <c r="DB973" s="1"/>
      <c r="DC973" s="1"/>
      <c r="DD973" s="1"/>
      <c r="DE973" s="1"/>
      <c r="DF973" s="1"/>
      <c r="DG973" s="1"/>
      <c r="DH973" s="656"/>
      <c r="DJ973" s="116"/>
    </row>
    <row r="974" spans="2:114" ht="15.75" customHeight="1" x14ac:dyDescent="0.25">
      <c r="B974" s="116"/>
      <c r="I974" s="656"/>
      <c r="K974" s="116"/>
      <c r="X974" s="1"/>
      <c r="Y974" s="1"/>
      <c r="Z974" s="1"/>
      <c r="AA974" s="1"/>
      <c r="AB974" s="656"/>
      <c r="AC974" s="1"/>
      <c r="AD974" s="116"/>
      <c r="AL974" s="656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43"/>
      <c r="BL974" s="116"/>
      <c r="BU974" s="1"/>
      <c r="BV974" s="1"/>
      <c r="BW974" s="1"/>
      <c r="BX974" s="656"/>
      <c r="BZ974" s="657"/>
      <c r="CA974" s="1"/>
      <c r="CB974" s="1"/>
      <c r="CC974" s="1"/>
      <c r="CD974" s="1"/>
      <c r="CE974" s="1"/>
      <c r="CF974" s="1"/>
      <c r="CG974" s="1"/>
      <c r="CH974" s="1"/>
      <c r="CP974" s="305"/>
      <c r="CR974" s="116"/>
      <c r="CZ974" s="1"/>
      <c r="DA974" s="1"/>
      <c r="DB974" s="1"/>
      <c r="DC974" s="1"/>
      <c r="DD974" s="1"/>
      <c r="DE974" s="1"/>
      <c r="DF974" s="1"/>
      <c r="DG974" s="1"/>
      <c r="DH974" s="656"/>
      <c r="DJ974" s="116"/>
    </row>
    <row r="975" spans="2:114" ht="15.75" customHeight="1" x14ac:dyDescent="0.25">
      <c r="B975" s="116"/>
      <c r="I975" s="656"/>
      <c r="K975" s="116"/>
      <c r="X975" s="1"/>
      <c r="Y975" s="1"/>
      <c r="Z975" s="1"/>
      <c r="AA975" s="1"/>
      <c r="AB975" s="656"/>
      <c r="AC975" s="1"/>
      <c r="AD975" s="116"/>
      <c r="AL975" s="656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43"/>
      <c r="BL975" s="116"/>
      <c r="BU975" s="1"/>
      <c r="BV975" s="1"/>
      <c r="BW975" s="1"/>
      <c r="BX975" s="656"/>
      <c r="BZ975" s="657"/>
      <c r="CA975" s="1"/>
      <c r="CB975" s="1"/>
      <c r="CC975" s="1"/>
      <c r="CD975" s="1"/>
      <c r="CE975" s="1"/>
      <c r="CF975" s="1"/>
      <c r="CG975" s="1"/>
      <c r="CH975" s="1"/>
      <c r="CP975" s="305"/>
      <c r="CR975" s="116"/>
      <c r="CZ975" s="1"/>
      <c r="DA975" s="1"/>
      <c r="DB975" s="1"/>
      <c r="DC975" s="1"/>
      <c r="DD975" s="1"/>
      <c r="DE975" s="1"/>
      <c r="DF975" s="1"/>
      <c r="DG975" s="1"/>
      <c r="DH975" s="656"/>
      <c r="DJ975" s="116"/>
    </row>
    <row r="976" spans="2:114" ht="15.75" customHeight="1" x14ac:dyDescent="0.25">
      <c r="B976" s="116"/>
      <c r="I976" s="656"/>
      <c r="K976" s="116"/>
      <c r="X976" s="1"/>
      <c r="Y976" s="1"/>
      <c r="Z976" s="1"/>
      <c r="AA976" s="1"/>
      <c r="AB976" s="656"/>
      <c r="AC976" s="1"/>
      <c r="AD976" s="116"/>
      <c r="AL976" s="656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43"/>
      <c r="BL976" s="116"/>
      <c r="BU976" s="1"/>
      <c r="BV976" s="1"/>
      <c r="BW976" s="1"/>
      <c r="BX976" s="656"/>
      <c r="BZ976" s="657"/>
      <c r="CA976" s="1"/>
      <c r="CB976" s="1"/>
      <c r="CC976" s="1"/>
      <c r="CD976" s="1"/>
      <c r="CE976" s="1"/>
      <c r="CF976" s="1"/>
      <c r="CG976" s="1"/>
      <c r="CH976" s="1"/>
      <c r="CP976" s="305"/>
      <c r="CR976" s="116"/>
      <c r="CZ976" s="1"/>
      <c r="DA976" s="1"/>
      <c r="DB976" s="1"/>
      <c r="DC976" s="1"/>
      <c r="DD976" s="1"/>
      <c r="DE976" s="1"/>
      <c r="DF976" s="1"/>
      <c r="DG976" s="1"/>
      <c r="DH976" s="656"/>
      <c r="DJ976" s="116"/>
    </row>
    <row r="977" spans="2:114" ht="15.75" customHeight="1" x14ac:dyDescent="0.25">
      <c r="B977" s="116"/>
      <c r="I977" s="656"/>
      <c r="K977" s="116"/>
      <c r="X977" s="1"/>
      <c r="Y977" s="1"/>
      <c r="Z977" s="1"/>
      <c r="AA977" s="1"/>
      <c r="AB977" s="656"/>
      <c r="AC977" s="1"/>
      <c r="AD977" s="116"/>
      <c r="AL977" s="656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43"/>
      <c r="BL977" s="116"/>
      <c r="BU977" s="1"/>
      <c r="BV977" s="1"/>
      <c r="BW977" s="1"/>
      <c r="BX977" s="656"/>
      <c r="BZ977" s="657"/>
      <c r="CA977" s="1"/>
      <c r="CB977" s="1"/>
      <c r="CC977" s="1"/>
      <c r="CD977" s="1"/>
      <c r="CE977" s="1"/>
      <c r="CF977" s="1"/>
      <c r="CG977" s="1"/>
      <c r="CH977" s="1"/>
      <c r="CP977" s="305"/>
      <c r="CR977" s="116"/>
      <c r="CZ977" s="1"/>
      <c r="DA977" s="1"/>
      <c r="DB977" s="1"/>
      <c r="DC977" s="1"/>
      <c r="DD977" s="1"/>
      <c r="DE977" s="1"/>
      <c r="DF977" s="1"/>
      <c r="DG977" s="1"/>
      <c r="DH977" s="656"/>
      <c r="DJ977" s="116"/>
    </row>
    <row r="978" spans="2:114" ht="15.75" customHeight="1" x14ac:dyDescent="0.25">
      <c r="B978" s="116"/>
      <c r="I978" s="656"/>
      <c r="K978" s="116"/>
      <c r="X978" s="1"/>
      <c r="Y978" s="1"/>
      <c r="Z978" s="1"/>
      <c r="AA978" s="1"/>
      <c r="AB978" s="656"/>
      <c r="AC978" s="1"/>
      <c r="AD978" s="116"/>
      <c r="AL978" s="656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43"/>
      <c r="BL978" s="116"/>
      <c r="BU978" s="1"/>
      <c r="BV978" s="1"/>
      <c r="BW978" s="1"/>
      <c r="BX978" s="656"/>
      <c r="BZ978" s="657"/>
      <c r="CE978" s="1"/>
      <c r="CF978" s="1"/>
      <c r="CG978" s="1"/>
      <c r="CH978" s="1"/>
      <c r="CP978" s="305"/>
      <c r="CR978" s="116"/>
      <c r="CZ978" s="1"/>
      <c r="DA978" s="1"/>
      <c r="DB978" s="1"/>
      <c r="DC978" s="1"/>
      <c r="DD978" s="1"/>
      <c r="DE978" s="1"/>
      <c r="DF978" s="1"/>
      <c r="DG978" s="1"/>
      <c r="DH978" s="656"/>
      <c r="DJ978" s="116"/>
    </row>
    <row r="979" spans="2:114" ht="15.75" customHeight="1" x14ac:dyDescent="0.25">
      <c r="B979" s="116"/>
      <c r="I979" s="656"/>
      <c r="K979" s="116"/>
      <c r="X979" s="1"/>
      <c r="Y979" s="1"/>
      <c r="Z979" s="1"/>
      <c r="AA979" s="1"/>
      <c r="AB979" s="656"/>
      <c r="AC979" s="1"/>
      <c r="AD979" s="116"/>
      <c r="AL979" s="656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43"/>
      <c r="BL979" s="116"/>
      <c r="BU979" s="1"/>
      <c r="BV979" s="1"/>
      <c r="BW979" s="1"/>
      <c r="BX979" s="656"/>
      <c r="BZ979" s="657"/>
      <c r="CE979" s="1"/>
      <c r="CF979" s="1"/>
      <c r="CG979" s="1"/>
      <c r="CH979" s="1"/>
      <c r="CP979" s="305"/>
      <c r="CR979" s="116"/>
      <c r="CZ979" s="1"/>
      <c r="DA979" s="1"/>
      <c r="DB979" s="1"/>
      <c r="DC979" s="1"/>
      <c r="DD979" s="1"/>
      <c r="DE979" s="1"/>
      <c r="DF979" s="1"/>
      <c r="DG979" s="1"/>
      <c r="DH979" s="656"/>
      <c r="DJ979" s="116"/>
    </row>
    <row r="980" spans="2:114" ht="15.75" customHeight="1" x14ac:dyDescent="0.25">
      <c r="B980" s="116"/>
      <c r="I980" s="656"/>
      <c r="K980" s="116"/>
      <c r="X980" s="1"/>
      <c r="Y980" s="1"/>
      <c r="Z980" s="1"/>
      <c r="AA980" s="1"/>
      <c r="AB980" s="656"/>
      <c r="AC980" s="1"/>
      <c r="AD980" s="116"/>
      <c r="AL980" s="656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43"/>
      <c r="BL980" s="116"/>
      <c r="BU980" s="1"/>
      <c r="BV980" s="1"/>
      <c r="BW980" s="1"/>
      <c r="BX980" s="656"/>
      <c r="BZ980" s="657"/>
      <c r="CE980" s="1"/>
      <c r="CF980" s="1"/>
      <c r="CG980" s="1"/>
      <c r="CH980" s="1"/>
      <c r="CP980" s="305"/>
      <c r="CR980" s="116"/>
      <c r="CZ980" s="1"/>
      <c r="DA980" s="1"/>
      <c r="DB980" s="1"/>
      <c r="DC980" s="1"/>
      <c r="DD980" s="1"/>
      <c r="DE980" s="1"/>
      <c r="DF980" s="1"/>
      <c r="DG980" s="1"/>
      <c r="DH980" s="656"/>
      <c r="DJ980" s="116"/>
    </row>
    <row r="981" spans="2:114" ht="15.75" customHeight="1" x14ac:dyDescent="0.25">
      <c r="B981" s="116"/>
      <c r="I981" s="656"/>
      <c r="K981" s="116"/>
      <c r="X981" s="1"/>
      <c r="Y981" s="1"/>
      <c r="Z981" s="1"/>
      <c r="AA981" s="1"/>
      <c r="AB981" s="656"/>
      <c r="AC981" s="1"/>
      <c r="AD981" s="116"/>
      <c r="AL981" s="656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43"/>
      <c r="BL981" s="116"/>
      <c r="BU981" s="1"/>
      <c r="BV981" s="1"/>
      <c r="BW981" s="1"/>
      <c r="BX981" s="656"/>
      <c r="BZ981" s="657"/>
      <c r="CE981" s="1"/>
      <c r="CF981" s="1"/>
      <c r="CG981" s="1"/>
      <c r="CH981" s="1"/>
      <c r="CP981" s="305"/>
      <c r="CR981" s="116"/>
      <c r="CZ981" s="1"/>
      <c r="DA981" s="1"/>
      <c r="DB981" s="1"/>
      <c r="DC981" s="1"/>
      <c r="DD981" s="1"/>
      <c r="DE981" s="1"/>
      <c r="DF981" s="1"/>
      <c r="DG981" s="1"/>
      <c r="DH981" s="656"/>
      <c r="DJ981" s="116"/>
    </row>
    <row r="982" spans="2:114" ht="15.75" customHeight="1" x14ac:dyDescent="0.25">
      <c r="B982" s="116"/>
      <c r="I982" s="656"/>
      <c r="K982" s="116"/>
      <c r="X982" s="1"/>
      <c r="Y982" s="1"/>
      <c r="Z982" s="1"/>
      <c r="AA982" s="1"/>
      <c r="AB982" s="656"/>
      <c r="AC982" s="1"/>
      <c r="AD982" s="116"/>
      <c r="AL982" s="656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43"/>
      <c r="BL982" s="116"/>
      <c r="BU982" s="1"/>
      <c r="BV982" s="1"/>
      <c r="BW982" s="1"/>
      <c r="BX982" s="656"/>
      <c r="BZ982" s="657"/>
      <c r="CE982" s="1"/>
      <c r="CF982" s="1"/>
      <c r="CG982" s="1"/>
      <c r="CH982" s="1"/>
      <c r="CP982" s="305"/>
      <c r="CR982" s="116"/>
      <c r="CZ982" s="1"/>
      <c r="DA982" s="1"/>
      <c r="DB982" s="1"/>
      <c r="DC982" s="1"/>
      <c r="DD982" s="1"/>
      <c r="DE982" s="1"/>
      <c r="DF982" s="1"/>
      <c r="DG982" s="1"/>
      <c r="DH982" s="656"/>
      <c r="DJ982" s="116"/>
    </row>
    <row r="983" spans="2:114" ht="15.75" customHeight="1" x14ac:dyDescent="0.25">
      <c r="B983" s="116"/>
      <c r="I983" s="656"/>
      <c r="K983" s="116"/>
      <c r="X983" s="1"/>
      <c r="Y983" s="1"/>
      <c r="Z983" s="1"/>
      <c r="AA983" s="1"/>
      <c r="AB983" s="656"/>
      <c r="AC983" s="1"/>
      <c r="AD983" s="116"/>
      <c r="AL983" s="656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43"/>
      <c r="BL983" s="116"/>
      <c r="BU983" s="1"/>
      <c r="BV983" s="1"/>
      <c r="BW983" s="1"/>
      <c r="BX983" s="656"/>
      <c r="BZ983" s="657"/>
      <c r="CE983" s="1"/>
      <c r="CF983" s="1"/>
      <c r="CG983" s="1"/>
      <c r="CH983" s="1"/>
      <c r="CP983" s="305"/>
      <c r="CR983" s="116"/>
      <c r="CZ983" s="1"/>
      <c r="DA983" s="1"/>
      <c r="DB983" s="1"/>
      <c r="DC983" s="1"/>
      <c r="DD983" s="1"/>
      <c r="DE983" s="1"/>
      <c r="DF983" s="1"/>
      <c r="DG983" s="1"/>
      <c r="DH983" s="656"/>
      <c r="DJ983" s="116"/>
    </row>
    <row r="984" spans="2:114" ht="15.75" customHeight="1" x14ac:dyDescent="0.25">
      <c r="B984" s="116"/>
      <c r="I984" s="656"/>
      <c r="K984" s="116"/>
      <c r="X984" s="1"/>
      <c r="Y984" s="1"/>
      <c r="Z984" s="1"/>
      <c r="AA984" s="1"/>
      <c r="AB984" s="656"/>
      <c r="AC984" s="1"/>
      <c r="AD984" s="116"/>
      <c r="AL984" s="656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43"/>
      <c r="BL984" s="116"/>
      <c r="BU984" s="1"/>
      <c r="BV984" s="1"/>
      <c r="BW984" s="1"/>
      <c r="BX984" s="656"/>
      <c r="BZ984" s="657"/>
      <c r="CE984" s="1"/>
      <c r="CF984" s="1"/>
      <c r="CG984" s="1"/>
      <c r="CH984" s="1"/>
      <c r="CP984" s="305"/>
      <c r="CR984" s="116"/>
      <c r="CZ984" s="1"/>
      <c r="DA984" s="1"/>
      <c r="DB984" s="1"/>
      <c r="DC984" s="1"/>
      <c r="DD984" s="1"/>
      <c r="DE984" s="1"/>
      <c r="DF984" s="1"/>
      <c r="DG984" s="1"/>
      <c r="DH984" s="656"/>
      <c r="DJ984" s="116"/>
    </row>
    <row r="985" spans="2:114" ht="15.75" customHeight="1" x14ac:dyDescent="0.25">
      <c r="B985" s="116"/>
      <c r="I985" s="656"/>
      <c r="K985" s="116"/>
      <c r="X985" s="1"/>
      <c r="Y985" s="1"/>
      <c r="Z985" s="1"/>
      <c r="AA985" s="1"/>
      <c r="AB985" s="656"/>
      <c r="AC985" s="1"/>
      <c r="AD985" s="116"/>
      <c r="AL985" s="656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43"/>
      <c r="BL985" s="116"/>
      <c r="BU985" s="1"/>
      <c r="BV985" s="1"/>
      <c r="BW985" s="1"/>
      <c r="BX985" s="656"/>
      <c r="BZ985" s="657"/>
      <c r="CE985" s="1"/>
      <c r="CF985" s="1"/>
      <c r="CG985" s="1"/>
      <c r="CH985" s="1"/>
      <c r="CP985" s="305"/>
      <c r="CR985" s="116"/>
      <c r="CZ985" s="1"/>
      <c r="DA985" s="1"/>
      <c r="DB985" s="1"/>
      <c r="DC985" s="1"/>
      <c r="DD985" s="1"/>
      <c r="DE985" s="1"/>
      <c r="DF985" s="1"/>
      <c r="DG985" s="1"/>
      <c r="DH985" s="656"/>
      <c r="DJ985" s="116"/>
    </row>
    <row r="986" spans="2:114" ht="15.75" customHeight="1" x14ac:dyDescent="0.25">
      <c r="B986" s="116"/>
      <c r="I986" s="656"/>
      <c r="K986" s="116"/>
      <c r="X986" s="1"/>
      <c r="Y986" s="1"/>
      <c r="Z986" s="1"/>
      <c r="AA986" s="1"/>
      <c r="AB986" s="656"/>
      <c r="AC986" s="1"/>
      <c r="AD986" s="116"/>
      <c r="AL986" s="656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43"/>
      <c r="BL986" s="116"/>
      <c r="BU986" s="1"/>
      <c r="BV986" s="1"/>
      <c r="BW986" s="1"/>
      <c r="BX986" s="656"/>
      <c r="BZ986" s="657"/>
      <c r="CE986" s="1"/>
      <c r="CF986" s="1"/>
      <c r="CG986" s="1"/>
      <c r="CH986" s="1"/>
      <c r="CP986" s="305"/>
      <c r="CR986" s="116"/>
      <c r="CZ986" s="1"/>
      <c r="DA986" s="1"/>
      <c r="DB986" s="1"/>
      <c r="DC986" s="1"/>
      <c r="DD986" s="1"/>
      <c r="DE986" s="1"/>
      <c r="DF986" s="1"/>
      <c r="DG986" s="1"/>
      <c r="DH986" s="656"/>
      <c r="DJ986" s="116"/>
    </row>
    <row r="987" spans="2:114" ht="15.75" customHeight="1" x14ac:dyDescent="0.25">
      <c r="B987" s="116"/>
      <c r="I987" s="656"/>
      <c r="K987" s="116"/>
      <c r="X987" s="1"/>
      <c r="Y987" s="1"/>
      <c r="Z987" s="1"/>
      <c r="AA987" s="1"/>
      <c r="AB987" s="656"/>
      <c r="AC987" s="1"/>
      <c r="AD987" s="116"/>
      <c r="AL987" s="656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43"/>
      <c r="BL987" s="116"/>
      <c r="BU987" s="1"/>
      <c r="BV987" s="1"/>
      <c r="BW987" s="1"/>
      <c r="BX987" s="656"/>
      <c r="BZ987" s="657"/>
      <c r="CE987" s="1"/>
      <c r="CF987" s="1"/>
      <c r="CG987" s="1"/>
      <c r="CH987" s="1"/>
      <c r="CP987" s="305"/>
      <c r="CR987" s="116"/>
      <c r="CZ987" s="1"/>
      <c r="DA987" s="1"/>
      <c r="DB987" s="1"/>
      <c r="DC987" s="1"/>
      <c r="DD987" s="1"/>
      <c r="DE987" s="1"/>
      <c r="DF987" s="1"/>
      <c r="DG987" s="1"/>
      <c r="DH987" s="656"/>
      <c r="DJ987" s="116"/>
    </row>
    <row r="988" spans="2:114" ht="15.75" customHeight="1" x14ac:dyDescent="0.25">
      <c r="B988" s="116"/>
      <c r="I988" s="656"/>
      <c r="K988" s="116"/>
      <c r="X988" s="1"/>
      <c r="Y988" s="1"/>
      <c r="Z988" s="1"/>
      <c r="AA988" s="1"/>
      <c r="AB988" s="656"/>
      <c r="AC988" s="1"/>
      <c r="AD988" s="116"/>
      <c r="AL988" s="656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43"/>
      <c r="BL988" s="116"/>
      <c r="BU988" s="1"/>
      <c r="BV988" s="1"/>
      <c r="BW988" s="1"/>
      <c r="BX988" s="656"/>
      <c r="BZ988" s="657"/>
      <c r="CE988" s="1"/>
      <c r="CF988" s="1"/>
      <c r="CG988" s="1"/>
      <c r="CH988" s="1"/>
      <c r="CP988" s="305"/>
      <c r="CR988" s="116"/>
      <c r="CZ988" s="1"/>
      <c r="DA988" s="1"/>
      <c r="DB988" s="1"/>
      <c r="DC988" s="1"/>
      <c r="DD988" s="1"/>
      <c r="DE988" s="1"/>
      <c r="DF988" s="1"/>
      <c r="DG988" s="1"/>
      <c r="DH988" s="656"/>
      <c r="DJ988" s="116"/>
    </row>
    <row r="989" spans="2:114" ht="15.75" customHeight="1" x14ac:dyDescent="0.25">
      <c r="B989" s="116"/>
      <c r="I989" s="656"/>
      <c r="K989" s="116"/>
      <c r="X989" s="1"/>
      <c r="Y989" s="1"/>
      <c r="Z989" s="1"/>
      <c r="AA989" s="1"/>
      <c r="AB989" s="656"/>
      <c r="AC989" s="1"/>
      <c r="AD989" s="116"/>
      <c r="AL989" s="656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43"/>
      <c r="BL989" s="116"/>
      <c r="BU989" s="1"/>
      <c r="BV989" s="1"/>
      <c r="BW989" s="1"/>
      <c r="BX989" s="656"/>
      <c r="BZ989" s="657"/>
      <c r="CE989" s="1"/>
      <c r="CF989" s="1"/>
      <c r="CG989" s="1"/>
      <c r="CH989" s="1"/>
      <c r="CP989" s="305"/>
      <c r="CR989" s="116"/>
      <c r="CZ989" s="1"/>
      <c r="DA989" s="1"/>
      <c r="DB989" s="1"/>
      <c r="DC989" s="1"/>
      <c r="DD989" s="1"/>
      <c r="DE989" s="1"/>
      <c r="DF989" s="1"/>
      <c r="DG989" s="1"/>
      <c r="DH989" s="656"/>
      <c r="DJ989" s="116"/>
    </row>
    <row r="990" spans="2:114" ht="15.75" customHeight="1" x14ac:dyDescent="0.25">
      <c r="B990" s="116"/>
      <c r="I990" s="656"/>
      <c r="K990" s="116"/>
      <c r="X990" s="1"/>
      <c r="Y990" s="1"/>
      <c r="Z990" s="1"/>
      <c r="AA990" s="1"/>
      <c r="AB990" s="656"/>
      <c r="AC990" s="1"/>
      <c r="AD990" s="116"/>
      <c r="AL990" s="656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43"/>
      <c r="BL990" s="116"/>
      <c r="BU990" s="1"/>
      <c r="BV990" s="1"/>
      <c r="BW990" s="1"/>
      <c r="BX990" s="656"/>
      <c r="BZ990" s="657"/>
      <c r="CE990" s="1"/>
      <c r="CF990" s="1"/>
      <c r="CG990" s="1"/>
      <c r="CH990" s="1"/>
      <c r="CP990" s="305"/>
      <c r="CR990" s="116"/>
      <c r="CZ990" s="1"/>
      <c r="DA990" s="1"/>
      <c r="DB990" s="1"/>
      <c r="DC990" s="1"/>
      <c r="DD990" s="1"/>
      <c r="DE990" s="1"/>
      <c r="DF990" s="1"/>
      <c r="DG990" s="1"/>
      <c r="DH990" s="656"/>
      <c r="DJ990" s="116"/>
    </row>
    <row r="991" spans="2:114" ht="15.75" customHeight="1" x14ac:dyDescent="0.25">
      <c r="B991" s="116"/>
      <c r="I991" s="656"/>
      <c r="K991" s="116"/>
      <c r="X991" s="1"/>
      <c r="Y991" s="1"/>
      <c r="Z991" s="1"/>
      <c r="AA991" s="1"/>
      <c r="AB991" s="656"/>
      <c r="AC991" s="1"/>
      <c r="AD991" s="116"/>
      <c r="AL991" s="656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43"/>
      <c r="BL991" s="116"/>
      <c r="BU991" s="1"/>
      <c r="BV991" s="1"/>
      <c r="BW991" s="1"/>
      <c r="BX991" s="656"/>
      <c r="BZ991" s="657"/>
      <c r="CE991" s="1"/>
      <c r="CF991" s="1"/>
      <c r="CG991" s="1"/>
      <c r="CH991" s="1"/>
      <c r="CP991" s="305"/>
      <c r="CR991" s="116"/>
      <c r="CZ991" s="1"/>
      <c r="DA991" s="1"/>
      <c r="DB991" s="1"/>
      <c r="DC991" s="1"/>
      <c r="DD991" s="1"/>
      <c r="DE991" s="1"/>
      <c r="DF991" s="1"/>
      <c r="DG991" s="1"/>
      <c r="DH991" s="656"/>
      <c r="DJ991" s="116"/>
    </row>
    <row r="992" spans="2:114" ht="15.75" customHeight="1" x14ac:dyDescent="0.25">
      <c r="B992" s="116"/>
      <c r="I992" s="656"/>
      <c r="K992" s="116"/>
      <c r="X992" s="1"/>
      <c r="Y992" s="1"/>
      <c r="Z992" s="1"/>
      <c r="AA992" s="1"/>
      <c r="AB992" s="656"/>
      <c r="AC992" s="1"/>
      <c r="AD992" s="116"/>
      <c r="AL992" s="656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43"/>
      <c r="BL992" s="116"/>
      <c r="BU992" s="1"/>
      <c r="BV992" s="1"/>
      <c r="BW992" s="1"/>
      <c r="BX992" s="656"/>
      <c r="BZ992" s="657"/>
      <c r="CE992" s="1"/>
      <c r="CF992" s="1"/>
      <c r="CG992" s="1"/>
      <c r="CH992" s="1"/>
      <c r="CP992" s="305"/>
      <c r="CR992" s="116"/>
      <c r="CZ992" s="1"/>
      <c r="DA992" s="1"/>
      <c r="DB992" s="1"/>
      <c r="DC992" s="1"/>
      <c r="DD992" s="1"/>
      <c r="DE992" s="1"/>
      <c r="DF992" s="1"/>
      <c r="DG992" s="1"/>
      <c r="DH992" s="656"/>
      <c r="DJ992" s="116"/>
    </row>
    <row r="993" spans="2:114" ht="15.75" customHeight="1" x14ac:dyDescent="0.25">
      <c r="B993" s="116"/>
      <c r="I993" s="656"/>
      <c r="K993" s="116"/>
      <c r="X993" s="1"/>
      <c r="Y993" s="1"/>
      <c r="Z993" s="1"/>
      <c r="AA993" s="1"/>
      <c r="AB993" s="656"/>
      <c r="AC993" s="1"/>
      <c r="AD993" s="116"/>
      <c r="AL993" s="656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43"/>
      <c r="BL993" s="116"/>
      <c r="BU993" s="1"/>
      <c r="BV993" s="1"/>
      <c r="BW993" s="1"/>
      <c r="BX993" s="656"/>
      <c r="BZ993" s="657"/>
      <c r="CE993" s="1"/>
      <c r="CF993" s="1"/>
      <c r="CG993" s="1"/>
      <c r="CH993" s="1"/>
      <c r="CP993" s="305"/>
      <c r="CR993" s="116"/>
      <c r="CZ993" s="1"/>
      <c r="DA993" s="1"/>
      <c r="DB993" s="1"/>
      <c r="DC993" s="1"/>
      <c r="DD993" s="1"/>
      <c r="DE993" s="1"/>
      <c r="DF993" s="1"/>
      <c r="DG993" s="1"/>
      <c r="DH993" s="656"/>
      <c r="DJ993" s="116"/>
    </row>
    <row r="994" spans="2:114" ht="15.75" customHeight="1" x14ac:dyDescent="0.25">
      <c r="B994" s="116"/>
      <c r="I994" s="656"/>
      <c r="K994" s="116"/>
      <c r="X994" s="1"/>
      <c r="Y994" s="1"/>
      <c r="Z994" s="1"/>
      <c r="AA994" s="1"/>
      <c r="AB994" s="656"/>
      <c r="AC994" s="1"/>
      <c r="AD994" s="116"/>
      <c r="AL994" s="656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43"/>
      <c r="BL994" s="116"/>
      <c r="BU994" s="1"/>
      <c r="BV994" s="1"/>
      <c r="BW994" s="1"/>
      <c r="BX994" s="656"/>
      <c r="BZ994" s="657"/>
      <c r="CE994" s="1"/>
      <c r="CF994" s="1"/>
      <c r="CG994" s="1"/>
      <c r="CH994" s="1"/>
      <c r="CP994" s="305"/>
      <c r="CR994" s="116"/>
      <c r="CZ994" s="1"/>
      <c r="DA994" s="1"/>
      <c r="DB994" s="1"/>
      <c r="DC994" s="1"/>
      <c r="DD994" s="1"/>
      <c r="DE994" s="1"/>
      <c r="DF994" s="1"/>
      <c r="DG994" s="1"/>
      <c r="DH994" s="656"/>
      <c r="DJ994" s="116"/>
    </row>
    <row r="995" spans="2:114" ht="15.75" customHeight="1" x14ac:dyDescent="0.25">
      <c r="B995" s="116"/>
      <c r="I995" s="656"/>
      <c r="K995" s="116"/>
      <c r="X995" s="1"/>
      <c r="Y995" s="1"/>
      <c r="Z995" s="1"/>
      <c r="AA995" s="1"/>
      <c r="AB995" s="656"/>
      <c r="AC995" s="1"/>
      <c r="AD995" s="116"/>
      <c r="AL995" s="656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43"/>
      <c r="BL995" s="116"/>
      <c r="BU995" s="1"/>
      <c r="BV995" s="1"/>
      <c r="BW995" s="1"/>
      <c r="BX995" s="656"/>
      <c r="BZ995" s="657"/>
      <c r="CE995" s="1"/>
      <c r="CF995" s="1"/>
      <c r="CG995" s="1"/>
      <c r="CH995" s="1"/>
      <c r="CP995" s="305"/>
      <c r="CR995" s="116"/>
      <c r="CZ995" s="1"/>
      <c r="DA995" s="1"/>
      <c r="DB995" s="1"/>
      <c r="DC995" s="1"/>
      <c r="DD995" s="1"/>
      <c r="DE995" s="1"/>
      <c r="DF995" s="1"/>
      <c r="DG995" s="1"/>
      <c r="DH995" s="656"/>
      <c r="DJ995" s="116"/>
    </row>
    <row r="996" spans="2:114" ht="15.75" customHeight="1" x14ac:dyDescent="0.25">
      <c r="B996" s="116"/>
      <c r="I996" s="656"/>
      <c r="K996" s="116"/>
      <c r="X996" s="1"/>
      <c r="Y996" s="1"/>
      <c r="Z996" s="1"/>
      <c r="AA996" s="1"/>
      <c r="AB996" s="656"/>
      <c r="AC996" s="1"/>
      <c r="AD996" s="116"/>
      <c r="AL996" s="656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43"/>
      <c r="BL996" s="116"/>
      <c r="BU996" s="1"/>
      <c r="BV996" s="1"/>
      <c r="BW996" s="1"/>
      <c r="BX996" s="656"/>
      <c r="BZ996" s="657"/>
      <c r="CE996" s="1"/>
      <c r="CF996" s="1"/>
      <c r="CG996" s="1"/>
      <c r="CH996" s="1"/>
      <c r="CP996" s="305"/>
      <c r="CR996" s="116"/>
      <c r="CZ996" s="1"/>
      <c r="DA996" s="1"/>
      <c r="DB996" s="1"/>
      <c r="DC996" s="1"/>
      <c r="DD996" s="1"/>
      <c r="DE996" s="1"/>
      <c r="DF996" s="1"/>
      <c r="DG996" s="1"/>
      <c r="DH996" s="656"/>
      <c r="DJ996" s="116"/>
    </row>
    <row r="997" spans="2:114" ht="15.75" customHeight="1" x14ac:dyDescent="0.25">
      <c r="B997" s="116"/>
      <c r="I997" s="656"/>
      <c r="K997" s="116"/>
      <c r="X997" s="1"/>
      <c r="Y997" s="1"/>
      <c r="Z997" s="1"/>
      <c r="AA997" s="1"/>
      <c r="AB997" s="656"/>
      <c r="AC997" s="1"/>
      <c r="AD997" s="116"/>
      <c r="AL997" s="656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43"/>
      <c r="BL997" s="116"/>
      <c r="BU997" s="1"/>
      <c r="BV997" s="1"/>
      <c r="BW997" s="1"/>
      <c r="BX997" s="656"/>
      <c r="BZ997" s="657"/>
      <c r="CE997" s="1"/>
      <c r="CF997" s="1"/>
      <c r="CG997" s="1"/>
      <c r="CH997" s="1"/>
      <c r="CP997" s="305"/>
      <c r="CR997" s="116"/>
      <c r="CZ997" s="1"/>
      <c r="DA997" s="1"/>
      <c r="DB997" s="1"/>
      <c r="DC997" s="1"/>
      <c r="DD997" s="1"/>
      <c r="DE997" s="1"/>
      <c r="DF997" s="1"/>
      <c r="DG997" s="1"/>
      <c r="DH997" s="656"/>
      <c r="DJ997" s="116"/>
    </row>
    <row r="998" spans="2:114" ht="15.75" customHeight="1" x14ac:dyDescent="0.25">
      <c r="B998" s="116"/>
      <c r="I998" s="656"/>
      <c r="K998" s="116"/>
      <c r="X998" s="1"/>
      <c r="Y998" s="1"/>
      <c r="Z998" s="1"/>
      <c r="AA998" s="1"/>
      <c r="AB998" s="656"/>
      <c r="AC998" s="1"/>
      <c r="AD998" s="116"/>
      <c r="AL998" s="656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43"/>
      <c r="BL998" s="116"/>
      <c r="BU998" s="1"/>
      <c r="BV998" s="1"/>
      <c r="BW998" s="1"/>
      <c r="BX998" s="656"/>
      <c r="BZ998" s="657"/>
      <c r="CE998" s="1"/>
      <c r="CF998" s="1"/>
      <c r="CG998" s="1"/>
      <c r="CH998" s="1"/>
      <c r="CP998" s="305"/>
      <c r="CR998" s="116"/>
      <c r="CZ998" s="1"/>
      <c r="DA998" s="1"/>
      <c r="DB998" s="1"/>
      <c r="DC998" s="1"/>
      <c r="DD998" s="1"/>
      <c r="DE998" s="1"/>
      <c r="DF998" s="1"/>
      <c r="DG998" s="1"/>
      <c r="DH998" s="656"/>
      <c r="DJ998" s="116"/>
    </row>
    <row r="999" spans="2:114" ht="15.75" customHeight="1" x14ac:dyDescent="0.25">
      <c r="B999" s="116"/>
      <c r="I999" s="656"/>
      <c r="K999" s="116"/>
      <c r="X999" s="1"/>
      <c r="Y999" s="1"/>
      <c r="Z999" s="1"/>
      <c r="AA999" s="1"/>
      <c r="AB999" s="656"/>
      <c r="AC999" s="1"/>
      <c r="AD999" s="116"/>
      <c r="AL999" s="656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43"/>
      <c r="BL999" s="116"/>
      <c r="BU999" s="1"/>
      <c r="BV999" s="1"/>
      <c r="BW999" s="1"/>
      <c r="BX999" s="656"/>
      <c r="BZ999" s="657"/>
      <c r="CE999" s="1"/>
      <c r="CF999" s="1"/>
      <c r="CG999" s="1"/>
      <c r="CH999" s="1"/>
      <c r="CP999" s="305"/>
      <c r="CR999" s="116"/>
      <c r="CZ999" s="1"/>
      <c r="DA999" s="1"/>
      <c r="DB999" s="1"/>
      <c r="DC999" s="1"/>
      <c r="DD999" s="1"/>
      <c r="DE999" s="1"/>
      <c r="DF999" s="1"/>
      <c r="DG999" s="1"/>
      <c r="DH999" s="656"/>
      <c r="DJ999" s="116"/>
    </row>
    <row r="1000" spans="2:114" ht="15.75" customHeight="1" x14ac:dyDescent="0.25">
      <c r="B1000" s="116"/>
      <c r="I1000" s="656"/>
      <c r="K1000" s="116"/>
      <c r="X1000" s="1"/>
      <c r="Y1000" s="1"/>
      <c r="Z1000" s="1"/>
      <c r="AA1000" s="1"/>
      <c r="AB1000" s="656"/>
      <c r="AC1000" s="1"/>
      <c r="AD1000" s="116"/>
      <c r="AL1000" s="656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43"/>
      <c r="BL1000" s="116"/>
      <c r="BU1000" s="1"/>
      <c r="BV1000" s="1"/>
      <c r="BW1000" s="1"/>
      <c r="BX1000" s="656"/>
      <c r="BZ1000" s="657"/>
      <c r="CE1000" s="1"/>
      <c r="CF1000" s="1"/>
      <c r="CG1000" s="1"/>
      <c r="CH1000" s="1"/>
      <c r="CP1000" s="305"/>
      <c r="CR1000" s="116"/>
      <c r="CZ1000" s="1"/>
      <c r="DA1000" s="1"/>
      <c r="DB1000" s="1"/>
      <c r="DC1000" s="1"/>
      <c r="DD1000" s="1"/>
      <c r="DE1000" s="1"/>
      <c r="DF1000" s="1"/>
      <c r="DG1000" s="1"/>
      <c r="DH1000" s="656"/>
      <c r="DJ1000" s="116"/>
    </row>
  </sheetData>
  <mergeCells count="20">
    <mergeCell ref="DD5:DG5"/>
    <mergeCell ref="L5:O5"/>
    <mergeCell ref="Q5:S5"/>
    <mergeCell ref="U5:V5"/>
    <mergeCell ref="Y5:AA5"/>
    <mergeCell ref="AE5:AG5"/>
    <mergeCell ref="AI5:AK5"/>
    <mergeCell ref="AN5:AQ5"/>
    <mergeCell ref="CA3:CN3"/>
    <mergeCell ref="CS3:CY3"/>
    <mergeCell ref="AS5:AZ5"/>
    <mergeCell ref="BM5:BO5"/>
    <mergeCell ref="CA5:CG5"/>
    <mergeCell ref="CI5:CO5"/>
    <mergeCell ref="CS5:CZ5"/>
    <mergeCell ref="C3:H3"/>
    <mergeCell ref="L3:W3"/>
    <mergeCell ref="AE3:AK3"/>
    <mergeCell ref="AN3:BJ3"/>
    <mergeCell ref="BM3:BT3"/>
  </mergeCells>
  <pageMargins left="0.7" right="0.7" top="0.75" bottom="0.75" header="0" footer="0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BF9000"/>
  </sheetPr>
  <dimension ref="A1:AL1000"/>
  <sheetViews>
    <sheetView workbookViewId="0"/>
  </sheetViews>
  <sheetFormatPr baseColWidth="10" defaultColWidth="14.42578125" defaultRowHeight="15" customHeight="1" x14ac:dyDescent="0.25"/>
  <cols>
    <col min="1" max="2" width="11.42578125" customWidth="1"/>
    <col min="3" max="3" width="21.5703125" customWidth="1"/>
    <col min="4" max="5" width="11.42578125" customWidth="1"/>
    <col min="6" max="6" width="13.85546875" customWidth="1"/>
    <col min="7" max="7" width="22.140625" customWidth="1"/>
    <col min="8" max="8" width="11.42578125" customWidth="1"/>
    <col min="9" max="9" width="18.42578125" customWidth="1"/>
    <col min="10" max="10" width="22" customWidth="1"/>
    <col min="11" max="11" width="24.7109375" customWidth="1"/>
    <col min="12" max="12" width="21.28515625" customWidth="1"/>
    <col min="13" max="13" width="11.42578125" customWidth="1"/>
    <col min="14" max="14" width="10.140625" customWidth="1"/>
    <col min="15" max="15" width="23.7109375" customWidth="1"/>
    <col min="16" max="16" width="8.42578125" customWidth="1"/>
    <col min="17" max="17" width="23.5703125" customWidth="1"/>
    <col min="18" max="18" width="16.28515625" customWidth="1"/>
    <col min="19" max="19" width="28.140625" customWidth="1"/>
    <col min="20" max="38" width="11.42578125" customWidth="1"/>
  </cols>
  <sheetData>
    <row r="1" spans="1:38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25">
      <c r="A3" s="1"/>
      <c r="B3" s="1"/>
      <c r="C3" s="1"/>
      <c r="D3" s="1"/>
      <c r="E3" s="1"/>
      <c r="F3" s="1" t="s">
        <v>562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25">
      <c r="A4" s="1"/>
      <c r="B4" s="1"/>
      <c r="C4" s="1"/>
      <c r="D4" s="1"/>
      <c r="E4" s="1"/>
      <c r="F4" s="1" t="s">
        <v>556</v>
      </c>
      <c r="G4" s="1"/>
      <c r="H4" s="726"/>
      <c r="I4" s="727"/>
      <c r="J4" s="727"/>
      <c r="K4" s="727"/>
      <c r="L4" s="727"/>
      <c r="M4" s="727"/>
      <c r="N4" s="728"/>
      <c r="O4" s="1"/>
      <c r="P4" s="726"/>
      <c r="Q4" s="727"/>
      <c r="R4" s="727"/>
      <c r="S4" s="727"/>
      <c r="T4" s="727"/>
      <c r="U4" s="727"/>
      <c r="V4" s="728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25">
      <c r="A5" s="1"/>
      <c r="B5" s="1"/>
      <c r="C5" s="1"/>
      <c r="D5" s="1"/>
      <c r="E5" s="1"/>
      <c r="F5" s="1"/>
      <c r="G5" s="1"/>
      <c r="H5" s="729"/>
      <c r="I5" s="1"/>
      <c r="J5" s="1"/>
      <c r="K5" s="1"/>
      <c r="L5" s="1"/>
      <c r="M5" s="1"/>
      <c r="N5" s="730"/>
      <c r="O5" s="1"/>
      <c r="P5" s="729"/>
      <c r="Q5" s="1"/>
      <c r="R5" s="1"/>
      <c r="S5" s="1"/>
      <c r="T5" s="1"/>
      <c r="U5" s="1"/>
      <c r="V5" s="730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8" x14ac:dyDescent="0.25">
      <c r="A6" s="1"/>
      <c r="B6" s="1"/>
      <c r="C6" s="1"/>
      <c r="D6" s="1"/>
      <c r="E6" s="1"/>
      <c r="F6" s="1"/>
      <c r="G6" s="1"/>
      <c r="H6" s="729"/>
      <c r="I6" s="1"/>
      <c r="J6" s="842" t="s">
        <v>1577</v>
      </c>
      <c r="K6" s="841"/>
      <c r="L6" s="824"/>
      <c r="M6" s="731" t="s">
        <v>1578</v>
      </c>
      <c r="N6" s="730"/>
      <c r="O6" s="1"/>
      <c r="P6" s="729"/>
      <c r="Q6" s="1"/>
      <c r="R6" s="842" t="s">
        <v>1579</v>
      </c>
      <c r="S6" s="841"/>
      <c r="T6" s="824"/>
      <c r="U6" s="731" t="s">
        <v>1580</v>
      </c>
      <c r="V6" s="730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8" ht="25.5" x14ac:dyDescent="0.25">
      <c r="A7" s="1"/>
      <c r="B7" s="1"/>
      <c r="C7" s="1"/>
      <c r="D7" s="732" t="s">
        <v>1581</v>
      </c>
      <c r="E7" s="733" t="s">
        <v>1582</v>
      </c>
      <c r="F7" s="734" t="s">
        <v>1578</v>
      </c>
      <c r="G7" s="1"/>
      <c r="H7" s="729"/>
      <c r="I7" s="538"/>
      <c r="J7" s="735" t="s">
        <v>1492</v>
      </c>
      <c r="K7" s="736" t="s">
        <v>1583</v>
      </c>
      <c r="L7" s="737" t="s">
        <v>997</v>
      </c>
      <c r="M7" s="738" t="s">
        <v>997</v>
      </c>
      <c r="N7" s="730"/>
      <c r="O7" s="1"/>
      <c r="P7" s="729"/>
      <c r="Q7" s="538"/>
      <c r="R7" s="735" t="s">
        <v>1492</v>
      </c>
      <c r="S7" s="736" t="s">
        <v>1583</v>
      </c>
      <c r="T7" s="737" t="s">
        <v>997</v>
      </c>
      <c r="U7" s="738" t="s">
        <v>997</v>
      </c>
      <c r="V7" s="730"/>
      <c r="W7" s="1"/>
      <c r="X7" s="1"/>
      <c r="Y7" s="1"/>
      <c r="Z7" s="1"/>
      <c r="AA7" s="1"/>
      <c r="AB7" s="1"/>
      <c r="AC7" s="1"/>
      <c r="AD7" s="1"/>
      <c r="AE7" s="1"/>
    </row>
    <row r="8" spans="1:38" x14ac:dyDescent="0.25">
      <c r="A8" s="1"/>
      <c r="B8" s="1"/>
      <c r="C8" s="739" t="s">
        <v>1584</v>
      </c>
      <c r="D8" s="740">
        <f>+D9+D10+D11</f>
        <v>38.799999999999997</v>
      </c>
      <c r="E8" s="741"/>
      <c r="F8" s="742"/>
      <c r="G8" s="1"/>
      <c r="H8" s="729"/>
      <c r="I8" s="743" t="s">
        <v>1493</v>
      </c>
      <c r="J8" s="744">
        <f t="shared" ref="J8:L8" si="0">+SUM(J9:J11)</f>
        <v>16.216999999999999</v>
      </c>
      <c r="K8" s="745">
        <f t="shared" si="0"/>
        <v>22.582999999999998</v>
      </c>
      <c r="L8" s="746">
        <f t="shared" si="0"/>
        <v>38.799999999999997</v>
      </c>
      <c r="M8" s="747">
        <f>+SUM(M9:M12)</f>
        <v>1.9</v>
      </c>
      <c r="N8" s="730"/>
      <c r="O8" s="1"/>
      <c r="P8" s="729"/>
      <c r="Q8" s="743" t="s">
        <v>1493</v>
      </c>
      <c r="R8" s="744">
        <f t="shared" ref="R8:T8" si="1">+J8/1000</f>
        <v>1.6216999999999999E-2</v>
      </c>
      <c r="S8" s="745">
        <f t="shared" si="1"/>
        <v>2.2582999999999999E-2</v>
      </c>
      <c r="T8" s="745">
        <f t="shared" si="1"/>
        <v>3.8799999999999994E-2</v>
      </c>
      <c r="U8" s="747">
        <f t="shared" ref="U8:U12" si="2">+M8*(1/1000)*1000</f>
        <v>1.9</v>
      </c>
      <c r="V8" s="730"/>
      <c r="W8" s="1"/>
      <c r="X8" s="1"/>
      <c r="Y8" s="1"/>
      <c r="Z8" s="1"/>
      <c r="AA8" s="1"/>
      <c r="AB8" s="1"/>
      <c r="AC8" s="1"/>
      <c r="AD8" s="1"/>
      <c r="AE8" s="1"/>
    </row>
    <row r="9" spans="1:38" x14ac:dyDescent="0.25">
      <c r="A9" s="1"/>
      <c r="B9" s="1"/>
      <c r="C9" s="748" t="s">
        <v>1485</v>
      </c>
      <c r="D9" s="657">
        <v>14.3</v>
      </c>
      <c r="E9" s="656">
        <v>0.74</v>
      </c>
      <c r="F9" s="749">
        <v>0.3</v>
      </c>
      <c r="G9" s="1"/>
      <c r="H9" s="729"/>
      <c r="I9" s="750" t="s">
        <v>1485</v>
      </c>
      <c r="J9" s="751">
        <f t="shared" ref="J9:J11" si="3">+D9*E9</f>
        <v>10.582000000000001</v>
      </c>
      <c r="K9" s="2">
        <f t="shared" ref="K9:K11" si="4">+D9-J9</f>
        <v>3.718</v>
      </c>
      <c r="L9" s="2">
        <f t="shared" ref="L9:L11" si="5">+J9+K9</f>
        <v>14.3</v>
      </c>
      <c r="M9" s="752">
        <v>0.3</v>
      </c>
      <c r="N9" s="730"/>
      <c r="O9" s="1"/>
      <c r="P9" s="729"/>
      <c r="Q9" s="750" t="s">
        <v>1485</v>
      </c>
      <c r="R9" s="751">
        <f t="shared" ref="R9:T9" si="6">+J9/1000</f>
        <v>1.0582000000000001E-2</v>
      </c>
      <c r="S9" s="2">
        <f t="shared" si="6"/>
        <v>3.718E-3</v>
      </c>
      <c r="T9" s="2">
        <f t="shared" si="6"/>
        <v>1.43E-2</v>
      </c>
      <c r="U9" s="752">
        <f t="shared" si="2"/>
        <v>0.3</v>
      </c>
      <c r="V9" s="730"/>
      <c r="W9" s="1"/>
      <c r="X9" s="1"/>
      <c r="Y9" s="1"/>
      <c r="Z9" s="1"/>
      <c r="AA9" s="1"/>
      <c r="AB9" s="1"/>
      <c r="AC9" s="1"/>
      <c r="AD9" s="1"/>
      <c r="AE9" s="1"/>
    </row>
    <row r="10" spans="1:38" x14ac:dyDescent="0.25">
      <c r="A10" s="1"/>
      <c r="B10" s="1"/>
      <c r="C10" s="748" t="s">
        <v>1486</v>
      </c>
      <c r="D10" s="657">
        <v>5.3</v>
      </c>
      <c r="E10" s="656">
        <v>0.23</v>
      </c>
      <c r="F10" s="749">
        <v>0.4</v>
      </c>
      <c r="G10" s="1"/>
      <c r="H10" s="729"/>
      <c r="I10" s="750" t="s">
        <v>1494</v>
      </c>
      <c r="J10" s="751">
        <f t="shared" si="3"/>
        <v>1.2190000000000001</v>
      </c>
      <c r="K10" s="2">
        <f t="shared" si="4"/>
        <v>4.0809999999999995</v>
      </c>
      <c r="L10" s="2">
        <f t="shared" si="5"/>
        <v>5.3</v>
      </c>
      <c r="M10" s="752">
        <v>0.4</v>
      </c>
      <c r="N10" s="730"/>
      <c r="O10" s="1"/>
      <c r="P10" s="729"/>
      <c r="Q10" s="750" t="s">
        <v>1494</v>
      </c>
      <c r="R10" s="751">
        <f t="shared" ref="R10:T10" si="7">+J10/1000</f>
        <v>1.219E-3</v>
      </c>
      <c r="S10" s="2">
        <f t="shared" si="7"/>
        <v>4.0809999999999996E-3</v>
      </c>
      <c r="T10" s="2">
        <f t="shared" si="7"/>
        <v>5.3E-3</v>
      </c>
      <c r="U10" s="752">
        <f t="shared" si="2"/>
        <v>0.4</v>
      </c>
      <c r="V10" s="730"/>
      <c r="W10" s="1"/>
      <c r="X10" s="1"/>
      <c r="Y10" s="1"/>
      <c r="Z10" s="1"/>
      <c r="AA10" s="1"/>
      <c r="AB10" s="1"/>
      <c r="AC10" s="1"/>
      <c r="AD10" s="1"/>
      <c r="AE10" s="1"/>
    </row>
    <row r="11" spans="1:38" x14ac:dyDescent="0.25">
      <c r="A11" s="1"/>
      <c r="B11" s="1"/>
      <c r="C11" s="748" t="s">
        <v>1487</v>
      </c>
      <c r="D11" s="657">
        <v>19.2</v>
      </c>
      <c r="E11" s="656">
        <v>0.23</v>
      </c>
      <c r="F11" s="749">
        <v>0.5</v>
      </c>
      <c r="G11" s="1"/>
      <c r="H11" s="729"/>
      <c r="I11" s="753" t="s">
        <v>1487</v>
      </c>
      <c r="J11" s="751">
        <f t="shared" si="3"/>
        <v>4.4160000000000004</v>
      </c>
      <c r="K11" s="2">
        <f t="shared" si="4"/>
        <v>14.783999999999999</v>
      </c>
      <c r="L11" s="2">
        <f t="shared" si="5"/>
        <v>19.2</v>
      </c>
      <c r="M11" s="752">
        <v>0.5</v>
      </c>
      <c r="N11" s="730"/>
      <c r="O11" s="1"/>
      <c r="P11" s="729"/>
      <c r="Q11" s="753" t="s">
        <v>1487</v>
      </c>
      <c r="R11" s="751">
        <f t="shared" ref="R11:T11" si="8">+J11/1000</f>
        <v>4.4160000000000007E-3</v>
      </c>
      <c r="S11" s="2">
        <f t="shared" si="8"/>
        <v>1.4783999999999999E-2</v>
      </c>
      <c r="T11" s="2">
        <f t="shared" si="8"/>
        <v>1.9199999999999998E-2</v>
      </c>
      <c r="U11" s="752">
        <f t="shared" si="2"/>
        <v>0.5</v>
      </c>
      <c r="V11" s="730"/>
      <c r="W11" s="1"/>
      <c r="X11" s="1"/>
      <c r="Y11" s="1"/>
      <c r="Z11" s="1"/>
      <c r="AA11" s="1"/>
      <c r="AB11" s="1"/>
      <c r="AC11" s="1"/>
      <c r="AD11" s="1"/>
      <c r="AE11" s="1"/>
    </row>
    <row r="12" spans="1:38" x14ac:dyDescent="0.25">
      <c r="A12" s="1"/>
      <c r="B12" s="1"/>
      <c r="C12" s="754" t="s">
        <v>1585</v>
      </c>
      <c r="D12" s="755">
        <v>16.100000000000001</v>
      </c>
      <c r="E12" s="756">
        <f>+SUMPRODUCT(D9:D11,E9:E11)</f>
        <v>16.216999999999999</v>
      </c>
      <c r="F12" s="757">
        <v>0.7</v>
      </c>
      <c r="G12" s="1"/>
      <c r="H12" s="729"/>
      <c r="I12" s="758" t="s">
        <v>1495</v>
      </c>
      <c r="J12" s="759">
        <f>+J8</f>
        <v>16.216999999999999</v>
      </c>
      <c r="K12" s="411"/>
      <c r="L12" s="760"/>
      <c r="M12" s="761">
        <v>0.7</v>
      </c>
      <c r="N12" s="730"/>
      <c r="O12" s="1"/>
      <c r="P12" s="729"/>
      <c r="Q12" s="758" t="s">
        <v>1495</v>
      </c>
      <c r="R12" s="759">
        <f>+R8</f>
        <v>1.6216999999999999E-2</v>
      </c>
      <c r="S12" s="411"/>
      <c r="T12" s="760"/>
      <c r="U12" s="761">
        <f t="shared" si="2"/>
        <v>0.7</v>
      </c>
      <c r="V12" s="730"/>
      <c r="W12" s="1"/>
      <c r="X12" s="1"/>
      <c r="Y12" s="1"/>
      <c r="Z12" s="1"/>
      <c r="AA12" s="1"/>
      <c r="AB12" s="1"/>
      <c r="AC12" s="1"/>
      <c r="AD12" s="1"/>
      <c r="AE12" s="1"/>
    </row>
    <row r="13" spans="1:38" x14ac:dyDescent="0.25">
      <c r="A13" s="1"/>
      <c r="B13" s="1"/>
      <c r="C13" s="1"/>
      <c r="D13" s="762" t="s">
        <v>1581</v>
      </c>
      <c r="E13" s="763" t="s">
        <v>1582</v>
      </c>
      <c r="F13" s="764" t="s">
        <v>1578</v>
      </c>
      <c r="G13" s="1"/>
      <c r="H13" s="729"/>
      <c r="I13" s="1"/>
      <c r="J13" s="1"/>
      <c r="K13" s="1"/>
      <c r="L13" s="1"/>
      <c r="M13" s="1"/>
      <c r="N13" s="730"/>
      <c r="O13" s="1"/>
      <c r="P13" s="729"/>
      <c r="Q13" s="1"/>
      <c r="R13" s="1"/>
      <c r="S13" s="1"/>
      <c r="T13" s="1"/>
      <c r="U13" s="1"/>
      <c r="V13" s="730"/>
      <c r="W13" s="1"/>
      <c r="X13" s="1"/>
      <c r="Y13" s="1"/>
      <c r="Z13" s="1"/>
      <c r="AA13" s="1"/>
      <c r="AB13" s="1"/>
      <c r="AC13" s="1"/>
      <c r="AD13" s="1"/>
      <c r="AE13" s="1"/>
    </row>
    <row r="14" spans="1:38" x14ac:dyDescent="0.25">
      <c r="A14" s="1"/>
      <c r="B14" s="1"/>
      <c r="C14" s="734" t="s">
        <v>1586</v>
      </c>
      <c r="D14" s="765">
        <v>4</v>
      </c>
      <c r="E14" s="1"/>
      <c r="F14" s="766">
        <v>0.3</v>
      </c>
      <c r="G14" s="1"/>
      <c r="H14" s="729"/>
      <c r="I14" s="1"/>
      <c r="J14" s="1"/>
      <c r="K14" s="1"/>
      <c r="L14" s="1"/>
      <c r="M14" s="1"/>
      <c r="N14" s="730"/>
      <c r="O14" s="1"/>
      <c r="P14" s="729"/>
      <c r="Q14" s="1"/>
      <c r="R14" s="1"/>
      <c r="S14" s="1"/>
      <c r="T14" s="1"/>
      <c r="U14" s="1"/>
      <c r="V14" s="730"/>
      <c r="W14" s="1"/>
      <c r="X14" s="1"/>
      <c r="Y14" s="1"/>
      <c r="Z14" s="1"/>
      <c r="AA14" s="1"/>
      <c r="AB14" s="1"/>
      <c r="AC14" s="1"/>
      <c r="AD14" s="1"/>
      <c r="AE14" s="1"/>
    </row>
    <row r="15" spans="1:38" x14ac:dyDescent="0.25">
      <c r="A15" s="1"/>
      <c r="B15" s="1"/>
      <c r="C15" s="752" t="s">
        <v>1515</v>
      </c>
      <c r="D15" s="657">
        <v>4.5999999999999996</v>
      </c>
      <c r="E15" s="656">
        <v>1</v>
      </c>
      <c r="F15" s="749">
        <v>0.3</v>
      </c>
      <c r="G15" s="1"/>
      <c r="H15" s="729"/>
      <c r="I15" s="1"/>
      <c r="J15" s="1"/>
      <c r="K15" s="1"/>
      <c r="L15" s="1"/>
      <c r="M15" s="1"/>
      <c r="N15" s="730"/>
      <c r="O15" s="216"/>
      <c r="P15" s="729"/>
      <c r="Q15" s="1"/>
      <c r="R15" s="1"/>
      <c r="S15" s="1"/>
      <c r="T15" s="1"/>
      <c r="U15" s="1"/>
      <c r="V15" s="730"/>
      <c r="W15" s="1"/>
      <c r="X15" s="1"/>
      <c r="Y15" s="1"/>
      <c r="Z15" s="1"/>
      <c r="AA15" s="1"/>
      <c r="AB15" s="1"/>
      <c r="AC15" s="1"/>
      <c r="AD15" s="1"/>
      <c r="AE15" s="1"/>
    </row>
    <row r="16" spans="1:38" x14ac:dyDescent="0.25">
      <c r="A16" s="1"/>
      <c r="B16" s="1"/>
      <c r="C16" s="752" t="s">
        <v>1517</v>
      </c>
      <c r="D16" s="657">
        <v>3.9</v>
      </c>
      <c r="E16" s="656">
        <v>1</v>
      </c>
      <c r="F16" s="749">
        <v>0.3</v>
      </c>
      <c r="G16" s="1"/>
      <c r="H16" s="729"/>
      <c r="I16" s="1"/>
      <c r="J16" s="767" t="s">
        <v>1577</v>
      </c>
      <c r="K16" s="731" t="s">
        <v>1578</v>
      </c>
      <c r="L16" s="1"/>
      <c r="M16" s="1"/>
      <c r="N16" s="730"/>
      <c r="O16" s="1"/>
      <c r="P16" s="729"/>
      <c r="Q16" s="1"/>
      <c r="R16" s="767" t="s">
        <v>1579</v>
      </c>
      <c r="S16" s="731" t="s">
        <v>1578</v>
      </c>
      <c r="T16" s="1"/>
      <c r="U16" s="1"/>
      <c r="V16" s="730"/>
      <c r="W16" s="1"/>
      <c r="X16" s="1"/>
      <c r="Y16" s="1"/>
      <c r="Z16" s="1"/>
      <c r="AA16" s="1"/>
      <c r="AB16" s="1"/>
      <c r="AC16" s="1"/>
      <c r="AD16" s="1"/>
      <c r="AE16" s="1"/>
    </row>
    <row r="17" spans="1:38" x14ac:dyDescent="0.25">
      <c r="A17" s="1"/>
      <c r="B17" s="1"/>
      <c r="C17" s="761" t="s">
        <v>1587</v>
      </c>
      <c r="D17" s="657">
        <v>1.1000000000000001</v>
      </c>
      <c r="E17" s="656">
        <v>1</v>
      </c>
      <c r="F17" s="757">
        <v>0.3</v>
      </c>
      <c r="G17" s="1"/>
      <c r="H17" s="729"/>
      <c r="I17" s="755" t="s">
        <v>1588</v>
      </c>
      <c r="J17" s="768">
        <v>4</v>
      </c>
      <c r="K17" s="769">
        <v>0.3</v>
      </c>
      <c r="L17" s="1"/>
      <c r="M17" s="1"/>
      <c r="N17" s="730"/>
      <c r="O17" s="1"/>
      <c r="P17" s="729"/>
      <c r="Q17" s="755" t="s">
        <v>1588</v>
      </c>
      <c r="R17" s="768">
        <f t="shared" ref="R17:R20" si="9">+J17/1000</f>
        <v>4.0000000000000001E-3</v>
      </c>
      <c r="S17" s="769">
        <f t="shared" ref="S17:S20" si="10">+K17*1000/1000</f>
        <v>0.3</v>
      </c>
      <c r="T17" s="1"/>
      <c r="U17" s="1"/>
      <c r="V17" s="730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8" x14ac:dyDescent="0.25">
      <c r="A18" s="1"/>
      <c r="B18" s="1"/>
      <c r="C18" s="1"/>
      <c r="D18" s="762" t="s">
        <v>1581</v>
      </c>
      <c r="E18" s="763" t="s">
        <v>1582</v>
      </c>
      <c r="F18" s="764" t="s">
        <v>1578</v>
      </c>
      <c r="G18" s="1"/>
      <c r="H18" s="729"/>
      <c r="I18" s="750" t="s">
        <v>1589</v>
      </c>
      <c r="J18" s="770">
        <f t="shared" ref="J18:J20" si="11">+D15</f>
        <v>4.5999999999999996</v>
      </c>
      <c r="K18" s="321">
        <f t="shared" ref="K18:K20" si="12">+F15</f>
        <v>0.3</v>
      </c>
      <c r="L18" s="1"/>
      <c r="M18" s="1"/>
      <c r="N18" s="730"/>
      <c r="O18" s="1"/>
      <c r="P18" s="729"/>
      <c r="Q18" s="750" t="s">
        <v>1589</v>
      </c>
      <c r="R18" s="770">
        <f t="shared" si="9"/>
        <v>4.5999999999999999E-3</v>
      </c>
      <c r="S18" s="321">
        <f t="shared" si="10"/>
        <v>0.3</v>
      </c>
      <c r="T18" s="1"/>
      <c r="U18" s="1"/>
      <c r="V18" s="730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8" x14ac:dyDescent="0.25">
      <c r="A19" s="1"/>
      <c r="B19" s="1"/>
      <c r="C19" s="739" t="s">
        <v>1590</v>
      </c>
      <c r="D19" s="771">
        <f>+SUM(D20:D26)</f>
        <v>84.449999999999989</v>
      </c>
      <c r="E19" s="733"/>
      <c r="F19" s="766">
        <f>+SUM(F20:F27)</f>
        <v>5.6703000000000001</v>
      </c>
      <c r="G19" s="1"/>
      <c r="H19" s="729"/>
      <c r="I19" s="750" t="s">
        <v>1591</v>
      </c>
      <c r="J19" s="770">
        <f t="shared" si="11"/>
        <v>3.9</v>
      </c>
      <c r="K19" s="321">
        <f t="shared" si="12"/>
        <v>0.3</v>
      </c>
      <c r="L19" s="1"/>
      <c r="M19" s="1"/>
      <c r="N19" s="730"/>
      <c r="O19" s="1"/>
      <c r="P19" s="729"/>
      <c r="Q19" s="750" t="s">
        <v>1591</v>
      </c>
      <c r="R19" s="770">
        <f t="shared" si="9"/>
        <v>3.8999999999999998E-3</v>
      </c>
      <c r="S19" s="321">
        <f t="shared" si="10"/>
        <v>0.3</v>
      </c>
      <c r="T19" s="1"/>
      <c r="U19" s="1"/>
      <c r="V19" s="730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8" x14ac:dyDescent="0.25">
      <c r="A20" s="1"/>
      <c r="B20" s="1"/>
      <c r="C20" s="748" t="s">
        <v>1551</v>
      </c>
      <c r="D20" s="657">
        <v>0.5</v>
      </c>
      <c r="E20" s="656"/>
      <c r="F20" s="749">
        <v>0.03</v>
      </c>
      <c r="G20" s="1"/>
      <c r="H20" s="729"/>
      <c r="I20" s="753" t="s">
        <v>1592</v>
      </c>
      <c r="J20" s="772">
        <f t="shared" si="11"/>
        <v>1.1000000000000001</v>
      </c>
      <c r="K20" s="325">
        <f t="shared" si="12"/>
        <v>0.3</v>
      </c>
      <c r="L20" s="1"/>
      <c r="M20" s="1"/>
      <c r="N20" s="730"/>
      <c r="O20" s="1"/>
      <c r="P20" s="729"/>
      <c r="Q20" s="753" t="s">
        <v>1592</v>
      </c>
      <c r="R20" s="772">
        <f t="shared" si="9"/>
        <v>1.1000000000000001E-3</v>
      </c>
      <c r="S20" s="325">
        <f t="shared" si="10"/>
        <v>0.3</v>
      </c>
      <c r="T20" s="1"/>
      <c r="U20" s="1"/>
      <c r="V20" s="730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8" ht="15.75" customHeight="1" x14ac:dyDescent="0.25">
      <c r="A21" s="1"/>
      <c r="B21" s="1"/>
      <c r="C21" s="748" t="s">
        <v>1593</v>
      </c>
      <c r="D21" s="657">
        <v>0.02</v>
      </c>
      <c r="E21" s="656"/>
      <c r="F21" s="749">
        <v>2.0000000000000001E-4</v>
      </c>
      <c r="G21" s="1"/>
      <c r="H21" s="729"/>
      <c r="I21" s="1"/>
      <c r="J21" s="1"/>
      <c r="K21" s="1"/>
      <c r="L21" s="1"/>
      <c r="M21" s="1"/>
      <c r="N21" s="730"/>
      <c r="O21" s="1"/>
      <c r="P21" s="729"/>
      <c r="Q21" s="1"/>
      <c r="R21" s="1"/>
      <c r="S21" s="1"/>
      <c r="T21" s="1"/>
      <c r="U21" s="1"/>
      <c r="V21" s="730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8" ht="15.75" customHeight="1" x14ac:dyDescent="0.25">
      <c r="A22" s="1"/>
      <c r="B22" s="1"/>
      <c r="C22" s="748" t="s">
        <v>1594</v>
      </c>
      <c r="D22" s="657">
        <v>0.6</v>
      </c>
      <c r="E22" s="656"/>
      <c r="F22" s="749">
        <v>1E-4</v>
      </c>
      <c r="G22" s="1"/>
      <c r="H22" s="729"/>
      <c r="I22" s="1"/>
      <c r="J22" s="1"/>
      <c r="K22" s="1"/>
      <c r="L22" s="1"/>
      <c r="M22" s="1"/>
      <c r="N22" s="730"/>
      <c r="O22" s="1"/>
      <c r="P22" s="729"/>
      <c r="Q22" s="1"/>
      <c r="R22" s="1"/>
      <c r="S22" s="1"/>
      <c r="T22" s="1"/>
      <c r="U22" s="1"/>
      <c r="V22" s="730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8" ht="15.75" customHeight="1" x14ac:dyDescent="0.25">
      <c r="A23" s="1"/>
      <c r="B23" s="1"/>
      <c r="C23" s="748" t="s">
        <v>1595</v>
      </c>
      <c r="D23" s="657">
        <v>11.8</v>
      </c>
      <c r="E23" s="656"/>
      <c r="F23" s="749">
        <v>0.25</v>
      </c>
      <c r="G23" s="1"/>
      <c r="H23" s="729"/>
      <c r="I23" s="1"/>
      <c r="J23" s="1"/>
      <c r="K23" s="1"/>
      <c r="L23" s="1"/>
      <c r="M23" s="1"/>
      <c r="N23" s="730"/>
      <c r="O23" s="1"/>
      <c r="P23" s="729"/>
      <c r="Q23" s="1"/>
      <c r="R23" s="1"/>
      <c r="S23" s="1"/>
      <c r="T23" s="1"/>
      <c r="U23" s="1"/>
      <c r="V23" s="730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8" ht="15.75" customHeight="1" x14ac:dyDescent="0.25">
      <c r="A24" s="1"/>
      <c r="B24" s="1"/>
      <c r="C24" s="748" t="s">
        <v>1596</v>
      </c>
      <c r="D24" s="657">
        <v>11.83</v>
      </c>
      <c r="E24" s="656"/>
      <c r="F24" s="749">
        <v>0.17</v>
      </c>
      <c r="G24" s="1"/>
      <c r="H24" s="729"/>
      <c r="I24" s="1"/>
      <c r="J24" s="62" t="s">
        <v>1577</v>
      </c>
      <c r="K24" s="62" t="s">
        <v>1578</v>
      </c>
      <c r="L24" s="1"/>
      <c r="M24" s="1"/>
      <c r="N24" s="730"/>
      <c r="O24" s="1"/>
      <c r="P24" s="729"/>
      <c r="Q24" s="1"/>
      <c r="R24" s="62" t="s">
        <v>1579</v>
      </c>
      <c r="S24" s="62" t="s">
        <v>1578</v>
      </c>
      <c r="T24" s="1"/>
      <c r="U24" s="1"/>
      <c r="V24" s="730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8" ht="15.75" customHeight="1" x14ac:dyDescent="0.25">
      <c r="A25" s="1"/>
      <c r="B25" s="1"/>
      <c r="C25" s="748" t="s">
        <v>1597</v>
      </c>
      <c r="D25" s="657">
        <v>32.799999999999997</v>
      </c>
      <c r="E25" s="656">
        <v>0.99</v>
      </c>
      <c r="F25" s="749">
        <v>1.75</v>
      </c>
      <c r="G25" s="1"/>
      <c r="H25" s="729"/>
      <c r="I25" s="762" t="s">
        <v>1590</v>
      </c>
      <c r="J25" s="767">
        <v>84.45</v>
      </c>
      <c r="K25" s="764">
        <f>+SUM(F20:F27)</f>
        <v>5.6703000000000001</v>
      </c>
      <c r="L25" s="1"/>
      <c r="M25" s="1"/>
      <c r="N25" s="730"/>
      <c r="O25" s="1"/>
      <c r="P25" s="729"/>
      <c r="Q25" s="762" t="s">
        <v>1590</v>
      </c>
      <c r="R25" s="767">
        <f t="shared" ref="R25:R27" si="13">+J25/1000</f>
        <v>8.4449999999999997E-2</v>
      </c>
      <c r="S25" s="764">
        <f t="shared" ref="S25:S27" si="14">+K25*1000/1000</f>
        <v>5.6703000000000001</v>
      </c>
      <c r="T25" s="1"/>
      <c r="U25" s="1"/>
      <c r="V25" s="730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8" ht="15.75" customHeight="1" x14ac:dyDescent="0.25">
      <c r="A26" s="1"/>
      <c r="B26" s="1"/>
      <c r="C26" s="748" t="s">
        <v>1598</v>
      </c>
      <c r="D26" s="657">
        <v>26.9</v>
      </c>
      <c r="E26" s="656">
        <v>0.54</v>
      </c>
      <c r="F26" s="749">
        <v>0.56000000000000005</v>
      </c>
      <c r="G26" s="1"/>
      <c r="H26" s="729"/>
      <c r="I26" s="751" t="s">
        <v>1599</v>
      </c>
      <c r="J26" s="752">
        <f>+SUM(D20:D26)</f>
        <v>84.449999999999989</v>
      </c>
      <c r="K26" s="749">
        <f>+SUM(F20:F26)</f>
        <v>2.7603</v>
      </c>
      <c r="L26" s="1"/>
      <c r="M26" s="1"/>
      <c r="N26" s="730"/>
      <c r="O26" s="1"/>
      <c r="P26" s="729"/>
      <c r="Q26" s="751" t="s">
        <v>1599</v>
      </c>
      <c r="R26" s="752">
        <f t="shared" si="13"/>
        <v>8.4449999999999983E-2</v>
      </c>
      <c r="S26" s="749">
        <f t="shared" si="14"/>
        <v>2.7603</v>
      </c>
      <c r="T26" s="1"/>
      <c r="U26" s="1"/>
      <c r="V26" s="730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ht="15.75" customHeight="1" x14ac:dyDescent="0.25">
      <c r="A27" s="1"/>
      <c r="B27" s="1"/>
      <c r="C27" s="754" t="s">
        <v>1600</v>
      </c>
      <c r="D27" s="755">
        <v>64.400000000000006</v>
      </c>
      <c r="E27" s="773">
        <f>+SUMPRODUCT(D25:D26,E25:E26)</f>
        <v>46.99799999999999</v>
      </c>
      <c r="F27" s="757">
        <v>2.91</v>
      </c>
      <c r="G27" s="1"/>
      <c r="H27" s="729"/>
      <c r="I27" s="774" t="s">
        <v>1601</v>
      </c>
      <c r="J27" s="775">
        <f>+D27</f>
        <v>64.400000000000006</v>
      </c>
      <c r="K27" s="757">
        <f>+F27</f>
        <v>2.91</v>
      </c>
      <c r="L27" s="1"/>
      <c r="M27" s="1"/>
      <c r="N27" s="730"/>
      <c r="O27" s="1"/>
      <c r="P27" s="729"/>
      <c r="Q27" s="774" t="s">
        <v>1601</v>
      </c>
      <c r="R27" s="775">
        <f t="shared" si="13"/>
        <v>6.4399999999999999E-2</v>
      </c>
      <c r="S27" s="757">
        <f t="shared" si="14"/>
        <v>2.91</v>
      </c>
      <c r="T27" s="1"/>
      <c r="U27" s="1"/>
      <c r="V27" s="730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ht="15.75" customHeight="1" x14ac:dyDescent="0.25">
      <c r="A28" s="1"/>
      <c r="B28" s="1"/>
      <c r="C28" s="1"/>
      <c r="D28" s="1"/>
      <c r="E28" s="1"/>
      <c r="F28" s="1"/>
      <c r="G28" s="1"/>
      <c r="H28" s="729"/>
      <c r="I28" s="1"/>
      <c r="J28" s="1"/>
      <c r="K28" s="1"/>
      <c r="L28" s="1"/>
      <c r="M28" s="1"/>
      <c r="N28" s="730"/>
      <c r="O28" s="1"/>
      <c r="P28" s="729"/>
      <c r="Q28" s="1"/>
      <c r="R28" s="1"/>
      <c r="S28" s="1"/>
      <c r="T28" s="1"/>
      <c r="U28" s="1"/>
      <c r="V28" s="730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ht="15.75" customHeight="1" x14ac:dyDescent="0.25">
      <c r="A29" s="1"/>
      <c r="B29" s="1"/>
      <c r="C29" s="1"/>
      <c r="D29" s="1"/>
      <c r="E29" s="1"/>
      <c r="F29" s="1"/>
      <c r="G29" s="1"/>
      <c r="H29" s="776"/>
      <c r="I29" s="777"/>
      <c r="J29" s="777"/>
      <c r="K29" s="777"/>
      <c r="L29" s="777"/>
      <c r="M29" s="777"/>
      <c r="N29" s="778"/>
      <c r="O29" s="1"/>
      <c r="P29" s="776"/>
      <c r="Q29" s="777"/>
      <c r="R29" s="777"/>
      <c r="S29" s="777"/>
      <c r="T29" s="777"/>
      <c r="U29" s="777"/>
      <c r="V29" s="778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ht="15.75" customHeight="1" x14ac:dyDescent="0.25">
      <c r="A50" s="1"/>
      <c r="B50" s="1"/>
      <c r="C50" s="1"/>
      <c r="D50" s="1" t="s">
        <v>1602</v>
      </c>
      <c r="E50" s="1"/>
      <c r="F50" s="2" t="s">
        <v>556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ht="15.75" customHeight="1" x14ac:dyDescent="0.25">
      <c r="A51" s="1"/>
      <c r="B51" s="1"/>
      <c r="C51" s="779" t="s">
        <v>1584</v>
      </c>
      <c r="D51" s="780">
        <v>1.8</v>
      </c>
      <c r="E51" s="1"/>
      <c r="F51" s="2">
        <f t="shared" ref="F51:F55" si="15">+D51</f>
        <v>1.8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ht="15.75" customHeight="1" x14ac:dyDescent="0.25">
      <c r="A52" s="1"/>
      <c r="B52" s="1"/>
      <c r="C52" s="748" t="s">
        <v>1485</v>
      </c>
      <c r="D52" s="781">
        <v>0.3</v>
      </c>
      <c r="E52" s="1"/>
      <c r="F52" s="2">
        <f t="shared" si="15"/>
        <v>0.3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ht="15.75" customHeight="1" x14ac:dyDescent="0.25">
      <c r="A53" s="1"/>
      <c r="B53" s="1"/>
      <c r="C53" s="748" t="s">
        <v>1486</v>
      </c>
      <c r="D53" s="781">
        <v>0.4</v>
      </c>
      <c r="E53" s="1"/>
      <c r="F53" s="2">
        <f t="shared" si="15"/>
        <v>0.4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ht="15.75" customHeight="1" x14ac:dyDescent="0.25">
      <c r="A54" s="1"/>
      <c r="B54" s="1"/>
      <c r="C54" s="748" t="s">
        <v>1487</v>
      </c>
      <c r="D54" s="781">
        <v>0.5</v>
      </c>
      <c r="E54" s="1"/>
      <c r="F54" s="2">
        <f t="shared" si="15"/>
        <v>0.5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ht="15.75" customHeight="1" x14ac:dyDescent="0.25">
      <c r="A55" s="1"/>
      <c r="B55" s="1"/>
      <c r="C55" s="754" t="s">
        <v>1585</v>
      </c>
      <c r="D55" s="760">
        <v>0.7</v>
      </c>
      <c r="E55" s="1"/>
      <c r="F55" s="2">
        <f t="shared" si="15"/>
        <v>0.7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ht="15.75" customHeight="1" x14ac:dyDescent="0.25">
      <c r="A60" s="1"/>
      <c r="B60" s="1"/>
      <c r="C60" s="1"/>
      <c r="D60" s="1"/>
      <c r="E60" s="1"/>
      <c r="F60" s="1"/>
      <c r="G60" s="370"/>
      <c r="H60" s="370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1:3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1:3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1:3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1:3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1:3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1:3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1:3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1:3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1:3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1:3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1:3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1:3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1:3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1:3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1:3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1:3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1:3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1:3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1:3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1:3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1:3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1:3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1:3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1:3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1:3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1:3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1:3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1:3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1:3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1:3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1:3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1:3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1:3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1:3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1:3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1:3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1:3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1:3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1:3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1:3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1:3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1:3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1:3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1:3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1:3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1:3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1:3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1:3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1:3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1:3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1:3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spans="1:3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spans="1:3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1:3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1:3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spans="1:3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spans="1:3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spans="1:3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spans="1:3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1:3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1:3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1:3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1:3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1:3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1:3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1:3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1:3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1:3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1:3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spans="1:3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spans="1:3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1:3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1:3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1:3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1:3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1:3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1:3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1:3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1:3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1:3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1:3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1:3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1:3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spans="1:3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1:3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1:3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1:3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1:3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1:3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spans="1:3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spans="1:3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1:3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1:3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1:3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1:3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1:3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1:3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1:3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1:3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1:3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1:3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1:3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1:3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  <row r="404" spans="1:3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spans="1:3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6" spans="1:3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</row>
    <row r="407" spans="1:3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</row>
    <row r="408" spans="1:3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spans="1:3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spans="1:3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spans="1:3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spans="1:3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3" spans="1:3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</row>
    <row r="414" spans="1:3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spans="1:3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spans="1:3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7" spans="1:3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</row>
    <row r="418" spans="1:3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spans="1:3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spans="1:3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spans="1:3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spans="1:3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spans="1:3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spans="1:3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spans="1:3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spans="1:3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spans="1:3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spans="1:3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spans="1:3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spans="1:3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spans="1:3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spans="1:3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spans="1:3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spans="1:3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spans="1:3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spans="1:3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spans="1:3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spans="1:3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spans="1:3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spans="1:3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</row>
    <row r="441" spans="1:3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spans="1:3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spans="1:3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spans="1:3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spans="1:3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6" spans="1:3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</row>
    <row r="447" spans="1:3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</row>
    <row r="448" spans="1:3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spans="1:3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0" spans="1:3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</row>
    <row r="451" spans="1:3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</row>
    <row r="452" spans="1:3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</row>
    <row r="453" spans="1:3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</row>
    <row r="454" spans="1:3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spans="1:3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spans="1:3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spans="1:3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spans="1:3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spans="1:3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spans="1:3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spans="1:3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spans="1:3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spans="1:3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spans="1:3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spans="1:3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spans="1:3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spans="1:3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</row>
    <row r="469" spans="1:3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</row>
    <row r="470" spans="1:3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spans="1:3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spans="1:3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spans="1:3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spans="1:3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spans="1:3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spans="1:3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spans="1:3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spans="1:3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spans="1:3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spans="1:3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spans="1:3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spans="1:3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spans="1:3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spans="1:3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</row>
    <row r="485" spans="1:3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</row>
    <row r="486" spans="1:3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</row>
    <row r="487" spans="1:3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</row>
    <row r="488" spans="1:3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</row>
    <row r="489" spans="1:3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</row>
    <row r="490" spans="1:3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</row>
    <row r="491" spans="1:3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</row>
    <row r="492" spans="1:3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</row>
    <row r="493" spans="1:3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</row>
    <row r="494" spans="1:3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</row>
    <row r="495" spans="1:3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</row>
    <row r="496" spans="1:3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</row>
    <row r="497" spans="1:3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</row>
    <row r="498" spans="1:3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1:3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1:3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1:3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1:3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1:3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1:3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1:3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1:3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1:3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1:3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1:3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1:3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1:3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1:3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1:3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1:3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1:3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1:3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1:3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1:3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1:3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1:3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1:3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1:3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1:3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1:3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1:3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1:3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1:3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1:3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1:3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1:3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1:3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1:3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1:3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1:3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1:3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1:3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1:3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1:3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1:3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1:3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1:3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1:3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1:3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1:3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1:3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1:3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1:3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1:3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1:3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1:3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1:3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1:3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1:3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1:3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1:3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1:3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1:3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1:3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1:3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1:3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1:3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1:3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1:3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1:3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1:3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1:3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1:3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1:3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1:3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1:3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1:3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1:3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1:3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1:3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1:3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1:3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1:3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1:3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1:3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1:3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1:3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1:3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1:3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1:3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1:3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1:3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1:3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1:3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1:3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1:3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1:3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1:3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1:3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1:3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1:3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1:3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1:3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1:3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1:3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1:3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1:3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1:3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1:3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1:3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1:3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1:3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1:3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1:3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1:3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1:3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1:3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1:3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1:3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1:3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1:3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1:3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1:3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1:3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1:3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1:3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1:3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1:3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1:3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1:3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1:3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1:3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1:3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1:3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1:3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1:3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1:3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1:3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1:3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1:3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1:3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1:3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1:3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1:3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1:3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1:3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1:3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1:3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1:3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1:3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1:3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1:3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1:3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1:3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1:3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1:3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1:3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1:3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1:3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1:3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1:3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1:3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1:3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1:3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1:3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1:3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1:3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1:3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1:3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1:3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1:3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1:3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1:3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1:3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1:3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1:3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1:3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1:3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1:3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1:3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1:3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1:3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1:3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1:3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1:3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1:3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1:3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1:3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1:3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1:3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1:3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1:3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1:3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1:3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1:3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1:3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  <row r="691" spans="1:3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</row>
    <row r="692" spans="1:3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</row>
    <row r="693" spans="1:3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</row>
    <row r="694" spans="1:3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</row>
    <row r="695" spans="1:3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</row>
    <row r="696" spans="1:3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</row>
    <row r="697" spans="1:3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</row>
    <row r="698" spans="1:3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</row>
    <row r="699" spans="1:3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</row>
    <row r="700" spans="1:3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</row>
    <row r="701" spans="1:3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</row>
    <row r="702" spans="1:3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</row>
    <row r="703" spans="1:3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</row>
    <row r="704" spans="1:3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</row>
    <row r="705" spans="1:3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</row>
    <row r="706" spans="1:3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</row>
    <row r="707" spans="1:3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</row>
    <row r="708" spans="1:3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</row>
    <row r="709" spans="1:3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</row>
    <row r="710" spans="1:3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</row>
    <row r="711" spans="1:3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</row>
    <row r="712" spans="1:3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</row>
    <row r="713" spans="1:3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</row>
    <row r="714" spans="1:3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</row>
    <row r="715" spans="1:3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</row>
    <row r="716" spans="1:3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</row>
    <row r="717" spans="1:3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</row>
    <row r="718" spans="1:3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</row>
    <row r="719" spans="1:3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</row>
    <row r="720" spans="1:3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</row>
    <row r="721" spans="1:3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</row>
    <row r="722" spans="1:3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</row>
    <row r="723" spans="1:3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</row>
    <row r="724" spans="1:3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</row>
    <row r="725" spans="1:3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</row>
    <row r="726" spans="1:3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</row>
    <row r="727" spans="1:3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</row>
    <row r="728" spans="1:3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</row>
    <row r="729" spans="1:3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</row>
    <row r="730" spans="1:3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</row>
    <row r="731" spans="1:3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</row>
    <row r="732" spans="1:3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</row>
    <row r="733" spans="1:3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</row>
    <row r="734" spans="1:3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</row>
    <row r="735" spans="1:3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</row>
    <row r="736" spans="1:3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</row>
    <row r="737" spans="1:3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</row>
    <row r="738" spans="1:3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</row>
    <row r="739" spans="1:3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</row>
    <row r="740" spans="1:3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</row>
    <row r="741" spans="1:3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</row>
    <row r="742" spans="1:3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</row>
    <row r="743" spans="1:3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</row>
    <row r="744" spans="1:3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</row>
    <row r="745" spans="1:3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</row>
    <row r="746" spans="1:3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</row>
    <row r="747" spans="1:3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</row>
    <row r="748" spans="1:3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</row>
    <row r="749" spans="1:3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</row>
    <row r="750" spans="1:3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</row>
    <row r="751" spans="1:3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1:3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1:3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1:3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1:3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1:3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1:3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1:3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1:3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1:3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1:3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1:3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1:3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1:3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1:3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1:3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1:3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1:3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1:3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1:3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 spans="1:3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 spans="1:3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 spans="1:3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 spans="1:3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 spans="1:3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 spans="1:3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 spans="1:3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 spans="1:3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 spans="1:3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 spans="1:3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 spans="1:3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 spans="1:3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 spans="1:3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 spans="1:3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 spans="1:3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 spans="1:3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 spans="1:3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 spans="1:3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 spans="1:3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 spans="1:3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 spans="1:3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 spans="1:3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 spans="1:3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 spans="1:3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 spans="1:3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 spans="1:3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 spans="1:3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 spans="1:3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 spans="1:3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 spans="1:3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 spans="1:3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 spans="1:3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 spans="1:3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 spans="1:3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 spans="1:3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 spans="1:3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 spans="1:3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 spans="1:3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 spans="1:3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 spans="1:3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 spans="1:3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 spans="1:3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 spans="1:3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 spans="1:3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 spans="1:3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 spans="1:3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 spans="1:3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 spans="1:3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 spans="1:3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 spans="1:3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 spans="1:3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 spans="1:3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 spans="1:3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 spans="1:3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 spans="1:3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 spans="1:3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 spans="1:3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 spans="1:3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 spans="1:3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 spans="1:3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 spans="1:3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 spans="1:3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 spans="1:3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 spans="1:3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 spans="1:3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 spans="1:3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 spans="1:3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 spans="1:3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 spans="1:3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 spans="1:3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 spans="1:3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 spans="1:3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 spans="1:3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 spans="1:3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 spans="1:3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 spans="1:3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 spans="1:3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 spans="1:3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 spans="1:3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 spans="1:3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 spans="1:3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 spans="1:3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 spans="1:3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 spans="1:3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 spans="1:3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 spans="1:3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 spans="1:3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 spans="1:3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 spans="1:3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 spans="1:3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 spans="1:3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 spans="1:3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 spans="1:3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 spans="1:3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 spans="1:3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 spans="1:3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 spans="1:3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 spans="1:3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 spans="1:3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 spans="1:3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 spans="1:3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 spans="1:3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 spans="1:3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 spans="1:3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 spans="1:3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 spans="1:3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 spans="1:3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 spans="1:3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 spans="1:3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 spans="1:3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 spans="1:3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 spans="1:3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 spans="1:3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 spans="1:3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 spans="1:3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 spans="1:3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 spans="1:3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 spans="1:3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 spans="1:3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 spans="1:3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 spans="1:3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 spans="1:3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 spans="1:3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spans="1:3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spans="1:3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spans="1:3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spans="1:3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spans="1:3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spans="1:3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spans="1:3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spans="1:3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spans="1:3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spans="1:3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spans="1:3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spans="1:3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spans="1:3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spans="1:3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spans="1:3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spans="1:3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spans="1:3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spans="1:3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spans="1:3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spans="1:3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spans="1:3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spans="1:3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spans="1:3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spans="1:3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spans="1:3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spans="1:3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spans="1:3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spans="1:3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spans="1:3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spans="1:3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spans="1:3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spans="1:3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spans="1:3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spans="1:3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spans="1:3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spans="1:3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spans="1:3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spans="1:3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spans="1:3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spans="1:3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spans="1:3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spans="1:3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spans="1:3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spans="1:3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spans="1:3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spans="1:3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spans="1:3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spans="1:3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spans="1:3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spans="1:3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spans="1:3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spans="1:3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spans="1:3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spans="1:3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spans="1:3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spans="1:3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spans="1:3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spans="1:3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spans="1:3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spans="1:3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pans="1:3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spans="1:3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spans="1:3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spans="1:3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spans="1:3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spans="1:3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spans="1:3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spans="1:3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spans="1:3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spans="1:3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spans="1:3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spans="1:3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spans="1:3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spans="1:3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spans="1:3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spans="1:3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spans="1:3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spans="1:38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spans="1:38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spans="1:38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spans="1:38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spans="1:38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spans="1:38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spans="1:38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spans="1:38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spans="1:38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spans="1:38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spans="1:38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spans="1:38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spans="1:38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spans="1:38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spans="1:38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 spans="1:38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 spans="1:38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 spans="1:38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 spans="1:38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 spans="1:38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 spans="1:38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 spans="1:38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 spans="1:38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 spans="1:38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 spans="1:38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 spans="1:38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 spans="1:38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 spans="1:38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 spans="1:38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 spans="1:38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</sheetData>
  <mergeCells count="2">
    <mergeCell ref="J6:L6"/>
    <mergeCell ref="R6:T6"/>
  </mergeCells>
  <pageMargins left="0.7" right="0.7" top="0.75" bottom="0.75" header="0" footer="0"/>
  <pageSetup paperSize="9" orientation="portrait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4:Q1000"/>
  <sheetViews>
    <sheetView showGridLines="0" workbookViewId="0"/>
  </sheetViews>
  <sheetFormatPr baseColWidth="10" defaultColWidth="14.42578125" defaultRowHeight="15" customHeight="1" x14ac:dyDescent="0.25"/>
  <cols>
    <col min="1" max="2" width="10.7109375" customWidth="1"/>
    <col min="3" max="3" width="25.140625" customWidth="1"/>
    <col min="4" max="8" width="10.7109375" customWidth="1"/>
    <col min="9" max="9" width="23.140625" customWidth="1"/>
    <col min="10" max="10" width="10.85546875" customWidth="1"/>
    <col min="11" max="26" width="10.7109375" customWidth="1"/>
  </cols>
  <sheetData>
    <row r="4" spans="2:17" x14ac:dyDescent="0.25">
      <c r="D4" s="14" t="str">
        <f>'5. Data'!D4</f>
        <v>PCI</v>
      </c>
      <c r="E4" s="14" t="str">
        <f>'5. Data'!E4</f>
        <v>F.E. CO2eq</v>
      </c>
    </row>
    <row r="5" spans="2:17" x14ac:dyDescent="0.25">
      <c r="D5" s="14"/>
      <c r="E5" s="14" t="str">
        <f>'5. Data'!E5</f>
        <v>kt/PJ</v>
      </c>
      <c r="I5" s="873" t="s">
        <v>1603</v>
      </c>
      <c r="J5" s="829"/>
      <c r="K5" s="829"/>
      <c r="L5" s="829"/>
      <c r="M5" s="829"/>
      <c r="N5" s="829"/>
      <c r="O5" s="829"/>
      <c r="P5" s="829"/>
      <c r="Q5" s="829"/>
    </row>
    <row r="6" spans="2:17" x14ac:dyDescent="0.25">
      <c r="C6" s="12" t="str">
        <f>'5. Data'!C6</f>
        <v>Energético</v>
      </c>
      <c r="D6" s="14" t="str">
        <f>'5. Data'!D6</f>
        <v>TJ/kbl*</v>
      </c>
      <c r="E6" s="14" t="str">
        <f>'5. Data'!E6</f>
        <v>t/TJ</v>
      </c>
      <c r="I6" s="782"/>
      <c r="J6" s="782">
        <v>2014</v>
      </c>
      <c r="K6" s="782">
        <v>2015</v>
      </c>
      <c r="L6" s="782">
        <v>2016</v>
      </c>
      <c r="M6" s="782">
        <v>2017</v>
      </c>
      <c r="N6" s="782">
        <v>2018</v>
      </c>
      <c r="O6" s="782">
        <v>2019</v>
      </c>
      <c r="P6" s="782">
        <v>2020</v>
      </c>
      <c r="Q6" s="782">
        <v>2021</v>
      </c>
    </row>
    <row r="7" spans="2:17" x14ac:dyDescent="0.25">
      <c r="B7" s="14" t="str">
        <f>'5. Data'!B7</f>
        <v>GAS</v>
      </c>
      <c r="C7" s="111" t="str">
        <f>'5. Data'!C7</f>
        <v>Gas Natural</v>
      </c>
      <c r="D7" s="315">
        <f>'5. Data'!D7</f>
        <v>1.0095573442026637</v>
      </c>
      <c r="E7" s="316">
        <f>'5. Data'!E7</f>
        <v>55.539114956987063</v>
      </c>
      <c r="I7" s="783" t="s">
        <v>1604</v>
      </c>
      <c r="J7" s="103">
        <v>1972</v>
      </c>
      <c r="K7" s="103">
        <v>2084</v>
      </c>
      <c r="L7" s="103">
        <v>1849</v>
      </c>
      <c r="M7" s="783">
        <v>1598</v>
      </c>
      <c r="N7" s="783">
        <v>1659</v>
      </c>
      <c r="O7" s="783">
        <v>1727</v>
      </c>
      <c r="P7" s="783">
        <v>1893</v>
      </c>
      <c r="Q7" s="783">
        <v>1770</v>
      </c>
    </row>
    <row r="8" spans="2:17" x14ac:dyDescent="0.25">
      <c r="B8" s="14" t="str">
        <f>'5. Data'!B8</f>
        <v>LOIL</v>
      </c>
      <c r="C8" s="111" t="str">
        <f>'5. Data'!C8</f>
        <v>Petróleo liviano</v>
      </c>
      <c r="D8" s="315">
        <f>'5. Data'!D8</f>
        <v>6.0871741676095334</v>
      </c>
      <c r="E8" s="316">
        <f>'5. Data'!E8</f>
        <v>77.841777688967127</v>
      </c>
      <c r="I8" s="1" t="s">
        <v>1605</v>
      </c>
      <c r="J8" s="12">
        <v>271</v>
      </c>
      <c r="K8" s="12">
        <v>-25</v>
      </c>
      <c r="L8" s="12">
        <v>-54</v>
      </c>
      <c r="M8" s="12">
        <v>174</v>
      </c>
      <c r="N8" s="12">
        <v>121</v>
      </c>
      <c r="O8" s="12">
        <v>83</v>
      </c>
      <c r="P8" s="12">
        <v>-71.5</v>
      </c>
      <c r="Q8" s="12">
        <v>315</v>
      </c>
    </row>
    <row r="9" spans="2:17" x14ac:dyDescent="0.25">
      <c r="B9" s="14" t="str">
        <f>'5. Data'!B9</f>
        <v>MOIL</v>
      </c>
      <c r="C9" s="116" t="str">
        <f>'5. Data'!C9</f>
        <v>Petróleo mediano</v>
      </c>
      <c r="D9" s="222">
        <f>'5. Data'!D9</f>
        <v>6.0871741676095334</v>
      </c>
      <c r="E9" s="317">
        <f>'5. Data'!E9</f>
        <v>77.841777688967127</v>
      </c>
      <c r="I9" s="1" t="s">
        <v>1606</v>
      </c>
      <c r="J9" s="12">
        <v>34</v>
      </c>
      <c r="K9" s="12">
        <v>16</v>
      </c>
      <c r="L9" s="12">
        <v>11</v>
      </c>
      <c r="M9" s="12">
        <v>73</v>
      </c>
      <c r="N9" s="12">
        <v>129</v>
      </c>
      <c r="O9" s="12">
        <v>94</v>
      </c>
      <c r="P9" s="12">
        <v>113</v>
      </c>
      <c r="Q9" s="12">
        <v>139</v>
      </c>
    </row>
    <row r="10" spans="2:17" x14ac:dyDescent="0.25">
      <c r="B10" s="14" t="str">
        <f>'5. Data'!B10</f>
        <v>HOIL</v>
      </c>
      <c r="C10" s="117" t="str">
        <f>'5. Data'!C10</f>
        <v>Petróleo pesado</v>
      </c>
      <c r="D10" s="318">
        <f>'5. Data'!D10</f>
        <v>6.0871741676095334</v>
      </c>
      <c r="E10" s="319">
        <f>'5. Data'!E10</f>
        <v>77.841777688967127</v>
      </c>
      <c r="I10" s="1" t="s">
        <v>1607</v>
      </c>
      <c r="J10" s="12">
        <v>50</v>
      </c>
      <c r="K10" s="12">
        <v>24</v>
      </c>
      <c r="L10" s="12">
        <v>27</v>
      </c>
      <c r="M10" s="12">
        <v>4</v>
      </c>
      <c r="N10" s="12">
        <v>0</v>
      </c>
      <c r="O10" s="12">
        <v>164</v>
      </c>
      <c r="P10" s="12">
        <v>43</v>
      </c>
      <c r="Q10" s="12">
        <v>12</v>
      </c>
    </row>
    <row r="11" spans="2:17" x14ac:dyDescent="0.25">
      <c r="B11" s="14" t="str">
        <f>'5. Data'!B11</f>
        <v>GSL</v>
      </c>
      <c r="C11" s="111" t="str">
        <f>'5. Data'!C11</f>
        <v>Gasolina antes de blending</v>
      </c>
      <c r="D11" s="315">
        <f>'5. Data'!D11</f>
        <v>5.3308987344700309</v>
      </c>
      <c r="E11" s="316">
        <f>'5. Data'!E11</f>
        <v>69.193827140333724</v>
      </c>
      <c r="I11" s="1" t="s">
        <v>1608</v>
      </c>
      <c r="J11" s="12">
        <v>0</v>
      </c>
      <c r="K11" s="12">
        <v>0</v>
      </c>
      <c r="L11" s="12">
        <v>0</v>
      </c>
      <c r="M11" s="12">
        <v>44</v>
      </c>
      <c r="N11" s="12">
        <v>57</v>
      </c>
      <c r="O11" s="12">
        <v>67</v>
      </c>
      <c r="P11" s="12">
        <v>28.9</v>
      </c>
      <c r="Q11" s="12">
        <v>-3.5</v>
      </c>
    </row>
    <row r="12" spans="2:17" x14ac:dyDescent="0.25">
      <c r="B12" s="14" t="str">
        <f>'5. Data'!B12</f>
        <v>DSL</v>
      </c>
      <c r="C12" s="116" t="str">
        <f>'5. Data'!C12</f>
        <v>Diesel antes de blending</v>
      </c>
      <c r="D12" s="222">
        <f>'5. Data'!D12</f>
        <v>5.6708498400612823</v>
      </c>
      <c r="E12" s="317">
        <f>'5. Data'!E12</f>
        <v>75.166375708662926</v>
      </c>
      <c r="I12" s="784" t="s">
        <v>1013</v>
      </c>
      <c r="J12" s="118">
        <v>-243</v>
      </c>
      <c r="K12" s="118">
        <v>-251</v>
      </c>
      <c r="L12" s="118">
        <v>-235</v>
      </c>
      <c r="M12" s="118">
        <v>-234</v>
      </c>
      <c r="N12" s="118">
        <v>-239</v>
      </c>
      <c r="O12" s="118">
        <v>-242</v>
      </c>
      <c r="P12" s="118">
        <v>-236</v>
      </c>
      <c r="Q12" s="118">
        <v>-231</v>
      </c>
    </row>
    <row r="13" spans="2:17" x14ac:dyDescent="0.25">
      <c r="B13" s="14" t="str">
        <f>'5. Data'!B13</f>
        <v>KER</v>
      </c>
      <c r="C13" s="117" t="str">
        <f>'5. Data'!C13</f>
        <v>Keroseno-Jet</v>
      </c>
      <c r="D13" s="318">
        <f>'5. Data'!D13</f>
        <v>4.7117947967516214</v>
      </c>
      <c r="E13" s="319">
        <f>'5. Data'!E13</f>
        <v>87.735056011523966</v>
      </c>
      <c r="I13" s="514" t="s">
        <v>1609</v>
      </c>
      <c r="J13" s="99">
        <f t="shared" ref="J13:Q13" si="0">+SUM(J7:J12)</f>
        <v>2084</v>
      </c>
      <c r="K13" s="99">
        <f t="shared" si="0"/>
        <v>1848</v>
      </c>
      <c r="L13" s="99">
        <f t="shared" si="0"/>
        <v>1598</v>
      </c>
      <c r="M13" s="99">
        <f t="shared" si="0"/>
        <v>1659</v>
      </c>
      <c r="N13" s="99">
        <f t="shared" si="0"/>
        <v>1727</v>
      </c>
      <c r="O13" s="99">
        <f t="shared" si="0"/>
        <v>1893</v>
      </c>
      <c r="P13" s="99">
        <f t="shared" si="0"/>
        <v>1770.4</v>
      </c>
      <c r="Q13" s="99">
        <f t="shared" si="0"/>
        <v>2001.5</v>
      </c>
    </row>
    <row r="14" spans="2:17" x14ac:dyDescent="0.25">
      <c r="B14" s="14" t="str">
        <f>'5. Data'!B14</f>
        <v>LPG</v>
      </c>
      <c r="C14" s="111" t="str">
        <f>'5. Data'!C14</f>
        <v>Gas licuado de Petróleo</v>
      </c>
      <c r="D14" s="315">
        <f>'5. Data'!D14</f>
        <v>4.0562660463586173</v>
      </c>
      <c r="E14" s="316">
        <f>'5. Data'!E14</f>
        <v>47.28933824683137</v>
      </c>
    </row>
    <row r="15" spans="2:17" x14ac:dyDescent="0.25">
      <c r="B15" s="14" t="str">
        <f>'5. Data'!B15</f>
        <v>HFO</v>
      </c>
      <c r="C15" s="116" t="str">
        <f>'5. Data'!C15</f>
        <v>Fuel Oil (Combustoleo</v>
      </c>
      <c r="D15" s="222">
        <f>'5. Data'!D15</f>
        <v>5.4608206169323079</v>
      </c>
      <c r="E15" s="317">
        <f>'5. Data'!E15</f>
        <v>78.281203343664757</v>
      </c>
      <c r="I15" s="514" t="s">
        <v>1610</v>
      </c>
    </row>
    <row r="16" spans="2:17" x14ac:dyDescent="0.25">
      <c r="B16" s="14" t="str">
        <f>'5. Data'!B16</f>
        <v>AVG</v>
      </c>
      <c r="C16" s="116" t="str">
        <f>'5. Data'!C16</f>
        <v>Gasolina de aviación</v>
      </c>
      <c r="D16" s="222">
        <f>'5. Data'!D16</f>
        <v>4.7615165047769556</v>
      </c>
      <c r="E16" s="317">
        <f>'5. Data'!E16</f>
        <v>56.337812381502502</v>
      </c>
      <c r="I16" s="785" t="s">
        <v>1611</v>
      </c>
      <c r="J16" s="40" t="s">
        <v>1101</v>
      </c>
      <c r="K16" s="786">
        <v>0.29699999999999999</v>
      </c>
      <c r="L16" s="40" t="s">
        <v>1101</v>
      </c>
      <c r="M16" s="40" t="s">
        <v>1101</v>
      </c>
      <c r="N16" s="787">
        <v>0.3</v>
      </c>
      <c r="O16" s="787">
        <v>0.27</v>
      </c>
      <c r="P16" s="787">
        <v>0.28999999999999998</v>
      </c>
      <c r="Q16" s="787">
        <v>0.28000000000000003</v>
      </c>
    </row>
    <row r="17" spans="2:17" x14ac:dyDescent="0.25">
      <c r="B17" s="14" t="str">
        <f>'5. Data'!B17</f>
        <v>RFG</v>
      </c>
      <c r="C17" s="117" t="str">
        <f>'5. Data'!C17</f>
        <v>Refinery Gas</v>
      </c>
      <c r="D17" s="318">
        <f>'5. Data'!D17</f>
        <v>4.1867999999999999</v>
      </c>
      <c r="E17" s="319">
        <f>'5. Data'!E17</f>
        <v>40.784041574326501</v>
      </c>
      <c r="I17" s="2" t="s">
        <v>1612</v>
      </c>
      <c r="J17" s="14" t="str">
        <f t="shared" ref="J17:Q17" si="1">+IF(J16="-","-",J13-J18)</f>
        <v>-</v>
      </c>
      <c r="K17" s="402">
        <f t="shared" si="1"/>
        <v>1299.144</v>
      </c>
      <c r="L17" s="402" t="str">
        <f t="shared" si="1"/>
        <v>-</v>
      </c>
      <c r="M17" s="402" t="str">
        <f t="shared" si="1"/>
        <v>-</v>
      </c>
      <c r="N17" s="402">
        <f t="shared" si="1"/>
        <v>1208.9000000000001</v>
      </c>
      <c r="O17" s="402">
        <f t="shared" si="1"/>
        <v>1381.8899999999999</v>
      </c>
      <c r="P17" s="402">
        <f t="shared" si="1"/>
        <v>1256.9840000000002</v>
      </c>
      <c r="Q17" s="402">
        <f t="shared" si="1"/>
        <v>1441.08</v>
      </c>
    </row>
    <row r="18" spans="2:17" x14ac:dyDescent="0.25">
      <c r="B18" s="70" t="str">
        <f>'5. Data'!B18</f>
        <v>*Para todos, menos gas natural, las unidades son TJ/Mpc; PJ/kpc</v>
      </c>
      <c r="I18" s="788" t="s">
        <v>1613</v>
      </c>
      <c r="J18" s="49" t="str">
        <f t="shared" ref="J18:Q18" si="2">+IF(J16="-","-",J16*J13)</f>
        <v>-</v>
      </c>
      <c r="K18" s="789">
        <f t="shared" si="2"/>
        <v>548.85599999999999</v>
      </c>
      <c r="L18" s="789" t="str">
        <f t="shared" si="2"/>
        <v>-</v>
      </c>
      <c r="M18" s="789" t="str">
        <f t="shared" si="2"/>
        <v>-</v>
      </c>
      <c r="N18" s="789">
        <f t="shared" si="2"/>
        <v>518.1</v>
      </c>
      <c r="O18" s="789">
        <f t="shared" si="2"/>
        <v>511.11</v>
      </c>
      <c r="P18" s="789">
        <f t="shared" si="2"/>
        <v>513.41599999999994</v>
      </c>
      <c r="Q18" s="789">
        <f t="shared" si="2"/>
        <v>560.42000000000007</v>
      </c>
    </row>
    <row r="20" spans="2:17" x14ac:dyDescent="0.25">
      <c r="I20" s="790" t="s">
        <v>1614</v>
      </c>
    </row>
    <row r="21" spans="2:17" ht="15.75" customHeight="1" x14ac:dyDescent="0.25">
      <c r="C21" s="12" t="s">
        <v>1333</v>
      </c>
      <c r="D21" s="343">
        <v>6117863200</v>
      </c>
      <c r="E21" s="12" t="s">
        <v>1396</v>
      </c>
      <c r="I21" s="112" t="s">
        <v>1615</v>
      </c>
      <c r="J21" s="791">
        <f t="shared" ref="J21:Q21" si="3">-SUM(J8:J11)/J12</f>
        <v>1.4609053497942386</v>
      </c>
      <c r="K21" s="791">
        <f t="shared" si="3"/>
        <v>5.9760956175298807E-2</v>
      </c>
      <c r="L21" s="791">
        <f t="shared" si="3"/>
        <v>-6.8085106382978725E-2</v>
      </c>
      <c r="M21" s="791">
        <f t="shared" si="3"/>
        <v>1.2606837606837606</v>
      </c>
      <c r="N21" s="791">
        <f t="shared" si="3"/>
        <v>1.2845188284518829</v>
      </c>
      <c r="O21" s="791">
        <f t="shared" si="3"/>
        <v>1.6859504132231404</v>
      </c>
      <c r="P21" s="791">
        <f t="shared" si="3"/>
        <v>0.48050847457627122</v>
      </c>
      <c r="Q21" s="791">
        <f t="shared" si="3"/>
        <v>2.002164502164502</v>
      </c>
    </row>
    <row r="22" spans="2:17" ht="15.75" customHeight="1" x14ac:dyDescent="0.25">
      <c r="C22" s="12" t="s">
        <v>1333</v>
      </c>
      <c r="D22" s="343">
        <f>+D21*1000/(1000000000000)</f>
        <v>6.1178632000000004</v>
      </c>
      <c r="E22" s="12" t="s">
        <v>1317</v>
      </c>
      <c r="I22" s="12" t="s">
        <v>1616</v>
      </c>
      <c r="J22" s="228">
        <f t="shared" ref="J22:Q22" si="4">-J8/J12</f>
        <v>1.1152263374485596</v>
      </c>
      <c r="K22" s="228">
        <f t="shared" si="4"/>
        <v>-9.9601593625498003E-2</v>
      </c>
      <c r="L22" s="228">
        <f t="shared" si="4"/>
        <v>-0.22978723404255319</v>
      </c>
      <c r="M22" s="228">
        <f t="shared" si="4"/>
        <v>0.74358974358974361</v>
      </c>
      <c r="N22" s="228">
        <f t="shared" si="4"/>
        <v>0.50627615062761511</v>
      </c>
      <c r="O22" s="228">
        <f t="shared" si="4"/>
        <v>0.34297520661157027</v>
      </c>
      <c r="P22" s="228">
        <f t="shared" si="4"/>
        <v>-0.30296610169491528</v>
      </c>
      <c r="Q22" s="228">
        <f t="shared" si="4"/>
        <v>1.3636363636363635</v>
      </c>
    </row>
    <row r="23" spans="2:17" ht="15.75" customHeight="1" x14ac:dyDescent="0.25">
      <c r="D23" s="12">
        <v>5800</v>
      </c>
      <c r="E23" s="12" t="s">
        <v>1617</v>
      </c>
      <c r="I23" s="12" t="s">
        <v>1618</v>
      </c>
      <c r="J23" s="228">
        <f t="shared" ref="J23:Q23" si="5">-J9/J12</f>
        <v>0.13991769547325103</v>
      </c>
      <c r="K23" s="228">
        <f t="shared" si="5"/>
        <v>6.3745019920318724E-2</v>
      </c>
      <c r="L23" s="228">
        <f t="shared" si="5"/>
        <v>4.6808510638297871E-2</v>
      </c>
      <c r="M23" s="228">
        <f t="shared" si="5"/>
        <v>0.31196581196581197</v>
      </c>
      <c r="N23" s="228">
        <f t="shared" si="5"/>
        <v>0.53974895397489542</v>
      </c>
      <c r="O23" s="228">
        <f t="shared" si="5"/>
        <v>0.38842975206611569</v>
      </c>
      <c r="P23" s="228">
        <f t="shared" si="5"/>
        <v>0.4788135593220339</v>
      </c>
      <c r="Q23" s="228">
        <f t="shared" si="5"/>
        <v>0.60173160173160178</v>
      </c>
    </row>
    <row r="24" spans="2:17" ht="15.75" customHeight="1" x14ac:dyDescent="0.25">
      <c r="I24" s="12" t="s">
        <v>1619</v>
      </c>
      <c r="J24" s="228">
        <f t="shared" ref="J24:Q24" si="6">-J10/J12</f>
        <v>0.20576131687242799</v>
      </c>
      <c r="K24" s="228">
        <f t="shared" si="6"/>
        <v>9.5617529880478086E-2</v>
      </c>
      <c r="L24" s="228">
        <f t="shared" si="6"/>
        <v>0.1148936170212766</v>
      </c>
      <c r="M24" s="228">
        <f t="shared" si="6"/>
        <v>1.7094017094017096E-2</v>
      </c>
      <c r="N24" s="228">
        <f t="shared" si="6"/>
        <v>0</v>
      </c>
      <c r="O24" s="228">
        <f t="shared" si="6"/>
        <v>0.6776859504132231</v>
      </c>
      <c r="P24" s="228">
        <f t="shared" si="6"/>
        <v>0.18220338983050846</v>
      </c>
      <c r="Q24" s="228">
        <f t="shared" si="6"/>
        <v>5.1948051948051951E-2</v>
      </c>
    </row>
    <row r="25" spans="2:17" ht="15.75" customHeight="1" x14ac:dyDescent="0.25">
      <c r="I25" s="118" t="s">
        <v>1620</v>
      </c>
      <c r="J25" s="792">
        <f t="shared" ref="J25:Q25" si="7">-J11/J12</f>
        <v>0</v>
      </c>
      <c r="K25" s="792">
        <f t="shared" si="7"/>
        <v>0</v>
      </c>
      <c r="L25" s="792">
        <f t="shared" si="7"/>
        <v>0</v>
      </c>
      <c r="M25" s="792">
        <f t="shared" si="7"/>
        <v>0.18803418803418803</v>
      </c>
      <c r="N25" s="792">
        <f t="shared" si="7"/>
        <v>0.2384937238493724</v>
      </c>
      <c r="O25" s="792">
        <f t="shared" si="7"/>
        <v>0.27685950413223143</v>
      </c>
      <c r="P25" s="792">
        <f t="shared" si="7"/>
        <v>0.12245762711864407</v>
      </c>
      <c r="Q25" s="792">
        <f t="shared" si="7"/>
        <v>-1.5151515151515152E-2</v>
      </c>
    </row>
    <row r="26" spans="2:17" ht="15.75" customHeight="1" x14ac:dyDescent="0.25"/>
    <row r="27" spans="2:17" ht="15.75" customHeight="1" x14ac:dyDescent="0.25">
      <c r="I27" s="782" t="s">
        <v>1621</v>
      </c>
      <c r="J27" s="118"/>
      <c r="K27" s="118"/>
      <c r="L27" s="118"/>
      <c r="M27" s="118"/>
      <c r="N27" s="118"/>
      <c r="O27" s="118"/>
      <c r="P27" s="118"/>
      <c r="Q27" s="118"/>
    </row>
    <row r="28" spans="2:17" ht="15.75" customHeight="1" x14ac:dyDescent="0.25">
      <c r="I28" s="12" t="s">
        <v>1437</v>
      </c>
      <c r="J28" s="205">
        <f t="shared" ref="J28:Q28" si="8">+J13/J12</f>
        <v>-8.576131687242798</v>
      </c>
      <c r="K28" s="205">
        <f t="shared" si="8"/>
        <v>-7.3625498007968124</v>
      </c>
      <c r="L28" s="205">
        <f t="shared" si="8"/>
        <v>-6.8</v>
      </c>
      <c r="M28" s="205">
        <f t="shared" si="8"/>
        <v>-7.0897435897435894</v>
      </c>
      <c r="N28" s="205">
        <f t="shared" si="8"/>
        <v>-7.2259414225941425</v>
      </c>
      <c r="O28" s="205">
        <f t="shared" si="8"/>
        <v>-7.8223140495867769</v>
      </c>
      <c r="P28" s="205">
        <f t="shared" si="8"/>
        <v>-7.5016949152542374</v>
      </c>
      <c r="Q28" s="205">
        <f t="shared" si="8"/>
        <v>-8.6645021645021654</v>
      </c>
    </row>
    <row r="29" spans="2:17" ht="15.75" customHeight="1" x14ac:dyDescent="0.25"/>
    <row r="30" spans="2:17" ht="15.75" customHeight="1" x14ac:dyDescent="0.25"/>
    <row r="31" spans="2:17" ht="15.75" customHeight="1" x14ac:dyDescent="0.25"/>
    <row r="32" spans="2:17" ht="15.75" customHeight="1" x14ac:dyDescent="0.25"/>
    <row r="33" spans="9:17" ht="15.75" customHeight="1" x14ac:dyDescent="0.25">
      <c r="I33" s="99" t="s">
        <v>1622</v>
      </c>
      <c r="J33" s="99"/>
      <c r="K33" s="99"/>
      <c r="L33" s="99"/>
      <c r="M33" s="99"/>
    </row>
    <row r="34" spans="9:17" ht="15.75" customHeight="1" x14ac:dyDescent="0.25"/>
    <row r="35" spans="9:17" ht="15.75" customHeight="1" x14ac:dyDescent="0.25">
      <c r="J35" s="99">
        <v>2018</v>
      </c>
      <c r="K35" s="99">
        <v>2019</v>
      </c>
      <c r="L35" s="99">
        <v>2020</v>
      </c>
      <c r="M35" s="99">
        <v>2021</v>
      </c>
    </row>
    <row r="36" spans="9:17" ht="15.75" customHeight="1" x14ac:dyDescent="0.25">
      <c r="I36" s="99" t="s">
        <v>1623</v>
      </c>
      <c r="J36" s="231">
        <f t="array" ref="J36:M36">+N18:Q18</f>
        <v>518.1</v>
      </c>
      <c r="K36" s="231">
        <v>511.11</v>
      </c>
      <c r="L36" s="231">
        <v>513.41599999999994</v>
      </c>
      <c r="M36" s="231">
        <v>560.42000000000007</v>
      </c>
    </row>
    <row r="37" spans="9:17" ht="15.75" customHeight="1" x14ac:dyDescent="0.25">
      <c r="I37" s="99" t="s">
        <v>1624</v>
      </c>
      <c r="J37" s="231">
        <f t="shared" ref="J37:M37" si="9">+J36*(1000000)*$D$23/(1000000000)</f>
        <v>3004.98</v>
      </c>
      <c r="K37" s="231">
        <f t="shared" si="9"/>
        <v>2964.4380000000001</v>
      </c>
      <c r="L37" s="231">
        <f t="shared" si="9"/>
        <v>2977.8127999999997</v>
      </c>
      <c r="M37" s="231">
        <f t="shared" si="9"/>
        <v>3250.4360000000006</v>
      </c>
    </row>
    <row r="38" spans="9:17" ht="15.75" customHeight="1" x14ac:dyDescent="0.25">
      <c r="I38" s="99" t="s">
        <v>1625</v>
      </c>
      <c r="M38" s="205">
        <f>(1840*(1000000000)/D23)/1000000</f>
        <v>317.24137931034483</v>
      </c>
    </row>
    <row r="39" spans="9:17" ht="15.75" customHeight="1" x14ac:dyDescent="0.25"/>
    <row r="40" spans="9:17" ht="15.75" customHeight="1" x14ac:dyDescent="0.25"/>
    <row r="41" spans="9:17" ht="15.75" customHeight="1" x14ac:dyDescent="0.25"/>
    <row r="42" spans="9:17" ht="15.75" customHeight="1" x14ac:dyDescent="0.25"/>
    <row r="43" spans="9:17" ht="15.75" customHeight="1" x14ac:dyDescent="0.25"/>
    <row r="44" spans="9:17" ht="15.75" customHeight="1" x14ac:dyDescent="0.25">
      <c r="I44" s="873" t="s">
        <v>1626</v>
      </c>
      <c r="J44" s="829"/>
      <c r="K44" s="829"/>
      <c r="L44" s="829"/>
      <c r="M44" s="829"/>
      <c r="N44" s="829"/>
      <c r="O44" s="829"/>
      <c r="P44" s="829"/>
      <c r="Q44" s="99"/>
    </row>
    <row r="45" spans="9:17" ht="15.75" customHeight="1" x14ac:dyDescent="0.25">
      <c r="I45" s="118"/>
      <c r="J45" s="874" t="s">
        <v>1627</v>
      </c>
      <c r="K45" s="829"/>
      <c r="L45" s="874" t="s">
        <v>1628</v>
      </c>
      <c r="M45" s="827"/>
      <c r="N45" s="793"/>
      <c r="O45" s="49" t="s">
        <v>1629</v>
      </c>
      <c r="P45" s="794" t="s">
        <v>1628</v>
      </c>
    </row>
    <row r="46" spans="9:17" ht="15.75" customHeight="1" x14ac:dyDescent="0.25">
      <c r="I46" s="12" t="s">
        <v>1630</v>
      </c>
      <c r="J46" s="14">
        <v>2234</v>
      </c>
      <c r="K46" s="14" t="s">
        <v>1631</v>
      </c>
      <c r="L46" s="402">
        <f>+('5. Data'!AF100+'5. Data'!AF101)*$D$7</f>
        <v>1536.6908880451988</v>
      </c>
      <c r="M46" s="14" t="s">
        <v>1631</v>
      </c>
      <c r="N46" s="795" t="s">
        <v>1630</v>
      </c>
      <c r="O46" s="295">
        <f t="shared" ref="O46:O51" si="10">+J46/$J$53</f>
        <v>0.59700694815606625</v>
      </c>
      <c r="P46" s="796">
        <f>+L46/$L$53</f>
        <v>0.82698632788465398</v>
      </c>
    </row>
    <row r="47" spans="9:17" ht="15.75" customHeight="1" x14ac:dyDescent="0.25">
      <c r="I47" s="12" t="s">
        <v>1266</v>
      </c>
      <c r="J47" s="14">
        <v>508</v>
      </c>
      <c r="K47" s="14" t="s">
        <v>1631</v>
      </c>
      <c r="L47" s="14" t="s">
        <v>1101</v>
      </c>
      <c r="M47" s="14"/>
      <c r="N47" s="795" t="s">
        <v>1266</v>
      </c>
      <c r="O47" s="295">
        <f t="shared" si="10"/>
        <v>0.13575628006413681</v>
      </c>
      <c r="P47" s="796" t="s">
        <v>1101</v>
      </c>
    </row>
    <row r="48" spans="9:17" ht="15.75" customHeight="1" x14ac:dyDescent="0.25">
      <c r="I48" s="12" t="s">
        <v>1224</v>
      </c>
      <c r="J48" s="14">
        <v>584</v>
      </c>
      <c r="K48" s="14" t="s">
        <v>1631</v>
      </c>
      <c r="L48" s="402">
        <f>+'5. Data'!AF99-'5. Data'!AF69</f>
        <v>243.24624083200007</v>
      </c>
      <c r="M48" s="14" t="s">
        <v>1631</v>
      </c>
      <c r="N48" s="795" t="s">
        <v>1224</v>
      </c>
      <c r="O48" s="295">
        <f t="shared" si="10"/>
        <v>0.15606627471940138</v>
      </c>
      <c r="P48" s="796">
        <f t="shared" ref="P48:P52" si="11">+L48/$L$53</f>
        <v>0.13090551720085761</v>
      </c>
    </row>
    <row r="49" spans="9:16" ht="15.75" customHeight="1" x14ac:dyDescent="0.25">
      <c r="I49" s="12" t="s">
        <v>1249</v>
      </c>
      <c r="J49" s="14">
        <v>226</v>
      </c>
      <c r="K49" s="14" t="s">
        <v>1631</v>
      </c>
      <c r="L49" s="402">
        <f>+'5. Data'!AF103</f>
        <v>30.707442634670208</v>
      </c>
      <c r="M49" s="14" t="s">
        <v>1631</v>
      </c>
      <c r="N49" s="795" t="s">
        <v>1249</v>
      </c>
      <c r="O49" s="295">
        <f t="shared" si="10"/>
        <v>6.0395510422234101E-2</v>
      </c>
      <c r="P49" s="796">
        <f t="shared" si="11"/>
        <v>1.6525532506722097E-2</v>
      </c>
    </row>
    <row r="50" spans="9:16" ht="15.75" customHeight="1" x14ac:dyDescent="0.25">
      <c r="I50" s="12" t="s">
        <v>1632</v>
      </c>
      <c r="J50" s="14">
        <v>168</v>
      </c>
      <c r="K50" s="14" t="s">
        <v>1631</v>
      </c>
      <c r="L50" s="402">
        <f>+'5. Data'!AF69</f>
        <v>23.492594688000001</v>
      </c>
      <c r="M50" s="14" t="s">
        <v>1631</v>
      </c>
      <c r="N50" s="795" t="s">
        <v>1632</v>
      </c>
      <c r="O50" s="295">
        <f t="shared" si="10"/>
        <v>4.4895777659005882E-2</v>
      </c>
      <c r="P50" s="796">
        <f t="shared" si="11"/>
        <v>1.2642786369499321E-2</v>
      </c>
    </row>
    <row r="51" spans="9:16" ht="15.75" customHeight="1" x14ac:dyDescent="0.25">
      <c r="I51" s="12" t="s">
        <v>1258</v>
      </c>
      <c r="J51" s="14">
        <v>22</v>
      </c>
      <c r="K51" s="14" t="s">
        <v>1631</v>
      </c>
      <c r="L51" s="402">
        <f>+'5. Data'!AF104</f>
        <v>13.932585988360662</v>
      </c>
      <c r="M51" s="14" t="s">
        <v>1631</v>
      </c>
      <c r="N51" s="795" t="s">
        <v>1258</v>
      </c>
      <c r="O51" s="295">
        <f t="shared" si="10"/>
        <v>5.8792089791555322E-3</v>
      </c>
      <c r="P51" s="796">
        <f t="shared" si="11"/>
        <v>7.4979673622641192E-3</v>
      </c>
    </row>
    <row r="52" spans="9:16" ht="15.75" customHeight="1" x14ac:dyDescent="0.25">
      <c r="I52" s="12" t="s">
        <v>1633</v>
      </c>
      <c r="J52" s="49" t="s">
        <v>1101</v>
      </c>
      <c r="K52" s="49"/>
      <c r="L52" s="789">
        <f>+'5. Data'!AF102</f>
        <v>10.111980967983444</v>
      </c>
      <c r="M52" s="794" t="s">
        <v>1631</v>
      </c>
      <c r="N52" s="793" t="s">
        <v>1633</v>
      </c>
      <c r="O52" s="797" t="s">
        <v>1101</v>
      </c>
      <c r="P52" s="798">
        <f t="shared" si="11"/>
        <v>5.4418686760028282E-3</v>
      </c>
    </row>
    <row r="53" spans="9:16" ht="15.75" customHeight="1" x14ac:dyDescent="0.25">
      <c r="J53" s="14">
        <f>+SUM(J46:J51)</f>
        <v>3742</v>
      </c>
      <c r="K53" s="14" t="s">
        <v>1631</v>
      </c>
      <c r="L53" s="402">
        <f>+SUM(L46:L52)</f>
        <v>1858.1817331562133</v>
      </c>
      <c r="M53" s="14" t="s">
        <v>1631</v>
      </c>
    </row>
    <row r="54" spans="9:16" ht="15.75" customHeight="1" x14ac:dyDescent="0.25"/>
    <row r="55" spans="9:16" ht="15.75" customHeight="1" x14ac:dyDescent="0.25"/>
    <row r="56" spans="9:16" ht="15.75" customHeight="1" x14ac:dyDescent="0.25"/>
    <row r="57" spans="9:16" ht="15.75" customHeight="1" x14ac:dyDescent="0.25">
      <c r="I57" s="873" t="s">
        <v>1634</v>
      </c>
      <c r="J57" s="829"/>
      <c r="K57" s="829"/>
      <c r="L57" s="829"/>
      <c r="M57" s="829"/>
      <c r="N57" s="829"/>
      <c r="O57" s="829"/>
      <c r="P57" s="829"/>
    </row>
    <row r="58" spans="9:16" ht="15.75" customHeight="1" x14ac:dyDescent="0.25">
      <c r="J58" s="799" t="s">
        <v>1635</v>
      </c>
      <c r="K58" s="799" t="s">
        <v>1636</v>
      </c>
      <c r="L58" s="799" t="s">
        <v>1637</v>
      </c>
      <c r="M58" s="800" t="s">
        <v>1635</v>
      </c>
      <c r="N58" s="799" t="s">
        <v>1636</v>
      </c>
      <c r="O58" s="801" t="s">
        <v>1637</v>
      </c>
    </row>
    <row r="59" spans="9:16" ht="15.75" customHeight="1" x14ac:dyDescent="0.25">
      <c r="I59" s="12" t="s">
        <v>1630</v>
      </c>
      <c r="J59" s="214">
        <v>2234</v>
      </c>
      <c r="K59" s="214">
        <v>322</v>
      </c>
      <c r="L59" s="214">
        <v>16</v>
      </c>
      <c r="M59" s="802">
        <f t="shared" ref="M59:O59" si="12">+J59/J$69</f>
        <v>0.59053661115516787</v>
      </c>
      <c r="N59" s="228">
        <f t="shared" si="12"/>
        <v>0.40707964601769914</v>
      </c>
      <c r="O59" s="363">
        <f t="shared" si="12"/>
        <v>3.9024390243902439E-2</v>
      </c>
    </row>
    <row r="60" spans="9:16" ht="15.75" customHeight="1" x14ac:dyDescent="0.25">
      <c r="I60" s="12" t="s">
        <v>1266</v>
      </c>
      <c r="J60" s="214">
        <v>508</v>
      </c>
      <c r="K60" s="214">
        <v>223</v>
      </c>
      <c r="L60" s="214">
        <v>229</v>
      </c>
      <c r="M60" s="802">
        <f t="shared" ref="M60:O60" si="13">+J60/J$69</f>
        <v>0.13428495902722706</v>
      </c>
      <c r="N60" s="228">
        <f t="shared" si="13"/>
        <v>0.28192161820480405</v>
      </c>
      <c r="O60" s="363">
        <f t="shared" si="13"/>
        <v>0.55853658536585371</v>
      </c>
    </row>
    <row r="61" spans="9:16" ht="15.75" customHeight="1" x14ac:dyDescent="0.25">
      <c r="I61" s="12" t="s">
        <v>1224</v>
      </c>
      <c r="J61" s="214">
        <v>584</v>
      </c>
      <c r="K61" s="214">
        <v>22</v>
      </c>
      <c r="L61" s="214">
        <v>22</v>
      </c>
      <c r="M61" s="802">
        <f t="shared" ref="M61:O61" si="14">+J61/J$69</f>
        <v>0.15437483478720593</v>
      </c>
      <c r="N61" s="228">
        <f t="shared" si="14"/>
        <v>2.7812895069532238E-2</v>
      </c>
      <c r="O61" s="363">
        <f t="shared" si="14"/>
        <v>5.3658536585365853E-2</v>
      </c>
    </row>
    <row r="62" spans="9:16" ht="15.75" customHeight="1" x14ac:dyDescent="0.25">
      <c r="I62" s="12" t="s">
        <v>1249</v>
      </c>
      <c r="J62" s="214">
        <v>226</v>
      </c>
      <c r="K62" s="214">
        <v>115</v>
      </c>
      <c r="L62" s="214">
        <v>73</v>
      </c>
      <c r="M62" s="802">
        <f t="shared" ref="M62:O62" si="15">+J62/J$69</f>
        <v>5.9740946338884486E-2</v>
      </c>
      <c r="N62" s="228">
        <f t="shared" si="15"/>
        <v>0.14538558786346398</v>
      </c>
      <c r="O62" s="363">
        <f t="shared" si="15"/>
        <v>0.17804878048780487</v>
      </c>
    </row>
    <row r="63" spans="9:16" ht="15.75" customHeight="1" x14ac:dyDescent="0.25">
      <c r="I63" s="12" t="s">
        <v>1632</v>
      </c>
      <c r="J63" s="214">
        <v>168</v>
      </c>
      <c r="K63" s="214">
        <v>85</v>
      </c>
      <c r="L63" s="214">
        <v>56</v>
      </c>
      <c r="M63" s="802">
        <f t="shared" ref="M63:O63" si="16">+J63/J$69</f>
        <v>4.4409199048374308E-2</v>
      </c>
      <c r="N63" s="228">
        <f t="shared" si="16"/>
        <v>0.10745891276864729</v>
      </c>
      <c r="O63" s="363">
        <f t="shared" si="16"/>
        <v>0.13658536585365855</v>
      </c>
    </row>
    <row r="64" spans="9:16" ht="15.75" customHeight="1" x14ac:dyDescent="0.25">
      <c r="I64" s="12" t="s">
        <v>1258</v>
      </c>
      <c r="J64" s="214">
        <v>22</v>
      </c>
      <c r="K64" s="214">
        <v>0</v>
      </c>
      <c r="L64" s="214">
        <v>0</v>
      </c>
      <c r="M64" s="802">
        <f t="shared" ref="M64:O64" si="17">+J64/J$69</f>
        <v>5.815490351572826E-3</v>
      </c>
      <c r="N64" s="228">
        <f t="shared" si="17"/>
        <v>0</v>
      </c>
      <c r="O64" s="363">
        <f t="shared" si="17"/>
        <v>0</v>
      </c>
    </row>
    <row r="65" spans="9:17" ht="15.75" customHeight="1" x14ac:dyDescent="0.25">
      <c r="I65" s="12" t="s">
        <v>1633</v>
      </c>
      <c r="J65" s="214" t="s">
        <v>1101</v>
      </c>
      <c r="K65" s="214" t="s">
        <v>1101</v>
      </c>
      <c r="L65" s="214" t="s">
        <v>1101</v>
      </c>
      <c r="M65" s="802"/>
      <c r="N65" s="228"/>
      <c r="O65" s="363"/>
    </row>
    <row r="66" spans="9:17" ht="15.75" customHeight="1" x14ac:dyDescent="0.25">
      <c r="I66" s="12" t="s">
        <v>1638</v>
      </c>
      <c r="J66" s="214">
        <v>17</v>
      </c>
      <c r="K66" s="214">
        <v>8</v>
      </c>
      <c r="L66" s="214">
        <v>7</v>
      </c>
      <c r="M66" s="802">
        <f t="shared" ref="M66:O66" si="18">+J66/J$69</f>
        <v>4.4937879989426378E-3</v>
      </c>
      <c r="N66" s="228">
        <f t="shared" si="18"/>
        <v>1.0113780025284451E-2</v>
      </c>
      <c r="O66" s="363">
        <f t="shared" si="18"/>
        <v>1.7073170731707318E-2</v>
      </c>
    </row>
    <row r="67" spans="9:17" ht="15.75" customHeight="1" x14ac:dyDescent="0.25">
      <c r="I67" s="12" t="s">
        <v>1639</v>
      </c>
      <c r="J67" s="214">
        <v>17</v>
      </c>
      <c r="K67" s="214">
        <v>7</v>
      </c>
      <c r="L67" s="214">
        <v>5</v>
      </c>
      <c r="M67" s="802">
        <f t="shared" ref="M67:O67" si="19">+J67/J$69</f>
        <v>4.4937879989426378E-3</v>
      </c>
      <c r="N67" s="228">
        <f t="shared" si="19"/>
        <v>8.8495575221238937E-3</v>
      </c>
      <c r="O67" s="363">
        <f t="shared" si="19"/>
        <v>1.2195121951219513E-2</v>
      </c>
    </row>
    <row r="68" spans="9:17" ht="15.75" customHeight="1" x14ac:dyDescent="0.25">
      <c r="I68" s="12" t="s">
        <v>1640</v>
      </c>
      <c r="J68" s="214">
        <v>7</v>
      </c>
      <c r="K68" s="214">
        <v>9</v>
      </c>
      <c r="L68" s="214">
        <v>2</v>
      </c>
      <c r="M68" s="802">
        <f t="shared" ref="M68:O68" si="20">+J68/J$69</f>
        <v>1.8503832936822627E-3</v>
      </c>
      <c r="N68" s="228">
        <f t="shared" si="20"/>
        <v>1.1378002528445006E-2</v>
      </c>
      <c r="O68" s="363">
        <f t="shared" si="20"/>
        <v>4.8780487804878049E-3</v>
      </c>
    </row>
    <row r="69" spans="9:17" ht="15.75" customHeight="1" x14ac:dyDescent="0.25">
      <c r="I69" s="14" t="s">
        <v>1641</v>
      </c>
      <c r="J69" s="14">
        <f t="shared" ref="J69:L69" si="21">+SUM(J59:J68)</f>
        <v>3783</v>
      </c>
      <c r="K69" s="14">
        <f t="shared" si="21"/>
        <v>791</v>
      </c>
      <c r="L69" s="14">
        <f t="shared" si="21"/>
        <v>410</v>
      </c>
      <c r="M69" s="803">
        <f t="shared" ref="M69:O69" si="22">+J69/J$69</f>
        <v>1</v>
      </c>
      <c r="N69" s="792">
        <f t="shared" si="22"/>
        <v>1</v>
      </c>
      <c r="O69" s="804">
        <f t="shared" si="22"/>
        <v>1</v>
      </c>
    </row>
    <row r="70" spans="9:17" ht="15.75" customHeight="1" x14ac:dyDescent="0.25">
      <c r="J70" s="295">
        <v>1</v>
      </c>
      <c r="K70" s="295">
        <f>+K69/J69</f>
        <v>0.2090933121860957</v>
      </c>
      <c r="L70" s="295">
        <f>+L69/J69</f>
        <v>0.10837959291567539</v>
      </c>
      <c r="N70" s="228"/>
      <c r="O70" s="363"/>
    </row>
    <row r="71" spans="9:17" ht="15.75" customHeight="1" x14ac:dyDescent="0.25"/>
    <row r="72" spans="9:17" ht="15.75" customHeight="1" x14ac:dyDescent="0.25"/>
    <row r="73" spans="9:17" ht="15.75" customHeight="1" x14ac:dyDescent="0.25"/>
    <row r="74" spans="9:17" ht="15.75" customHeight="1" x14ac:dyDescent="0.25"/>
    <row r="75" spans="9:17" ht="15.75" customHeight="1" x14ac:dyDescent="0.25">
      <c r="I75" s="12" t="s">
        <v>1622</v>
      </c>
    </row>
    <row r="76" spans="9:17" ht="15.75" customHeight="1" x14ac:dyDescent="0.25">
      <c r="J76" s="118">
        <v>2018</v>
      </c>
      <c r="K76" s="118">
        <v>2020</v>
      </c>
      <c r="L76" s="118">
        <v>2021</v>
      </c>
      <c r="M76" s="102">
        <v>2018</v>
      </c>
      <c r="N76" s="103">
        <v>2020</v>
      </c>
      <c r="O76" s="805">
        <v>2021</v>
      </c>
    </row>
    <row r="77" spans="9:17" ht="15.75" customHeight="1" x14ac:dyDescent="0.25">
      <c r="I77" s="12" t="s">
        <v>1635</v>
      </c>
      <c r="J77" s="12">
        <f>+J69</f>
        <v>3783</v>
      </c>
      <c r="K77" s="12">
        <v>2949</v>
      </c>
      <c r="L77" s="12">
        <v>3164</v>
      </c>
      <c r="M77" s="802">
        <v>1</v>
      </c>
      <c r="N77" s="228">
        <v>1</v>
      </c>
      <c r="O77" s="363">
        <v>1</v>
      </c>
    </row>
    <row r="78" spans="9:17" ht="15.75" customHeight="1" x14ac:dyDescent="0.25">
      <c r="I78" s="12" t="s">
        <v>1636</v>
      </c>
      <c r="J78" s="12">
        <f>+K69</f>
        <v>791</v>
      </c>
      <c r="K78" s="12">
        <v>632</v>
      </c>
      <c r="L78" s="12">
        <v>689</v>
      </c>
      <c r="M78" s="802">
        <f t="shared" ref="M78:O78" si="23">+J78/J77</f>
        <v>0.2090933121860957</v>
      </c>
      <c r="N78" s="802">
        <f t="shared" si="23"/>
        <v>0.21430993557138012</v>
      </c>
      <c r="O78" s="802">
        <f t="shared" si="23"/>
        <v>0.21776232616940583</v>
      </c>
      <c r="Q78" s="228">
        <f t="shared" ref="Q78:Q79" si="24">+AVERAGE(M78:O78)</f>
        <v>0.21372185797562723</v>
      </c>
    </row>
    <row r="79" spans="9:17" ht="15.75" customHeight="1" x14ac:dyDescent="0.25">
      <c r="I79" s="12" t="s">
        <v>1637</v>
      </c>
      <c r="J79" s="12">
        <f>+L69</f>
        <v>410</v>
      </c>
      <c r="K79" s="12">
        <v>450</v>
      </c>
      <c r="L79" s="12">
        <v>640</v>
      </c>
      <c r="M79" s="803">
        <f t="shared" ref="M79:O79" si="25">+J79/J77</f>
        <v>0.10837959291567539</v>
      </c>
      <c r="N79" s="803">
        <f t="shared" si="25"/>
        <v>0.1525940996948118</v>
      </c>
      <c r="O79" s="803">
        <f t="shared" si="25"/>
        <v>0.20227560050568899</v>
      </c>
      <c r="Q79" s="228">
        <f t="shared" si="24"/>
        <v>0.1544164310387254</v>
      </c>
    </row>
    <row r="80" spans="9:17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5">
    <mergeCell ref="I5:Q5"/>
    <mergeCell ref="I44:P44"/>
    <mergeCell ref="J45:K45"/>
    <mergeCell ref="L45:M45"/>
    <mergeCell ref="I57:P57"/>
  </mergeCells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COMM</vt:lpstr>
      <vt:lpstr>PROCESS</vt:lpstr>
      <vt:lpstr>Bases de Cálculo</vt:lpstr>
      <vt:lpstr>1. EXP_IMP</vt:lpstr>
      <vt:lpstr>2. DEM</vt:lpstr>
      <vt:lpstr>3. Scope3</vt:lpstr>
      <vt:lpstr>4. Refinerys Data</vt:lpstr>
      <vt:lpstr>4.1 Ref_Cart</vt:lpstr>
      <vt:lpstr>4.2 Ref_Barranca</vt:lpstr>
      <vt:lpstr>5. ANH</vt:lpstr>
      <vt:lpstr>5. GlobalData</vt:lpstr>
      <vt:lpstr>5. Data</vt:lpstr>
      <vt:lpstr>5. Oilfields</vt:lpstr>
      <vt:lpstr>General_SEC_SGC</vt:lpstr>
      <vt:lpstr>6. a Reservas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2022-12-05T19:56:51Z</dcterms:created>
  <dcterms:modified xsi:type="dcterms:W3CDTF">2022-12-13T02:46:38Z</dcterms:modified>
</cp:coreProperties>
</file>