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936AF100-C0D3-422C-8B21-330611FB0F56}" xr6:coauthVersionLast="47" xr6:coauthVersionMax="47" xr10:uidLastSave="{00000000-0000-0000-0000-000000000000}"/>
  <bookViews>
    <workbookView xWindow="0" yWindow="15" windowWidth="20490" windowHeight="10905" firstSheet="13" activeTab="14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EXP_IMP'!$I$233:$Q$233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4" i="13" l="1"/>
  <c r="DD28" i="13"/>
  <c r="DD27" i="13"/>
  <c r="DD26" i="13"/>
  <c r="CV31" i="13"/>
  <c r="CV32" i="13"/>
  <c r="CL18" i="13"/>
  <c r="CL16" i="13"/>
  <c r="CL14" i="13"/>
  <c r="CL12" i="13"/>
  <c r="CL10" i="13"/>
  <c r="CD18" i="13"/>
  <c r="CD16" i="13"/>
  <c r="CD14" i="13"/>
  <c r="CD12" i="13"/>
  <c r="CD10" i="13"/>
  <c r="DY10" i="13"/>
  <c r="DY11" i="13"/>
  <c r="DY12" i="13"/>
  <c r="DY13" i="13"/>
  <c r="DY14" i="13"/>
  <c r="DY15" i="13"/>
  <c r="DY9" i="13"/>
  <c r="DX15" i="13"/>
  <c r="DW10" i="13"/>
  <c r="DW11" i="13"/>
  <c r="DW12" i="13"/>
  <c r="DW13" i="13"/>
  <c r="DW14" i="13"/>
  <c r="DW15" i="13"/>
  <c r="DW9" i="13"/>
  <c r="DY28" i="13"/>
  <c r="DX23" i="13"/>
  <c r="DX24" i="13"/>
  <c r="DX25" i="13"/>
  <c r="DX26" i="13"/>
  <c r="DX27" i="13"/>
  <c r="DX28" i="13"/>
  <c r="DX22" i="13"/>
  <c r="DW28" i="13"/>
  <c r="DW23" i="13"/>
  <c r="DW24" i="13"/>
  <c r="DW25" i="13"/>
  <c r="DW26" i="13"/>
  <c r="DW27" i="13"/>
  <c r="DW22" i="13"/>
  <c r="DT28" i="13"/>
  <c r="DS23" i="13"/>
  <c r="DS24" i="13"/>
  <c r="DS25" i="13"/>
  <c r="DS26" i="13"/>
  <c r="DS27" i="13"/>
  <c r="DS28" i="13"/>
  <c r="DS22" i="13"/>
  <c r="DR23" i="13"/>
  <c r="DR24" i="13"/>
  <c r="DR25" i="13"/>
  <c r="DR26" i="13"/>
  <c r="DR27" i="13"/>
  <c r="DR28" i="13"/>
  <c r="DR22" i="13"/>
  <c r="DT10" i="13"/>
  <c r="DT11" i="13"/>
  <c r="DT12" i="13"/>
  <c r="DT13" i="13"/>
  <c r="DT14" i="13"/>
  <c r="DT15" i="13"/>
  <c r="DT9" i="13"/>
  <c r="DS15" i="13"/>
  <c r="DR10" i="13"/>
  <c r="DR11" i="13"/>
  <c r="DR12" i="13"/>
  <c r="DR13" i="13"/>
  <c r="DR14" i="13"/>
  <c r="DR15" i="13"/>
  <c r="DR9" i="13"/>
  <c r="DO26" i="13"/>
  <c r="DO28" i="13"/>
  <c r="DN24" i="13"/>
  <c r="DN23" i="13"/>
  <c r="DM23" i="13"/>
  <c r="DM24" i="13"/>
  <c r="DM25" i="13"/>
  <c r="DM26" i="13"/>
  <c r="DM27" i="13"/>
  <c r="DM28" i="13"/>
  <c r="DM22" i="13"/>
  <c r="DO11" i="13"/>
  <c r="DO10" i="13"/>
  <c r="DN15" i="13"/>
  <c r="DM14" i="13"/>
  <c r="DM15" i="13"/>
  <c r="DM10" i="13"/>
  <c r="DM11" i="13"/>
  <c r="DM12" i="13"/>
  <c r="DM13" i="13"/>
  <c r="DM9" i="13"/>
  <c r="BW17" i="13"/>
  <c r="BJ15" i="13" a="1"/>
  <c r="BJ15" i="13" s="1"/>
  <c r="BJ12" i="13" a="1"/>
  <c r="BJ12" i="13" s="1"/>
  <c r="AA222" i="12"/>
  <c r="AB222" i="12"/>
  <c r="Z222" i="12"/>
  <c r="Z221" i="12"/>
  <c r="BG15" i="13" a="1"/>
  <c r="BG15" i="13" s="1"/>
  <c r="BG12" i="13" a="1"/>
  <c r="BG12" i="13" s="1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9" i="13"/>
  <c r="BF17" i="13"/>
  <c r="BF16" i="13"/>
  <c r="BF14" i="13"/>
  <c r="BF13" i="13"/>
  <c r="BF15" i="13"/>
  <c r="BF12" i="13"/>
  <c r="BF9" i="13"/>
  <c r="BF11" i="13" s="1"/>
  <c r="BF10" i="13"/>
  <c r="BF18" i="13"/>
  <c r="BF19" i="13"/>
  <c r="BF20" i="13" s="1"/>
  <c r="BF21" i="13"/>
  <c r="BF22" i="13"/>
  <c r="BF23" i="13"/>
  <c r="BF24" i="13"/>
  <c r="BF25" i="13" s="1"/>
  <c r="BF26" i="13" s="1"/>
  <c r="BF27" i="13"/>
  <c r="BE29" i="13"/>
  <c r="BE10" i="13"/>
  <c r="BE11" i="13"/>
  <c r="BE12" i="13"/>
  <c r="BE13" i="13"/>
  <c r="BE14" i="13"/>
  <c r="BE15" i="13"/>
  <c r="BE16" i="13"/>
  <c r="BE17" i="13"/>
  <c r="BE18" i="13"/>
  <c r="BE19" i="13"/>
  <c r="BE20" i="13"/>
  <c r="BE21" i="13"/>
  <c r="BE22" i="13"/>
  <c r="BE23" i="13"/>
  <c r="BE24" i="13"/>
  <c r="BE25" i="13"/>
  <c r="BE26" i="13"/>
  <c r="BE27" i="13"/>
  <c r="BE28" i="13"/>
  <c r="BE9" i="13"/>
  <c r="BD28" i="13"/>
  <c r="BD29" i="13"/>
  <c r="BD26" i="13"/>
  <c r="BD27" i="13"/>
  <c r="BD23" i="13"/>
  <c r="BD24" i="13"/>
  <c r="BD25" i="13"/>
  <c r="BD12" i="13"/>
  <c r="BD13" i="13"/>
  <c r="BD14" i="13"/>
  <c r="BD15" i="13"/>
  <c r="BD16" i="13"/>
  <c r="BD17" i="13"/>
  <c r="BD18" i="13"/>
  <c r="BD19" i="13"/>
  <c r="BD20" i="13"/>
  <c r="BD21" i="13"/>
  <c r="BD22" i="13"/>
  <c r="BD10" i="13"/>
  <c r="BD11" i="13"/>
  <c r="BD9" i="13"/>
  <c r="BA28" i="13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15" i="13"/>
  <c r="AV30" i="13"/>
  <c r="AV27" i="13"/>
  <c r="AV24" i="13"/>
  <c r="AV21" i="13"/>
  <c r="AV18" i="13"/>
  <c r="AV14" i="13"/>
  <c r="AV11" i="13"/>
  <c r="AV13" i="13"/>
  <c r="AV29" i="13"/>
  <c r="AV26" i="13"/>
  <c r="AV23" i="13"/>
  <c r="AV20" i="13"/>
  <c r="AV17" i="13"/>
  <c r="AV10" i="13"/>
  <c r="AV28" i="13"/>
  <c r="AV12" i="13"/>
  <c r="AV16" i="13"/>
  <c r="AV19" i="13"/>
  <c r="AV22" i="13"/>
  <c r="AV25" i="13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Q56" i="13"/>
  <c r="AO37" i="13"/>
  <c r="AO35" i="13"/>
  <c r="AO33" i="13"/>
  <c r="AO31" i="13"/>
  <c r="AO29" i="13"/>
  <c r="AO27" i="13"/>
  <c r="AO25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Q19" i="13" l="1"/>
  <c r="AQ15" i="13"/>
  <c r="AQ11" i="13"/>
  <c r="AQ22" i="13"/>
  <c r="AQ18" i="13"/>
  <c r="AQ14" i="13"/>
  <c r="AQ10" i="13"/>
  <c r="AQ21" i="13"/>
  <c r="AQ17" i="13"/>
  <c r="AQ13" i="13"/>
  <c r="AQ20" i="13"/>
  <c r="AQ12" i="13"/>
  <c r="D78" i="4"/>
  <c r="D73" i="4"/>
  <c r="I77" i="4"/>
  <c r="I76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S34" i="13" s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DE26" i="13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DE32" i="13"/>
  <c r="DI15" i="13" s="1"/>
  <c r="DE31" i="13"/>
  <c r="DE30" i="13"/>
  <c r="DI13" i="13" s="1"/>
  <c r="DE29" i="13"/>
  <c r="DH28" i="13"/>
  <c r="DE28" i="13"/>
  <c r="DI27" i="13"/>
  <c r="DE27" i="13"/>
  <c r="DI10" i="13" s="1"/>
  <c r="R22" i="13"/>
  <c r="BG27" i="13" a="1"/>
  <c r="BG28" i="13" s="1"/>
  <c r="BF28" i="13"/>
  <c r="AX28" i="13" a="1"/>
  <c r="AW29" i="13"/>
  <c r="AW30" i="13" s="1"/>
  <c r="R20" i="13"/>
  <c r="BG24" i="13" a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21" i="13" a="1"/>
  <c r="AX22" i="13" a="1"/>
  <c r="AX22" i="13" s="1"/>
  <c r="AW22" i="13"/>
  <c r="DO13" i="13" s="1"/>
  <c r="G15" i="13"/>
  <c r="DX14" i="13"/>
  <c r="DS14" i="13"/>
  <c r="DN14" i="13"/>
  <c r="DI14" i="13"/>
  <c r="G14" i="13"/>
  <c r="DX13" i="13"/>
  <c r="DS13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G13" i="13"/>
  <c r="DX12" i="13"/>
  <c r="DS12" i="13"/>
  <c r="DN12" i="13"/>
  <c r="DI12" i="13"/>
  <c r="CQ12" i="13"/>
  <c r="CM15" i="13" s="1"/>
  <c r="CM16" i="13" s="1"/>
  <c r="CI12" i="13"/>
  <c r="CE15" i="13" s="1"/>
  <c r="CE16" i="13" s="1"/>
  <c r="CH12" i="13"/>
  <c r="BG18" i="13" a="1"/>
  <c r="AX19" i="13" a="1"/>
  <c r="AW19" i="13"/>
  <c r="AW20" i="13" s="1"/>
  <c r="AW21" i="13" s="1"/>
  <c r="AU19" i="13" a="1"/>
  <c r="AU30" i="13" s="1"/>
  <c r="G12" i="13"/>
  <c r="DX11" i="13"/>
  <c r="DS11" i="13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G11" i="13"/>
  <c r="DX10" i="13"/>
  <c r="DS10" i="13"/>
  <c r="DN10" i="13"/>
  <c r="CQ10" i="13"/>
  <c r="CM11" i="13" s="1"/>
  <c r="CM12" i="13" s="1"/>
  <c r="CI10" i="13"/>
  <c r="CE11" i="13" s="1"/>
  <c r="CE12" i="13" s="1"/>
  <c r="CH10" i="13"/>
  <c r="R10" i="13"/>
  <c r="G10" i="13"/>
  <c r="CV29" i="13"/>
  <c r="DX9" i="13"/>
  <c r="DS9" i="13"/>
  <c r="DN9" i="13"/>
  <c r="DI9" i="13"/>
  <c r="CQ9" i="13"/>
  <c r="CM9" i="13" s="1"/>
  <c r="CM10" i="13" s="1"/>
  <c r="CK9" i="13"/>
  <c r="CO9" i="13" s="1"/>
  <c r="CH9" i="13"/>
  <c r="CC9" i="13"/>
  <c r="CG9" i="13" s="1"/>
  <c r="BG9" i="13" a="1"/>
  <c r="BG11" i="13" s="1"/>
  <c r="AX9" i="13" a="1"/>
  <c r="AX9" i="13" s="1"/>
  <c r="AW9" i="13"/>
  <c r="DO9" i="13" s="1"/>
  <c r="AU9" i="13" a="1"/>
  <c r="N9" i="13" a="1"/>
  <c r="N20" i="13" s="1"/>
  <c r="G9" i="13"/>
  <c r="AB226" i="12"/>
  <c r="AA226" i="12"/>
  <c r="Z226" i="12"/>
  <c r="BJ27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T193" i="12"/>
  <c r="N196" i="12" s="1"/>
  <c r="CP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J94" i="4"/>
  <c r="J93" i="4"/>
  <c r="K86" i="4"/>
  <c r="K87" i="4" s="1"/>
  <c r="L87" i="4" s="1"/>
  <c r="L85" i="4"/>
  <c r="S67" i="4"/>
  <c r="R67" i="4"/>
  <c r="Q67" i="4"/>
  <c r="P67" i="4"/>
  <c r="O67" i="4"/>
  <c r="N67" i="4"/>
  <c r="M67" i="4"/>
  <c r="L67" i="4"/>
  <c r="I66" i="4"/>
  <c r="DR34" i="13" s="1"/>
  <c r="J54" i="4"/>
  <c r="K67" i="4" s="1"/>
  <c r="I53" i="4"/>
  <c r="E44" i="4"/>
  <c r="E45" i="4" s="1"/>
  <c r="E46" i="4" s="1"/>
  <c r="L53" i="4" s="1"/>
  <c r="D38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R12" i="13"/>
  <c r="DO15" i="13"/>
  <c r="D54" i="1"/>
  <c r="D44" i="1"/>
  <c r="BX11" i="13" s="1"/>
  <c r="DD12" i="13" s="1"/>
  <c r="BG9" i="13"/>
  <c r="N85" i="2"/>
  <c r="AX26" i="13"/>
  <c r="D45" i="1"/>
  <c r="BX13" i="13" s="1"/>
  <c r="DD14" i="13" s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AA22" i="1"/>
  <c r="AL21" i="1"/>
  <c r="E45" i="1"/>
  <c r="AL27" i="1"/>
  <c r="AA23" i="1"/>
  <c r="AL22" i="1"/>
  <c r="Z31" i="1"/>
  <c r="I101" i="5" s="1"/>
  <c r="D49" i="1"/>
  <c r="BX21" i="13" s="1"/>
  <c r="DD20" i="13" s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BX9" i="13" s="1"/>
  <c r="DD10" i="13" s="1"/>
  <c r="D46" i="1"/>
  <c r="BX15" i="13" s="1"/>
  <c r="DD16" i="13" s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BX19" i="13" s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AW26" i="13"/>
  <c r="AW27" i="13" s="1"/>
  <c r="DO14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21" i="13" a="1"/>
  <c r="BJ23" i="13" s="1"/>
  <c r="L9" i="14"/>
  <c r="BJ18" i="13" a="1"/>
  <c r="BJ20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24" i="13" a="1"/>
  <c r="BJ24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CV30" i="13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6" i="4"/>
  <c r="M86" i="4" s="1"/>
  <c r="AI117" i="4" s="1"/>
  <c r="K29" i="4"/>
  <c r="K16" i="4"/>
  <c r="M134" i="4"/>
  <c r="Q134" i="4"/>
  <c r="K11" i="4"/>
  <c r="K24" i="4"/>
  <c r="M87" i="4"/>
  <c r="W118" i="4" s="1"/>
  <c r="I36" i="16"/>
  <c r="J36" i="16" s="1"/>
  <c r="G44" i="16"/>
  <c r="I44" i="16" s="1"/>
  <c r="J44" i="16" s="1"/>
  <c r="I35" i="16"/>
  <c r="J35" i="16" s="1"/>
  <c r="AU20" i="13"/>
  <c r="CV27" i="13"/>
  <c r="DO12" i="13"/>
  <c r="AU28" i="13"/>
  <c r="AX21" i="13"/>
  <c r="AX23" i="13"/>
  <c r="CO24" i="13" a="1"/>
  <c r="CO24" i="13" s="1"/>
  <c r="L94" i="10"/>
  <c r="E8" i="8"/>
  <c r="E8" i="9"/>
  <c r="J9" i="3"/>
  <c r="J10" i="3" s="1"/>
  <c r="F15" i="9"/>
  <c r="G8" i="6"/>
  <c r="I177" i="16" s="1"/>
  <c r="F15" i="8"/>
  <c r="J184" i="3"/>
  <c r="K184" i="3"/>
  <c r="L66" i="4"/>
  <c r="M66" i="4" s="1"/>
  <c r="N66" i="4" s="1"/>
  <c r="O66" i="4" s="1"/>
  <c r="P66" i="4" s="1"/>
  <c r="Q66" i="4" s="1"/>
  <c r="R66" i="4" s="1"/>
  <c r="S66" i="4" s="1"/>
  <c r="M53" i="4"/>
  <c r="N53" i="4" s="1"/>
  <c r="O53" i="4" s="1"/>
  <c r="P53" i="4" s="1"/>
  <c r="Q53" i="4" s="1"/>
  <c r="R53" i="4" s="1"/>
  <c r="S53" i="4" s="1"/>
  <c r="AL15" i="3"/>
  <c r="I113" i="3"/>
  <c r="H113" i="3"/>
  <c r="J113" i="3" s="1"/>
  <c r="G16" i="3"/>
  <c r="J180" i="3"/>
  <c r="K180" i="3"/>
  <c r="S118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M118" i="4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4" i="4"/>
  <c r="N118" i="4"/>
  <c r="N134" i="4"/>
  <c r="AL118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AK29" i="1"/>
  <c r="O28" i="1"/>
  <c r="AA24" i="1"/>
  <c r="AK22" i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8" i="4"/>
  <c r="L138" i="4"/>
  <c r="P137" i="4"/>
  <c r="R50" i="4" s="1"/>
  <c r="R63" i="4" s="1"/>
  <c r="L137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P126" i="4"/>
  <c r="R42" i="4" s="1"/>
  <c r="R55" i="4" s="1"/>
  <c r="L126" i="4"/>
  <c r="N42" i="4" s="1"/>
  <c r="N55" i="4" s="1"/>
  <c r="O138" i="4"/>
  <c r="K138" i="4"/>
  <c r="O137" i="4"/>
  <c r="Q50" i="4" s="1"/>
  <c r="Q63" i="4" s="1"/>
  <c r="K137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O126" i="4"/>
  <c r="Q42" i="4" s="1"/>
  <c r="Q55" i="4" s="1"/>
  <c r="K126" i="4"/>
  <c r="M42" i="4" s="1"/>
  <c r="M55" i="4" s="1"/>
  <c r="N138" i="4"/>
  <c r="J138" i="4"/>
  <c r="N137" i="4"/>
  <c r="P50" i="4" s="1"/>
  <c r="P63" i="4" s="1"/>
  <c r="J137" i="4"/>
  <c r="L50" i="4" s="1"/>
  <c r="L63" i="4" s="1"/>
  <c r="N133" i="4"/>
  <c r="P49" i="4" s="1"/>
  <c r="P62" i="4" s="1"/>
  <c r="J133" i="4"/>
  <c r="L49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L57" i="4" s="1"/>
  <c r="N127" i="4"/>
  <c r="P43" i="4" s="1"/>
  <c r="P56" i="4" s="1"/>
  <c r="J127" i="4"/>
  <c r="L43" i="4" s="1"/>
  <c r="N126" i="4"/>
  <c r="P42" i="4" s="1"/>
  <c r="P55" i="4" s="1"/>
  <c r="J126" i="4"/>
  <c r="L42" i="4" s="1"/>
  <c r="Q138" i="4"/>
  <c r="M138" i="4"/>
  <c r="Q137" i="4"/>
  <c r="S50" i="4" s="1"/>
  <c r="S63" i="4" s="1"/>
  <c r="M137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Q126" i="4"/>
  <c r="S42" i="4" s="1"/>
  <c r="S55" i="4" s="1"/>
  <c r="M126" i="4"/>
  <c r="O42" i="4" s="1"/>
  <c r="O55" i="4" s="1"/>
  <c r="K17" i="4"/>
  <c r="K13" i="4"/>
  <c r="K9" i="4"/>
  <c r="K14" i="4"/>
  <c r="K31" i="4"/>
  <c r="K27" i="4"/>
  <c r="K23" i="4"/>
  <c r="K26" i="4"/>
  <c r="K134" i="4"/>
  <c r="O134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BX17" i="13" s="1"/>
  <c r="DD18" i="13" s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4" i="4"/>
  <c r="T118" i="4"/>
  <c r="P134" i="4"/>
  <c r="DY27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7" i="4"/>
  <c r="AO117" i="4"/>
  <c r="Q135" i="4" s="1"/>
  <c r="S51" i="4" s="1"/>
  <c r="S64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7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7" i="4"/>
  <c r="L135" i="4" s="1"/>
  <c r="N51" i="4" s="1"/>
  <c r="N64" i="4" s="1"/>
  <c r="AF117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8" i="13"/>
  <c r="BJ27" i="13"/>
  <c r="BJ29" i="13"/>
  <c r="DD30" i="13"/>
  <c r="DD32" i="13"/>
  <c r="BF29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N198" i="12"/>
  <c r="CP28" i="13" s="1"/>
  <c r="AX11" i="13"/>
  <c r="AX10" i="13"/>
  <c r="CO32" i="13"/>
  <c r="CO29" i="13"/>
  <c r="CO31" i="13"/>
  <c r="CO30" i="13"/>
  <c r="CO33" i="13"/>
  <c r="BG23" i="13"/>
  <c r="BG22" i="13"/>
  <c r="BG21" i="13"/>
  <c r="DD31" i="13"/>
  <c r="N195" i="12"/>
  <c r="CP25" i="13" s="1"/>
  <c r="DD29" i="13"/>
  <c r="AX30" i="13"/>
  <c r="AX29" i="13"/>
  <c r="AX28" i="13"/>
  <c r="AW10" i="13"/>
  <c r="AW11" i="13" s="1"/>
  <c r="BG20" i="13"/>
  <c r="BG19" i="13"/>
  <c r="BG18" i="13"/>
  <c r="BG26" i="13"/>
  <c r="BG25" i="13"/>
  <c r="BG24" i="13"/>
  <c r="AU23" i="13"/>
  <c r="AU27" i="13"/>
  <c r="BG27" i="13"/>
  <c r="O17" i="15"/>
  <c r="CV26" i="13"/>
  <c r="CV28" i="13"/>
  <c r="AU21" i="13"/>
  <c r="AU25" i="13"/>
  <c r="AU29" i="13"/>
  <c r="AX24" i="13"/>
  <c r="AX27" i="13"/>
  <c r="BG29" i="13"/>
  <c r="AU19" i="13"/>
  <c r="AU22" i="13"/>
  <c r="AU26" i="13"/>
  <c r="AQ70" i="13" l="1"/>
  <c r="AQ49" i="13"/>
  <c r="AQ65" i="13"/>
  <c r="AQ57" i="13"/>
  <c r="AQ53" i="13"/>
  <c r="AP70" i="13"/>
  <c r="AP53" i="13"/>
  <c r="AP65" i="13"/>
  <c r="AP49" i="13"/>
  <c r="AP57" i="13"/>
  <c r="AP61" i="13"/>
  <c r="BJ25" i="13"/>
  <c r="CP29" i="13" a="1"/>
  <c r="CP29" i="13" s="1"/>
  <c r="CO27" i="13"/>
  <c r="BJ21" i="13"/>
  <c r="BJ26" i="13"/>
  <c r="U25" i="13" a="1"/>
  <c r="U26" i="13" s="1"/>
  <c r="BJ22" i="13"/>
  <c r="AR9" i="13" a="1"/>
  <c r="AO48" i="13" s="1"/>
  <c r="DD22" i="13"/>
  <c r="AF9" i="13" a="1"/>
  <c r="AF11" i="13" s="1"/>
  <c r="BT12" i="13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7" i="4"/>
  <c r="W78" i="12"/>
  <c r="AD71" i="12"/>
  <c r="AE71" i="12" s="1"/>
  <c r="N11" i="17"/>
  <c r="N11" i="16"/>
  <c r="N8" i="17"/>
  <c r="N8" i="16"/>
  <c r="AK117" i="4"/>
  <c r="U117" i="4"/>
  <c r="M135" i="4" s="1"/>
  <c r="O51" i="4" s="1"/>
  <c r="O64" i="4" s="1"/>
  <c r="AD78" i="12"/>
  <c r="AE78" i="12" s="1"/>
  <c r="N19" i="17"/>
  <c r="N19" i="16"/>
  <c r="AE117" i="4"/>
  <c r="O135" i="4" s="1"/>
  <c r="Q51" i="4" s="1"/>
  <c r="Q64" i="4" s="1"/>
  <c r="L55" i="4"/>
  <c r="P16" i="3"/>
  <c r="I50" i="11"/>
  <c r="AH117" i="4"/>
  <c r="V117" i="4"/>
  <c r="J117" i="4"/>
  <c r="J135" i="4" s="1"/>
  <c r="L51" i="4" s="1"/>
  <c r="L64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8" i="13"/>
  <c r="Y85" i="12"/>
  <c r="L117" i="4"/>
  <c r="T15" i="11"/>
  <c r="AH15" i="11" s="1"/>
  <c r="N6" i="17"/>
  <c r="N6" i="16"/>
  <c r="CO26" i="13"/>
  <c r="BJ19" i="13"/>
  <c r="AH86" i="12"/>
  <c r="V165" i="11"/>
  <c r="AH82" i="12"/>
  <c r="BC82" i="12" s="1"/>
  <c r="Z85" i="12"/>
  <c r="X165" i="11"/>
  <c r="Q23" i="11"/>
  <c r="AE23" i="11" s="1"/>
  <c r="BC10" i="11"/>
  <c r="AN117" i="4"/>
  <c r="X117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7" i="4"/>
  <c r="Q117" i="4"/>
  <c r="AF78" i="12"/>
  <c r="H63" i="10"/>
  <c r="H61" i="10"/>
  <c r="S117" i="4"/>
  <c r="I59" i="11"/>
  <c r="O117" i="4"/>
  <c r="AM117" i="4"/>
  <c r="AD117" i="4"/>
  <c r="R117" i="4"/>
  <c r="C13" i="17"/>
  <c r="E13" i="17" s="1"/>
  <c r="F109" i="17" s="1"/>
  <c r="C13" i="16"/>
  <c r="H64" i="10"/>
  <c r="J186" i="3"/>
  <c r="C15" i="17"/>
  <c r="E15" i="17" s="1"/>
  <c r="F110" i="17" s="1"/>
  <c r="C15" i="16"/>
  <c r="AA117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7" i="4"/>
  <c r="P135" i="4" s="1"/>
  <c r="R51" i="4" s="1"/>
  <c r="R64" i="4" s="1"/>
  <c r="T117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7" i="4"/>
  <c r="M117" i="4"/>
  <c r="I46" i="11"/>
  <c r="N12" i="17"/>
  <c r="N12" i="16"/>
  <c r="AE9" i="13" a="1"/>
  <c r="AE15" i="13" s="1"/>
  <c r="AI20" i="13" s="1"/>
  <c r="D9" i="13" a="1"/>
  <c r="D15" i="13" s="1"/>
  <c r="R21" i="13" s="1"/>
  <c r="I43" i="11"/>
  <c r="K117" i="4"/>
  <c r="K135" i="4" s="1"/>
  <c r="M51" i="4" s="1"/>
  <c r="M64" i="4" s="1"/>
  <c r="Z117" i="4"/>
  <c r="N135" i="4" s="1"/>
  <c r="P51" i="4" s="1"/>
  <c r="P64" i="4" s="1"/>
  <c r="N117" i="4"/>
  <c r="BO9" i="13" a="1"/>
  <c r="BO9" i="13" s="1"/>
  <c r="BS9" i="13" s="1" a="1"/>
  <c r="BS9" i="13" s="1"/>
  <c r="W117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8" i="4"/>
  <c r="AM118" i="4"/>
  <c r="AN118" i="4"/>
  <c r="AK118" i="4"/>
  <c r="U118" i="4"/>
  <c r="M136" i="4" s="1"/>
  <c r="O52" i="4" s="1"/>
  <c r="O65" i="4" s="1"/>
  <c r="AA118" i="4"/>
  <c r="P118" i="4"/>
  <c r="L136" i="4" s="1"/>
  <c r="N52" i="4" s="1"/>
  <c r="N65" i="4" s="1"/>
  <c r="AD118" i="4"/>
  <c r="AF118" i="4"/>
  <c r="AI118" i="4"/>
  <c r="AC118" i="4"/>
  <c r="V118" i="4"/>
  <c r="AJ118" i="4"/>
  <c r="P136" i="4" s="1"/>
  <c r="R52" i="4" s="1"/>
  <c r="R65" i="4" s="1"/>
  <c r="AO118" i="4"/>
  <c r="Q136" i="4" s="1"/>
  <c r="S52" i="4" s="1"/>
  <c r="S65" i="4" s="1"/>
  <c r="AB118" i="4"/>
  <c r="L118" i="4"/>
  <c r="AE118" i="4"/>
  <c r="O136" i="4" s="1"/>
  <c r="Q52" i="4" s="1"/>
  <c r="Q65" i="4" s="1"/>
  <c r="Q118" i="4"/>
  <c r="AH118" i="4"/>
  <c r="Z118" i="4"/>
  <c r="N136" i="4" s="1"/>
  <c r="P52" i="4" s="1"/>
  <c r="P65" i="4" s="1"/>
  <c r="AG118" i="4"/>
  <c r="O118" i="4"/>
  <c r="R118" i="4"/>
  <c r="J118" i="4"/>
  <c r="J136" i="4" s="1"/>
  <c r="L52" i="4" s="1"/>
  <c r="L65" i="4" s="1"/>
  <c r="Y118" i="4"/>
  <c r="K118" i="4"/>
  <c r="K136" i="4" s="1"/>
  <c r="M52" i="4" s="1"/>
  <c r="M65" i="4" s="1"/>
  <c r="L56" i="4"/>
  <c r="L62" i="4"/>
  <c r="E57" i="4"/>
  <c r="E58" i="4" s="1"/>
  <c r="E59" i="4" s="1"/>
  <c r="Y9" i="13" a="1"/>
  <c r="Y9" i="13" s="1"/>
  <c r="U166" i="11"/>
  <c r="Q166" i="11"/>
  <c r="O166" i="11"/>
  <c r="AE12" i="13"/>
  <c r="AI14" i="13" s="1"/>
  <c r="AE9" i="13"/>
  <c r="AE13" i="13"/>
  <c r="AI16" i="13" s="1"/>
  <c r="AL40" i="1"/>
  <c r="AB10" i="11"/>
  <c r="AC10" i="11"/>
  <c r="AP10" i="11" s="1"/>
  <c r="BT13" i="13"/>
  <c r="BT11" i="13"/>
  <c r="BT14" i="13"/>
  <c r="U30" i="13"/>
  <c r="CP30" i="13"/>
  <c r="CP33" i="13"/>
  <c r="CP32" i="13"/>
  <c r="CP31" i="13"/>
  <c r="AC19" i="1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U28" i="13" l="1"/>
  <c r="AO56" i="13"/>
  <c r="AO64" i="13"/>
  <c r="U25" i="13"/>
  <c r="U27" i="13"/>
  <c r="U29" i="13"/>
  <c r="U31" i="13"/>
  <c r="AF14" i="13"/>
  <c r="V13" i="13"/>
  <c r="AF9" i="13"/>
  <c r="AF10" i="13"/>
  <c r="AF12" i="13"/>
  <c r="AF15" i="13"/>
  <c r="AF13" i="13"/>
  <c r="AR9" i="13"/>
  <c r="AO43" i="13" s="1"/>
  <c r="AO69" i="13"/>
  <c r="AO52" i="13"/>
  <c r="AO60" i="13"/>
  <c r="D9" i="13"/>
  <c r="R9" i="13" s="1"/>
  <c r="D14" i="13"/>
  <c r="R19" i="13" s="1"/>
  <c r="AL34" i="1"/>
  <c r="BT10" i="13"/>
  <c r="BT9" i="13"/>
  <c r="AL32" i="1"/>
  <c r="BT15" i="13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E62" i="16"/>
  <c r="E9" i="16"/>
  <c r="C10" i="16"/>
  <c r="E10" i="16" s="1"/>
  <c r="AP64" i="13"/>
  <c r="AP48" i="13"/>
  <c r="AP60" i="13"/>
  <c r="AP56" i="13"/>
  <c r="AP69" i="13"/>
  <c r="AP52" i="13"/>
  <c r="E112" i="17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B19" i="11"/>
  <c r="E15" i="16"/>
  <c r="F106" i="16"/>
  <c r="E13" i="16"/>
  <c r="F105" i="16"/>
  <c r="AA99" i="12"/>
  <c r="R156" i="12" s="1"/>
  <c r="BY10" i="13" s="1"/>
  <c r="BY9" i="13" s="1"/>
  <c r="Y11" i="13"/>
  <c r="Y14" i="13"/>
  <c r="Y13" i="13"/>
  <c r="DC19" i="13"/>
  <c r="Y10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1" i="4" s="1"/>
  <c r="J51" i="4" s="1"/>
  <c r="J13" i="4"/>
  <c r="I47" i="4" s="1"/>
  <c r="J47" i="4" s="1"/>
  <c r="J9" i="4"/>
  <c r="I43" i="4" s="1"/>
  <c r="J43" i="4" s="1"/>
  <c r="J16" i="4"/>
  <c r="I50" i="4" s="1"/>
  <c r="J50" i="4" s="1"/>
  <c r="J11" i="4"/>
  <c r="I45" i="4" s="1"/>
  <c r="J45" i="4" s="1"/>
  <c r="J12" i="4"/>
  <c r="I46" i="4" s="1"/>
  <c r="J46" i="4" s="1"/>
  <c r="J15" i="4"/>
  <c r="I49" i="4" s="1"/>
  <c r="J49" i="4" s="1"/>
  <c r="J10" i="4"/>
  <c r="I44" i="4" s="1"/>
  <c r="J44" i="4" s="1"/>
  <c r="J18" i="4"/>
  <c r="I52" i="4" s="1"/>
  <c r="J52" i="4" s="1"/>
  <c r="J14" i="4"/>
  <c r="I48" i="4" s="1"/>
  <c r="J48" i="4" s="1"/>
  <c r="J8" i="4"/>
  <c r="I42" i="4" s="1"/>
  <c r="J42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5" i="4" s="1"/>
  <c r="K65" i="4" s="1"/>
  <c r="J27" i="4"/>
  <c r="I61" i="4" s="1"/>
  <c r="K61" i="4" s="1"/>
  <c r="K77" i="4" s="1"/>
  <c r="J23" i="4"/>
  <c r="I57" i="4" s="1"/>
  <c r="K57" i="4" s="1"/>
  <c r="J29" i="4"/>
  <c r="I63" i="4" s="1"/>
  <c r="K63" i="4" s="1"/>
  <c r="J24" i="4"/>
  <c r="I58" i="4" s="1"/>
  <c r="K58" i="4" s="1"/>
  <c r="J28" i="4"/>
  <c r="I62" i="4" s="1"/>
  <c r="K62" i="4" s="1"/>
  <c r="J22" i="4"/>
  <c r="I56" i="4" s="1"/>
  <c r="K56" i="4" s="1"/>
  <c r="J30" i="4"/>
  <c r="I64" i="4" s="1"/>
  <c r="K64" i="4" s="1"/>
  <c r="J21" i="4"/>
  <c r="I55" i="4" s="1"/>
  <c r="K55" i="4" s="1"/>
  <c r="J26" i="4"/>
  <c r="I60" i="4" s="1"/>
  <c r="K60" i="4" s="1"/>
  <c r="K76" i="4" s="1"/>
  <c r="J25" i="4"/>
  <c r="I59" i="4" s="1"/>
  <c r="K59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DC32" i="13" l="1"/>
  <c r="DC9" i="13"/>
  <c r="DC30" i="13"/>
  <c r="AE26" i="13" a="1"/>
  <c r="AE26" i="13" s="1"/>
  <c r="DC15" i="13"/>
  <c r="DC28" i="13"/>
  <c r="AD101" i="12"/>
  <c r="AE101" i="12" s="1"/>
  <c r="F103" i="16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8" i="4"/>
  <c r="D79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3" i="4"/>
  <c r="D74" i="4" s="1"/>
  <c r="P7" i="3"/>
  <c r="P11" i="3" s="1"/>
  <c r="BB101" i="12"/>
  <c r="AZ104" i="12"/>
  <c r="BD99" i="12"/>
  <c r="AD100" i="12"/>
  <c r="AE100" i="12" s="1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69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3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3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<sst xmlns="http://schemas.openxmlformats.org/spreadsheetml/2006/main" count="5726" uniqueCount="1777">
  <si>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</si>
  <si>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</si>
  <si>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</si>
  <si>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</si>
  <si>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</si>
  <si>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</si>
  <si>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</si>
  <si>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</si>
  <si>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</si>
  <si>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</si>
  <si>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</si>
  <si>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</si>
  <si>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</si>
  <si>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</si>
  <si>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</si>
  <si>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</si>
  <si>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</si>
  <si>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</si>
  <si>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</si>
  <si>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</si>
  <si>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</si>
  <si>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</si>
  <si>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</si>
  <si>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</si>
  <si>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</si>
  <si>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</si>
  <si>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</si>
  <si>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</si>
  <si>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</si>
  <si>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</si>
  <si>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</si>
  <si>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</si>
  <si>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</si>
  <si>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</si>
  <si>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</si>
  <si>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</si>
  <si>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</si>
  <si>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</si>
  <si>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</si>
  <si>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</si>
  <si>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</si>
  <si>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</si>
  <si>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</si>
  <si>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</si>
  <si>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</si>
  <si>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</si>
  <si>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</si>
  <si>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</si>
  <si>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</si>
  <si>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</si>
  <si>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</si>
  <si>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</si>
  <si>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</si>
  <si>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</si>
  <si>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</si>
  <si>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</si>
  <si>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</si>
  <si>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</si>
  <si>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</si>
  <si>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</si>
  <si>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</si>
  <si>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</si>
  <si>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</si>
  <si>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</si>
  <si>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</si>
  <si>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</si>
  <si>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</si>
  <si>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</si>
  <si>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</si>
  <si>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</si>
  <si>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</si>
  <si>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</si>
  <si>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</si>
  <si>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</si>
  <si>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</si>
  <si>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</si>
  <si>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</si>
  <si>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</si>
  <si>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</si>
  <si>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</si>
  <si>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</si>
  <si>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</si>
  <si>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</si>
  <si>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</si>
  <si>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</si>
  <si>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</si>
  <si>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</si>
  <si>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</si>
  <si>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</si>
  <si>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</si>
  <si>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</si>
  <si>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</si>
  <si>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</si>
  <si>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</si>
  <si>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</si>
  <si>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</si>
  <si>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</si>
  <si>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</si>
  <si>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</si>
  <si>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</si>
  <si>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</si>
  <si>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</si>
  <si>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</si>
  <si>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</si>
  <si>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</si>
  <si>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</si>
  <si>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</si>
  <si>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</si>
  <si>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</si>
  <si>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</si>
  <si>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</si>
  <si>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</si>
  <si>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</si>
  <si>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</si>
  <si>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</si>
  <si>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</si>
  <si>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</si>
  <si>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</si>
  <si>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</si>
  <si>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</si>
  <si>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</si>
  <si>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</si>
  <si>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</si>
  <si>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</si>
  <si>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</si>
  <si>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</si>
  <si>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</si>
  <si>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</si>
  <si>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</si>
  <si>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</si>
  <si>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</si>
  <si>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</si>
  <si>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</si>
  <si>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</si>
  <si>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</si>
  <si>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</si>
  <si>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</si>
  <si>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</si>
  <si>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</si>
  <si>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</si>
  <si>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</si>
  <si>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</si>
  <si>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</si>
  <si>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</si>
  <si>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</si>
  <si>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</si>
  <si>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</si>
  <si>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</si>
  <si>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</si>
  <si>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</si>
  <si>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</si>
  <si>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</si>
  <si>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</si>
  <si>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</si>
  <si>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</si>
  <si>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</si>
  <si>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</si>
  <si>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</si>
  <si>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</si>
  <si>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</si>
  <si>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</si>
  <si>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</si>
  <si>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</si>
  <si>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</si>
  <si>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</si>
  <si>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</si>
  <si>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</si>
  <si>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</si>
  <si>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</si>
  <si>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</si>
  <si>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</si>
  <si>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</si>
  <si>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</si>
  <si>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</si>
  <si>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</si>
  <si>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</si>
  <si>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</si>
  <si>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</si>
  <si>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</si>
  <si>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</si>
  <si>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</si>
  <si>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</si>
  <si>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</si>
  <si>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</si>
  <si>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</si>
  <si>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</si>
  <si>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</si>
  <si>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</si>
  <si>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</si>
  <si>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</si>
  <si>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</si>
  <si>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</si>
  <si>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</si>
  <si>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</si>
  <si>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</si>
  <si>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</si>
  <si>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</si>
  <si>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</si>
  <si>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</si>
  <si>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</si>
  <si>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</si>
  <si>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</si>
  <si>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</si>
  <si>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</si>
  <si>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</si>
  <si>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</si>
  <si>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</si>
  <si>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</si>
  <si>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</si>
  <si>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</si>
  <si>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</si>
  <si>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</si>
  <si>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</si>
  <si>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</si>
  <si>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</si>
  <si>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</si>
  <si>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</si>
  <si>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</si>
  <si>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</si>
  <si>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</si>
  <si>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</si>
  <si>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</si>
  <si>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</si>
  <si>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</si>
  <si>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</si>
  <si>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</si>
  <si>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</si>
  <si>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</si>
  <si>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</si>
  <si>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</si>
  <si>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</si>
  <si>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</si>
  <si>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</si>
  <si>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</si>
  <si>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</si>
  <si>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</si>
  <si>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</si>
  <si>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</si>
  <si>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</si>
  <si>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</si>
  <si>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</si>
  <si>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</si>
  <si>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</si>
  <si>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</si>
  <si>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</si>
  <si>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</si>
  <si>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</si>
  <si>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</si>
  <si>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</si>
  <si>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</si>
  <si>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</si>
  <si>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</si>
  <si>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</si>
  <si>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</si>
  <si>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</si>
  <si>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</si>
  <si>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</si>
  <si>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</si>
  <si>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</si>
  <si>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</si>
  <si>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</si>
  <si>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</si>
  <si>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</si>
  <si>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</si>
  <si>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</si>
  <si>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</si>
  <si>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</si>
  <si>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</si>
  <si>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</si>
  <si>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</si>
  <si>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</si>
  <si>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</si>
  <si>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</si>
  <si>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</si>
  <si>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</si>
  <si>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</si>
  <si>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</si>
  <si>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</si>
  <si>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</si>
  <si>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</si>
  <si>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</si>
  <si>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</si>
  <si>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</si>
  <si>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</si>
  <si>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</si>
  <si>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</si>
  <si>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</si>
  <si>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</si>
  <si>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</si>
  <si>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</si>
  <si>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</si>
  <si>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</si>
  <si>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</si>
  <si>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</si>
  <si>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</si>
  <si>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</si>
  <si>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</si>
  <si>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</si>
  <si>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</si>
  <si>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</si>
  <si>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</si>
  <si>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</si>
  <si>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</si>
  <si>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</si>
  <si>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</si>
  <si>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</si>
  <si>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</si>
  <si>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</si>
  <si>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</si>
  <si>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</si>
  <si>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</si>
  <si>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</si>
  <si>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</si>
  <si>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</si>
  <si>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</si>
  <si>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</si>
  <si>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</si>
  <si>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</si>
  <si>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</si>
  <si>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</si>
  <si>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</si>
  <si>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</si>
  <si>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</si>
  <si>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</si>
  <si>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</si>
  <si>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</si>
  <si>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</si>
  <si>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</si>
  <si>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</si>
  <si>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</si>
  <si>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</si>
  <si>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</si>
  <si>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</si>
  <si>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</si>
  <si>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</si>
  <si>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</si>
  <si>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</si>
  <si>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</si>
  <si>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</si>
  <si>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</si>
  <si>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</si>
  <si>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</si>
  <si>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</si>
  <si>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</si>
  <si>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</si>
  <si>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</si>
  <si>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</si>
  <si>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</si>
  <si>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</si>
  <si>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</si>
  <si>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</si>
  <si>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</si>
  <si>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</si>
  <si>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</si>
  <si>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</si>
  <si>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</si>
  <si>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</si>
  <si>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</si>
  <si>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</si>
  <si>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</si>
  <si>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</si>
  <si>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</si>
  <si>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</si>
  <si>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</si>
  <si>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</si>
  <si>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</si>
  <si>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</si>
  <si>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</si>
  <si>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</si>
  <si>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</si>
  <si>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</si>
  <si>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</si>
  <si>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</si>
  <si>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</si>
  <si>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</si>
  <si>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</si>
  <si>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</si>
  <si>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</si>
  <si>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</si>
  <si>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</si>
  <si>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</si>
  <si>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</si>
  <si>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</si>
  <si>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</si>
  <si>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</si>
  <si>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</si>
  <si>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</si>
  <si>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</si>
  <si>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</si>
  <si>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</si>
  <si>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</si>
  <si>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</si>
  <si>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</si>
  <si>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</si>
  <si>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</si>
  <si>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</si>
  <si>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</si>
  <si>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</si>
  <si>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</si>
  <si>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</si>
  <si>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</si>
  <si>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</si>
  <si>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</si>
  <si>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</si>
  <si>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</si>
  <si>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</si>
  <si>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</si>
  <si>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</si>
  <si>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</si>
  <si>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</si>
  <si>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</si>
  <si>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</si>
  <si>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</si>
  <si>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</si>
  <si>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</si>
  <si>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</si>
  <si>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</si>
  <si>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</si>
  <si>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</si>
  <si>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</si>
  <si>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</si>
  <si>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</si>
  <si>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</si>
  <si>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</si>
  <si>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</si>
  <si>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</si>
  <si>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</si>
  <si>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</si>
  <si>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</si>
  <si>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</si>
  <si>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</si>
  <si>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</si>
  <si>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</si>
  <si>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</si>
  <si>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</si>
  <si>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</si>
  <si>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</si>
  <si>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</si>
  <si>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</si>
  <si>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</si>
  <si>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</si>
  <si>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</si>
  <si>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</si>
  <si>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</si>
  <si>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</si>
  <si>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</si>
  <si>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</si>
  <si>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</si>
  <si>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</si>
  <si>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</si>
  <si>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</si>
  <si>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</si>
  <si>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</si>
  <si>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</si>
  <si>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</si>
  <si>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</si>
  <si>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</si>
  <si>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</si>
  <si>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</si>
  <si>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</si>
  <si>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</si>
  <si>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</si>
  <si>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</si>
  <si>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</si>
  <si>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</si>
  <si>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</si>
  <si>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</si>
  <si>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</si>
  <si>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</si>
  <si>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</si>
  <si>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</si>
  <si>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</si>
  <si>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</si>
  <si>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</si>
  <si>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</si>
  <si>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</si>
  <si>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</si>
  <si>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</si>
  <si>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</si>
  <si>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</si>
  <si>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</si>
  <si>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</si>
  <si>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</si>
  <si>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</si>
  <si>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</si>
  <si>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</si>
  <si>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</si>
  <si>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</si>
  <si>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</si>
  <si>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</si>
  <si>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</si>
  <si>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</si>
  <si>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</si>
  <si>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</si>
  <si>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</si>
  <si>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</si>
  <si>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</si>
  <si>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</si>
  <si>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</si>
  <si>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</si>
  <si>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</si>
  <si>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</si>
  <si>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</si>
  <si>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</si>
  <si>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</si>
  <si>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</si>
  <si>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</si>
  <si>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</si>
  <si>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</si>
  <si>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</si>
  <si>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</si>
  <si>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</si>
  <si>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</si>
  <si>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</si>
  <si>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</si>
  <si>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</si>
  <si>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</si>
  <si>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</si>
  <si>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</si>
  <si>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</si>
  <si>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</si>
  <si>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</si>
  <si>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</si>
  <si>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</si>
  <si>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</si>
  <si>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</si>
  <si>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</si>
  <si>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</si>
  <si>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</si>
  <si>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</si>
  <si>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</si>
  <si>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</si>
  <si>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</si>
  <si>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</si>
  <si>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</si>
  <si>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</si>
  <si>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</si>
  <si>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</si>
  <si>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</si>
  <si>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</si>
  <si>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</si>
  <si>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</si>
  <si>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</si>
  <si>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</si>
  <si>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</si>
  <si>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</si>
  <si>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</si>
  <si>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</si>
  <si>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</si>
  <si>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</si>
  <si>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</si>
  <si>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</si>
  <si>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</si>
  <si>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</si>
  <si>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</si>
  <si>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</si>
  <si>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</si>
  <si>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</si>
  <si>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</si>
  <si>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</si>
  <si>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</si>
  <si>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</si>
  <si>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</si>
  <si>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</si>
  <si>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</si>
  <si>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</si>
  <si>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</si>
  <si>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</si>
  <si>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</si>
  <si>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</si>
  <si>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</si>
  <si>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</si>
  <si>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</si>
  <si>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</si>
  <si>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</si>
  <si>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</si>
  <si>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</si>
  <si>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</si>
  <si>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</si>
  <si>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</si>
  <si>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</si>
  <si>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</si>
  <si>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</si>
  <si>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</si>
  <si>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</si>
  <si>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</si>
  <si>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</si>
  <si>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</si>
  <si>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</si>
  <si>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</si>
  <si>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</si>
  <si>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</si>
  <si>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</si>
  <si>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</si>
  <si>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</si>
  <si>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</si>
  <si>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</si>
  <si>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</si>
  <si>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</si>
  <si>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</si>
  <si>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</si>
  <si>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</si>
  <si>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</si>
  <si>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</si>
  <si>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</si>
  <si>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</si>
  <si>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</si>
  <si>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</si>
  <si>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</si>
  <si>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</si>
  <si>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</si>
  <si>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</si>
  <si>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</si>
  <si>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</si>
  <si>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</si>
  <si>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</si>
  <si>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</si>
  <si>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</si>
  <si>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</si>
  <si>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</si>
  <si>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</si>
  <si>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</si>
  <si>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</si>
  <si>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</si>
  <si>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</si>
  <si>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</si>
  <si>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</si>
  <si>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</si>
  <si>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</si>
  <si>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</si>
  <si>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</si>
  <si>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</si>
  <si>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</si>
  <si>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</si>
  <si>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</si>
  <si>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</si>
  <si>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</si>
  <si>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</si>
  <si>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</si>
  <si>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</si>
  <si>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</si>
  <si>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</si>
  <si>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</si>
  <si>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</si>
  <si>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</si>
  <si>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</si>
  <si>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</si>
  <si>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</si>
  <si>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</si>
  <si>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</si>
  <si>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</si>
  <si>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</si>
  <si>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</si>
  <si>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</si>
  <si>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</si>
  <si>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</si>
  <si>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</si>
  <si>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</si>
  <si>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</si>
  <si>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</si>
  <si>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</si>
  <si>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</si>
  <si>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</si>
  <si>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</si>
  <si>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</si>
  <si>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</si>
  <si>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</si>
  <si>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</si>
  <si>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</si>
  <si>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</si>
  <si>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</si>
  <si>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</si>
  <si>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</si>
  <si>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</si>
  <si>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</si>
  <si>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</si>
  <si>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</si>
  <si>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</si>
  <si>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</si>
  <si>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</si>
  <si>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</si>
  <si>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</si>
  <si>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</si>
  <si>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</si>
  <si>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</si>
  <si>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</si>
  <si>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</si>
  <si>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</si>
  <si>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</si>
  <si>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</si>
  <si>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</si>
  <si>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</si>
  <si>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</si>
  <si>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</si>
  <si>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</si>
  <si>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</si>
  <si>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</si>
  <si>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</si>
  <si>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</si>
  <si>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</si>
  <si>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</si>
  <si>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</si>
  <si>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</si>
  <si>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</si>
  <si>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</si>
  <si>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</si>
  <si>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</si>
  <si>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</si>
  <si>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</si>
  <si>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</si>
  <si>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</si>
  <si>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</si>
  <si>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</si>
  <si>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</si>
  <si>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</si>
  <si>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</si>
  <si>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</si>
  <si>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</si>
  <si>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</si>
  <si>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</si>
  <si>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</si>
  <si>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</si>
  <si>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</si>
  <si>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</si>
  <si>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</si>
  <si>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</si>
  <si>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</si>
  <si>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</si>
  <si>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</si>
  <si>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</si>
  <si>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</si>
  <si>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</si>
  <si>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</si>
  <si>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</si>
  <si>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</si>
  <si>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</si>
  <si>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</si>
  <si>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</si>
  <si>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</si>
  <si>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</si>
  <si>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</si>
  <si>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</si>
  <si>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</si>
  <si>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</si>
  <si>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</si>
  <si>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</si>
  <si>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</si>
  <si>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</si>
  <si>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</si>
  <si>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</si>
  <si>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</si>
  <si>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</si>
  <si>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</si>
  <si>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</si>
  <si>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</si>
  <si>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</si>
  <si>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</si>
  <si>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</si>
  <si>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</si>
  <si>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</si>
  <si>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</si>
  <si>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</si>
  <si>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</si>
  <si>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</si>
  <si>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</si>
  <si>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</si>
  <si>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</si>
  <si>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</si>
  <si>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</si>
  <si>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</si>
  <si>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</si>
  <si>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</si>
  <si>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</si>
  <si>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</si>
  <si>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</si>
  <si>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</si>
  <si>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</si>
  <si>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</si>
  <si>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</si>
  <si>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</si>
  <si>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</si>
  <si>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</si>
  <si>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</si>
  <si>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</si>
  <si>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</si>
  <si>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</si>
  <si>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</si>
  <si>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</si>
  <si>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</si>
  <si>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</si>
  <si>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</si>
  <si>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</si>
  <si>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</si>
  <si>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</si>
  <si>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</si>
  <si>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</si>
  <si>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</si>
  <si>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</si>
  <si>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</si>
  <si>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</si>
  <si>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</si>
  <si>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</si>
  <si>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</si>
  <si>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</si>
  <si>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</si>
  <si>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</si>
  <si>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</si>
  <si>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</si>
  <si>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</si>
  <si>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</si>
  <si>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</si>
  <si>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</si>
  <si>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</si>
  <si>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</si>
  <si>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</si>
  <si>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</si>
  <si>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</si>
  <si>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</si>
  <si>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</si>
  <si>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</si>
  <si>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</si>
  <si>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</si>
  <si>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</si>
  <si>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</si>
  <si>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</si>
  <si>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</si>
  <si>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</si>
  <si>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</si>
  <si>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</si>
  <si>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</si>
  <si>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</si>
  <si>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</si>
  <si>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</si>
  <si>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</si>
  <si>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</si>
  <si>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</si>
  <si>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</si>
  <si>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</si>
  <si>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</si>
  <si>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</si>
  <si>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</si>
  <si>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</si>
  <si>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</si>
  <si>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</si>
  <si>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</si>
  <si>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</si>
  <si>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</si>
  <si>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</si>
  <si>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</si>
  <si>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</si>
  <si>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</si>
  <si>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</si>
  <si>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</si>
  <si>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</si>
  <si>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</si>
  <si>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</si>
  <si>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</si>
  <si>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</si>
  <si>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</si>
  <si>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</si>
  <si>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</si>
  <si>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</si>
  <si>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</si>
  <si>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</si>
  <si>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</si>
  <si>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</si>
  <si>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</si>
  <si>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</si>
  <si>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</si>
  <si>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</si>
  <si>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</si>
  <si>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</si>
  <si>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</si>
  <si>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</si>
  <si>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</si>
  <si>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</si>
  <si>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</si>
  <si>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</si>
  <si>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</si>
  <si>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</si>
  <si>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</si>
  <si>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</si>
  <si>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</si>
  <si>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</si>
  <si>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</si>
  <si>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</si>
  <si>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</si>
  <si>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</si>
  <si>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</si>
  <si>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</si>
  <si>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</si>
  <si>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</si>
  <si>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</si>
  <si>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</si>
  <si>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</si>
  <si>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</si>
  <si>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</si>
  <si>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</si>
  <si>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</si>
  <si>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</si>
  <si>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</si>
  <si>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</si>
  <si>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</si>
  <si>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</si>
  <si>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</si>
  <si>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</si>
  <si>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</si>
  <si>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</si>
  <si>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</si>
  <si>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</si>
  <si>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</si>
  <si>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</si>
  <si>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</si>
  <si>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</si>
  <si>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</si>
  <si>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</si>
  <si>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</si>
  <si>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</si>
  <si>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</si>
  <si>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</si>
  <si>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</si>
  <si>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</si>
  <si>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</si>
  <si>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</si>
  <si>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</si>
  <si>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</si>
  <si>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</si>
  <si>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</si>
  <si>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</si>
  <si>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</si>
  <si>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</si>
  <si>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</si>
  <si>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</si>
  <si>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</si>
  <si>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</si>
  <si>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</si>
  <si>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</si>
  <si>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</si>
  <si>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</si>
  <si>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</si>
  <si>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</si>
  <si>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</si>
  <si>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</si>
  <si>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</si>
  <si>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</si>
  <si>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</si>
  <si>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</si>
  <si>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</si>
  <si>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</si>
  <si>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</si>
  <si>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</si>
  <si>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</si>
  <si>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</si>
  <si>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</si>
  <si>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</si>
  <si>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</si>
  <si>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</si>
  <si>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</si>
  <si>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</si>
  <si>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</si>
  <si>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</si>
  <si>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</si>
  <si>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</si>
  <si>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</si>
  <si>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</si>
  <si>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</si>
  <si>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</si>
  <si>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</si>
  <si>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</si>
  <si>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</si>
  <si>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</si>
  <si>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</si>
  <si>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</si>
  <si>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</si>
  <si>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</si>
  <si>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</si>
  <si>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</si>
  <si>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</si>
  <si>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</si>
  <si>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</si>
  <si>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</si>
  <si>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</si>
  <si>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</si>
  <si>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</si>
  <si>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</si>
  <si>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</si>
  <si>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</si>
  <si>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</si>
  <si>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</si>
  <si>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</si>
  <si>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</si>
  <si>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</si>
  <si>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</si>
  <si>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</si>
  <si>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</si>
  <si>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</si>
  <si>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</si>
  <si>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</si>
  <si>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</si>
  <si>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</si>
  <si>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</si>
  <si>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</si>
  <si>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</si>
  <si>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</si>
  <si>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</si>
  <si>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</si>
  <si>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</si>
  <si>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</si>
  <si>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</si>
  <si>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</si>
  <si>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</si>
  <si>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</si>
  <si>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</si>
  <si>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</si>
  <si>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</si>
  <si>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</si>
  <si>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</si>
  <si>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</si>
  <si>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</si>
  <si>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</si>
  <si>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</si>
  <si>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</si>
  <si>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</si>
  <si>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</si>
  <si>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</si>
  <si>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</si>
  <si>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</si>
  <si>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</si>
  <si>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</si>
  <si>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</si>
  <si>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</si>
  <si>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</si>
  <si>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</si>
  <si>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</si>
  <si>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</si>
  <si>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</si>
  <si>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</si>
  <si>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</si>
  <si>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</si>
  <si>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</si>
  <si>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</si>
  <si>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</si>
  <si>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</si>
  <si>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</si>
  <si>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</si>
  <si>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</si>
  <si>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</si>
  <si>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</si>
  <si>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</si>
  <si>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</si>
  <si>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</si>
  <si>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</si>
  <si>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</si>
  <si>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</si>
  <si>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</si>
  <si>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</si>
  <si>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</si>
  <si>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</si>
  <si>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</si>
  <si>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</si>
  <si>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</si>
  <si>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</si>
  <si>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</si>
  <si>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</si>
  <si>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</si>
  <si>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</si>
  <si>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</si>
  <si>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</si>
  <si>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</si>
  <si>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</si>
  <si>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</si>
  <si>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</si>
  <si>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</si>
  <si>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</si>
  <si>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</si>
  <si>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</si>
  <si>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</si>
  <si>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</si>
  <si>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</si>
  <si>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</si>
  <si>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</si>
  <si>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</si>
  <si>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</si>
  <si>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</si>
  <si>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</si>
  <si>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</si>
  <si>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</si>
  <si>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</si>
  <si>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</si>
  <si>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</si>
  <si>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</si>
  <si>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</si>
  <si>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</si>
  <si>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</si>
  <si>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</si>
  <si>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</si>
  <si>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</si>
  <si>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</si>
  <si>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</si>
  <si>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</si>
  <si>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</si>
  <si>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</si>
  <si>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</si>
  <si>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</si>
  <si>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</si>
  <si>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</si>
  <si>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</si>
  <si>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</si>
  <si>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</si>
  <si>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</si>
  <si>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</si>
  <si>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</si>
  <si>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</si>
  <si>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</si>
  <si>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</si>
  <si>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</si>
  <si>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</si>
  <si>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</si>
  <si>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</si>
  <si>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</si>
  <si>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</si>
  <si>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</si>
  <si>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</si>
  <si>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</si>
  <si>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</si>
  <si>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</si>
  <si>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</si>
  <si>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</si>
  <si>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</si>
  <si>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</si>
  <si>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</si>
  <si>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</si>
  <si>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</si>
  <si>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</si>
  <si>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</si>
  <si>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</si>
  <si>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</si>
  <si>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</si>
  <si>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</si>
  <si>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</si>
  <si>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</si>
  <si>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</si>
  <si>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</si>
  <si>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</si>
  <si>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</si>
  <si>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</si>
  <si>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</si>
  <si>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</si>
  <si>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</si>
  <si>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</si>
  <si>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</si>
  <si>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</si>
  <si>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</si>
  <si>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</si>
  <si>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</si>
  <si>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</si>
  <si>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</si>
  <si>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</si>
  <si>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</si>
  <si>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</si>
  <si>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</si>
  <si>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</si>
  <si>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</si>
  <si>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</si>
  <si>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</si>
  <si>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</si>
  <si>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</si>
  <si>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</si>
  <si>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</si>
  <si>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</si>
  <si>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</si>
  <si>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</si>
  <si>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</si>
  <si>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</si>
  <si>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</si>
  <si>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</si>
  <si>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</si>
  <si>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</si>
  <si>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</si>
  <si>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</si>
  <si>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</si>
  <si>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</si>
  <si>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</si>
  <si>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</si>
  <si>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</si>
  <si>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</si>
  <si>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</si>
  <si>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</si>
  <si>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</si>
  <si>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</si>
  <si>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</si>
  <si>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</si>
  <si>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</si>
  <si>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</si>
  <si>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</si>
  <si>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</si>
  <si>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</si>
  <si>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</si>
  <si>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</si>
  <si>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</si>
  <si>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</si>
  <si>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</si>
  <si>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</si>
  <si>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</si>
  <si>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</si>
  <si>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</si>
  <si>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</si>
  <si>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</si>
  <si>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</si>
  <si>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</si>
  <si>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</si>
  <si>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</si>
  <si>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</si>
  <si>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</si>
  <si>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</si>
  <si>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</si>
  <si>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</si>
  <si>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</si>
  <si>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</si>
  <si>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</si>
  <si>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</si>
  <si>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</si>
  <si>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</si>
  <si>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</si>
  <si>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</si>
  <si>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</si>
  <si>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</si>
  <si>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</si>
  <si>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</si>
  <si>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</si>
  <si>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</si>
  <si>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</si>
  <si>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</si>
  <si>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</si>
  <si>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</si>
  <si>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</si>
  <si>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</si>
  <si>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</si>
  <si>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</si>
  <si>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</si>
  <si>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</si>
  <si>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</si>
  <si>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</si>
  <si>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</si>
  <si>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</si>
  <si>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</si>
  <si>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</si>
  <si>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</si>
  <si>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</si>
  <si>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</si>
  <si>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</si>
  <si>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</si>
  <si>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</si>
  <si>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</si>
  <si>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</si>
  <si>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</si>
  <si>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</si>
  <si>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</si>
  <si>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</si>
  <si>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</si>
  <si>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</si>
  <si>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</si>
  <si>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</si>
  <si>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</si>
  <si>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</si>
  <si>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</si>
  <si>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</si>
  <si>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</si>
  <si>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</si>
  <si>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</si>
  <si>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</si>
  <si>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</si>
  <si>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</si>
  <si>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</si>
  <si>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</si>
  <si>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</si>
  <si>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</si>
  <si>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</si>
  <si>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</si>
  <si>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</si>
  <si>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</si>
  <si>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</si>
  <si>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</si>
  <si>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</si>
  <si>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</si>
  <si>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</si>
  <si>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</si>
  <si>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</si>
  <si>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</si>
  <si>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</si>
  <si>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</si>
  <si>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</si>
  <si>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</si>
  <si>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</si>
  <si>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</si>
  <si>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</si>
  <si>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</si>
  <si>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</si>
  <si>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</si>
  <si>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</si>
  <si>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</si>
  <si>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</si>
  <si>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</si>
  <si>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</si>
  <si>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</si>
  <si>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</si>
  <si>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</si>
  <si>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</si>
  <si>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</si>
  <si>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</si>
  <si>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</si>
  <si>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</si>
  <si>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</si>
  <si>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</si>
  <si>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</si>
  <si>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</si>
  <si>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</si>
  <si>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</si>
  <si>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</si>
  <si>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</si>
  <si>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</si>
  <si>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</si>
  <si>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</si>
  <si>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</si>
  <si>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</si>
  <si>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</si>
  <si>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</si>
  <si>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</si>
  <si>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</si>
  <si>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</si>
  <si>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</si>
  <si>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</si>
  <si>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</si>
  <si>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</si>
  <si>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</si>
  <si>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</si>
  <si>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</si>
  <si>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</si>
  <si>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</si>
  <si>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</si>
  <si>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</si>
  <si>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</si>
  <si>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</si>
  <si>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</si>
  <si>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</si>
  <si>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</si>
  <si>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</si>
  <si>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</si>
  <si>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</si>
  <si>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</si>
  <si>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</si>
  <si>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</si>
  <si>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</si>
  <si>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</si>
  <si>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</si>
  <si>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</si>
  <si>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</si>
  <si>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</si>
  <si>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</si>
  <si>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</si>
  <si>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</si>
  <si>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</si>
  <si>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</si>
  <si>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</si>
  <si>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</si>
  <si>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</si>
  <si>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</si>
  <si>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</si>
  <si>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</si>
  <si>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</si>
  <si>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</si>
  <si>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</si>
  <si>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</si>
  <si>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</si>
  <si>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</si>
  <si>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</si>
  <si>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</si>
  <si>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</si>
  <si>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</si>
  <si>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</si>
  <si>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</si>
  <si>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</si>
  <si>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</si>
  <si>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</si>
  <si>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</si>
  <si>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</si>
  <si>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</si>
  <si>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</si>
  <si>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</si>
  <si>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</si>
  <si>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</si>
  <si>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</si>
  <si>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</si>
  <si>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</si>
  <si>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</si>
  <si>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</si>
  <si>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</si>
  <si>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</si>
  <si>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</si>
  <si>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</si>
  <si>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</si>
  <si>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</si>
  <si>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</si>
  <si>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</si>
  <si>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</si>
  <si>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</si>
  <si>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</si>
  <si>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</si>
  <si>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</si>
  <si>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</si>
  <si>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</si>
  <si>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</si>
  <si>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</si>
  <si>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</si>
  <si>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</si>
  <si>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</si>
  <si>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</si>
  <si>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</si>
  <si>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</si>
  <si>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</si>
  <si>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</si>
  <si>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</si>
  <si>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</si>
  <si>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</si>
  <si>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</si>
  <si>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</si>
  <si>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</si>
  <si>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</si>
  <si>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</si>
  <si>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</si>
  <si>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</si>
  <si>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</si>
  <si>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</si>
  <si>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</si>
  <si>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</si>
  <si>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</si>
  <si>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</si>
  <si>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</si>
  <si>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</si>
  <si>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</si>
  <si>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</si>
  <si>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</si>
  <si>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</si>
  <si>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</si>
  <si>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</si>
  <si>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</si>
  <si>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</si>
  <si>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</si>
  <si>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</si>
  <si>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</si>
  <si>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</si>
  <si>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</si>
  <si>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</si>
  <si>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</si>
  <si>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</si>
  <si>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</si>
  <si>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</si>
  <si>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</si>
  <si>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</si>
  <si>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</si>
  <si>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</si>
  <si>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</si>
  <si>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</si>
  <si>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</si>
  <si>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</si>
  <si>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</si>
  <si>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</si>
  <si>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</si>
  <si>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</si>
  <si>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</si>
  <si>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</si>
  <si>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</si>
  <si>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</si>
  <si>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</si>
  <si>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</si>
  <si>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</si>
  <si>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</si>
  <si>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</si>
  <si>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</si>
  <si>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</si>
  <si>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</si>
  <si>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</si>
  <si>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</si>
  <si>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</si>
  <si>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</si>
  <si>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</si>
  <si>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</si>
  <si>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</si>
  <si>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</si>
  <si>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</si>
  <si>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</si>
  <si>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</si>
  <si>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</si>
  <si>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</si>
  <si>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</si>
  <si>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</si>
  <si>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</si>
  <si>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</si>
  <si>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</si>
  <si>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</si>
  <si>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</si>
  <si>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</si>
  <si>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</si>
  <si>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</si>
  <si>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</si>
  <si>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</si>
  <si>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</si>
  <si>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</si>
  <si>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</si>
  <si>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</si>
  <si>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</si>
  <si>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</si>
  <si>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</si>
  <si>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</si>
  <si>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</si>
  <si>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</si>
  <si>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</si>
  <si>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</si>
  <si>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</si>
  <si>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</si>
  <si>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</si>
  <si>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</si>
  <si>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</si>
  <si>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</si>
  <si>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</si>
  <si>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</si>
  <si>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</si>
  <si>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</si>
  <si>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</si>
  <si>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</si>
  <si>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</si>
  <si>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</si>
  <si>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</si>
  <si>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</si>
  <si>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</si>
  <si>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</si>
  <si>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</si>
  <si>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</si>
  <si>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</si>
  <si>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</si>
  <si>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</si>
  <si>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</si>
  <si>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</si>
  <si>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</si>
  <si>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</si>
  <si>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</si>
  <si>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</si>
  <si>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</si>
  <si>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</si>
  <si>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</si>
  <si>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</si>
  <si>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</si>
  <si>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</si>
  <si>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</si>
  <si>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</si>
  <si>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</si>
  <si>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</si>
  <si>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</si>
  <si>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</si>
  <si>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</si>
  <si>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</si>
  <si>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</si>
  <si>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</si>
  <si>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</si>
  <si>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</si>
  <si>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</si>
  <si>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</si>
  <si>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</si>
  <si>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</si>
  <si>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</si>
  <si>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</si>
  <si>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</si>
  <si>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</si>
  <si>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</si>
  <si>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</si>
  <si>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</si>
  <si>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</si>
  <si>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</si>
  <si>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</si>
  <si>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</si>
  <si>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</si>
  <si>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</si>
  <si>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</si>
  <si>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</si>
  <si>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</si>
  <si>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</si>
  <si>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</si>
  <si>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</si>
  <si>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</si>
  <si>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</si>
  <si>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</si>
  <si>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</si>
  <si>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</si>
  <si>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</si>
  <si>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</si>
  <si>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</si>
  <si>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</si>
  <si>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</si>
  <si>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</si>
  <si>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</si>
  <si>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</si>
  <si>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</si>
  <si>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</si>
  <si>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</si>
  <si>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</si>
  <si>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</si>
  <si>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</si>
  <si>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</si>
  <si>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</si>
  <si>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</si>
  <si>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</si>
  <si>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</si>
  <si>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</si>
  <si>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</si>
  <si>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</si>
  <si>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</si>
  <si>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</si>
  <si>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</si>
  <si>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</si>
  <si>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</si>
  <si>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</si>
  <si>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</si>
  <si>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</si>
  <si>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</si>
  <si>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</si>
  <si>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</si>
  <si>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</si>
  <si>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</si>
  <si>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</si>
  <si>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</si>
  <si>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</si>
  <si>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</si>
  <si>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</si>
  <si>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</si>
  <si>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</si>
  <si>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</si>
  <si>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</si>
  <si>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</si>
  <si>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</si>
  <si>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</si>
  <si>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</si>
  <si>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</si>
  <si>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</si>
  <si>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</si>
  <si>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</si>
  <si>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</si>
  <si>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</si>
  <si>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</si>
  <si>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</si>
  <si>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</si>
  <si>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</si>
  <si>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</si>
  <si>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</si>
  <si>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</si>
  <si>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</si>
  <si>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</si>
  <si>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</si>
  <si>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</si>
  <si>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</si>
  <si>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</si>
  <si>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</si>
  <si>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</si>
  <si>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</si>
  <si>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</si>
  <si>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</si>
  <si>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</si>
  <si>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</si>
  <si>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</si>
  <si>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</si>
  <si>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</si>
  <si>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</si>
  <si>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</si>
  <si>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</si>
  <si>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</si>
  <si>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</si>
  <si>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</si>
  <si>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</si>
  <si>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</si>
  <si>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</si>
  <si>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</si>
  <si>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</si>
  <si>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</si>
  <si>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</si>
  <si>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</si>
  <si>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</si>
  <si>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</si>
  <si>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</si>
  <si>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</si>
  <si>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</si>
  <si>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</si>
  <si>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</si>
  <si>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</si>
  <si>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</si>
  <si>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</si>
  <si>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</si>
  <si>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</si>
  <si>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</si>
  <si>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</si>
  <si>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</si>
  <si>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</si>
  <si>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</si>
  <si>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</si>
  <si>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</si>
  <si>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</si>
  <si>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</si>
  <si>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</si>
  <si>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</si>
  <si>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</si>
  <si>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</si>
  <si>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</si>
  <si>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</si>
  <si>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</si>
  <si>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</si>
  <si>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</si>
  <si>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</si>
  <si>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</si>
  <si>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</si>
  <si>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</si>
  <si>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</si>
  <si>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</si>
  <si>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</si>
  <si>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</si>
  <si>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</si>
  <si>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</si>
  <si>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</si>
  <si>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</si>
  <si>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</si>
  <si>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</si>
  <si>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</si>
  <si>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</si>
  <si>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</si>
  <si>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</si>
  <si>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</si>
  <si>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</si>
  <si>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</si>
  <si>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</si>
  <si>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</si>
  <si>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</si>
  <si>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</si>
  <si>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</si>
  <si>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</si>
  <si>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</si>
  <si>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</si>
  <si>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</si>
  <si>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</si>
  <si>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</si>
  <si>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</si>
  <si>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</si>
  <si>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</si>
  <si>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</si>
  <si>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</si>
  <si>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</si>
  <si>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</si>
  <si>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</si>
  <si>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</si>
  <si>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</si>
  <si>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</si>
  <si>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</si>
  <si>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</si>
  <si>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</si>
  <si>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</si>
  <si>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</si>
  <si>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</si>
  <si>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</si>
  <si>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</si>
  <si>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</si>
  <si>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</si>
  <si>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</si>
  <si>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</si>
  <si>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</si>
  <si>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</si>
  <si>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</si>
  <si>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</si>
  <si>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</si>
  <si>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</si>
  <si>
    <t>ELC-G-COL-CAM2</t>
  </si>
  <si>
    <t>ELC-G-COL-CAM3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</si>
</sst>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8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59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3" fillId="27" borderId="0" applyNumberFormat="0" applyBorder="0" applyAlignment="0" applyProtection="0"/>
  </cellStyleXfs>
  <cellXfs count="1038">
    <xf numFmtId="0" fontId="0" fillId="0" borderId="0" xfId="0"/>
    <xf numFmtId="0" fontId="12" fillId="2" borderId="1" xfId="0" applyFont="1" applyFill="1" applyBorder="1"/>
    <xf numFmtId="0" fontId="12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wrapText="1"/>
    </xf>
    <xf numFmtId="0" fontId="12" fillId="2" borderId="1" xfId="0" applyFont="1" applyFill="1" applyBorder="1" applyAlignment="1">
      <alignment horizontal="center" wrapText="1"/>
    </xf>
    <xf numFmtId="0" fontId="12" fillId="0" borderId="0" xfId="0" applyFont="1" applyAlignment="1">
      <alignment wrapText="1"/>
    </xf>
    <xf numFmtId="164" fontId="15" fillId="2" borderId="1" xfId="0" applyNumberFormat="1" applyFont="1" applyFill="1" applyBorder="1"/>
    <xf numFmtId="164" fontId="16" fillId="2" borderId="1" xfId="0" applyNumberFormat="1" applyFont="1" applyFill="1" applyBorder="1"/>
    <xf numFmtId="164" fontId="17" fillId="3" borderId="5" xfId="0" applyNumberFormat="1" applyFont="1" applyFill="1" applyBorder="1" applyAlignment="1">
      <alignment horizontal="left"/>
    </xf>
    <xf numFmtId="164" fontId="17" fillId="3" borderId="6" xfId="0" applyNumberFormat="1" applyFont="1" applyFill="1" applyBorder="1" applyAlignment="1">
      <alignment horizontal="left"/>
    </xf>
    <xf numFmtId="164" fontId="18" fillId="4" borderId="7" xfId="0" applyNumberFormat="1" applyFont="1" applyFill="1" applyBorder="1" applyAlignment="1">
      <alignment horizontal="left" wrapText="1"/>
    </xf>
    <xf numFmtId="165" fontId="12" fillId="0" borderId="0" xfId="0" applyNumberFormat="1" applyFont="1"/>
    <xf numFmtId="0" fontId="19" fillId="0" borderId="0" xfId="0" applyFont="1"/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64" fontId="15" fillId="0" borderId="0" xfId="0" applyNumberFormat="1" applyFont="1"/>
    <xf numFmtId="0" fontId="12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/>
    </xf>
    <xf numFmtId="0" fontId="12" fillId="0" borderId="0" xfId="0" applyFont="1" applyAlignment="1">
      <alignment horizontal="left"/>
    </xf>
    <xf numFmtId="165" fontId="12" fillId="2" borderId="1" xfId="0" applyNumberFormat="1" applyFont="1" applyFill="1" applyBorder="1"/>
    <xf numFmtId="0" fontId="20" fillId="0" borderId="0" xfId="0" applyFont="1"/>
    <xf numFmtId="0" fontId="21" fillId="0" borderId="0" xfId="0" applyFont="1"/>
    <xf numFmtId="0" fontId="21" fillId="0" borderId="0" xfId="0" applyFont="1" applyAlignment="1">
      <alignment horizontal="right"/>
    </xf>
    <xf numFmtId="0" fontId="22" fillId="0" borderId="0" xfId="0" applyFont="1"/>
    <xf numFmtId="0" fontId="13" fillId="0" borderId="10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13" fillId="0" borderId="8" xfId="0" applyFont="1" applyBorder="1"/>
    <xf numFmtId="0" fontId="23" fillId="0" borderId="13" xfId="0" applyFont="1" applyBorder="1" applyAlignment="1">
      <alignment horizontal="left"/>
    </xf>
    <xf numFmtId="0" fontId="23" fillId="0" borderId="9" xfId="0" applyFont="1" applyBorder="1"/>
    <xf numFmtId="0" fontId="12" fillId="0" borderId="10" xfId="0" applyFont="1" applyBorder="1"/>
    <xf numFmtId="0" fontId="20" fillId="0" borderId="13" xfId="0" applyFont="1" applyBorder="1" applyAlignment="1">
      <alignment horizontal="left"/>
    </xf>
    <xf numFmtId="0" fontId="20" fillId="0" borderId="9" xfId="0" applyFont="1" applyBorder="1" applyAlignment="1">
      <alignment horizontal="left" vertical="center"/>
    </xf>
    <xf numFmtId="0" fontId="12" fillId="0" borderId="13" xfId="0" applyFont="1" applyBorder="1" applyAlignment="1">
      <alignment horizontal="center"/>
    </xf>
    <xf numFmtId="2" fontId="12" fillId="0" borderId="10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0" fontId="12" fillId="0" borderId="14" xfId="0" applyFont="1" applyBorder="1"/>
    <xf numFmtId="0" fontId="20" fillId="0" borderId="15" xfId="0" applyFont="1" applyBorder="1" applyAlignment="1">
      <alignment horizontal="left"/>
    </xf>
    <xf numFmtId="0" fontId="20" fillId="0" borderId="16" xfId="0" applyFont="1" applyBorder="1" applyAlignment="1">
      <alignment horizontal="left" vertical="center"/>
    </xf>
    <xf numFmtId="0" fontId="12" fillId="0" borderId="15" xfId="0" applyFont="1" applyBorder="1" applyAlignment="1">
      <alignment horizontal="center"/>
    </xf>
    <xf numFmtId="2" fontId="12" fillId="0" borderId="14" xfId="0" applyNumberFormat="1" applyFont="1" applyBorder="1" applyAlignment="1">
      <alignment horizontal="center" vertical="center"/>
    </xf>
    <xf numFmtId="2" fontId="12" fillId="0" borderId="16" xfId="0" applyNumberFormat="1" applyFont="1" applyBorder="1" applyAlignment="1">
      <alignment horizontal="center" vertical="center"/>
    </xf>
    <xf numFmtId="0" fontId="12" fillId="0" borderId="11" xfId="0" applyFont="1" applyBorder="1"/>
    <xf numFmtId="0" fontId="20" fillId="0" borderId="0" xfId="0" applyFont="1" applyAlignment="1">
      <alignment horizontal="left"/>
    </xf>
    <xf numFmtId="2" fontId="12" fillId="0" borderId="11" xfId="0" applyNumberFormat="1" applyFont="1" applyBorder="1" applyAlignment="1">
      <alignment vertical="center"/>
    </xf>
    <xf numFmtId="2" fontId="12" fillId="0" borderId="12" xfId="0" applyNumberFormat="1" applyFont="1" applyBorder="1" applyAlignment="1">
      <alignment vertical="center"/>
    </xf>
    <xf numFmtId="0" fontId="12" fillId="0" borderId="17" xfId="0" applyFont="1" applyBorder="1"/>
    <xf numFmtId="0" fontId="20" fillId="0" borderId="18" xfId="0" applyFont="1" applyBorder="1" applyAlignment="1">
      <alignment horizontal="left"/>
    </xf>
    <xf numFmtId="0" fontId="12" fillId="0" borderId="18" xfId="0" applyFont="1" applyBorder="1" applyAlignment="1">
      <alignment horizontal="center"/>
    </xf>
    <xf numFmtId="2" fontId="12" fillId="0" borderId="17" xfId="0" applyNumberFormat="1" applyFont="1" applyBorder="1" applyAlignment="1">
      <alignment vertical="center"/>
    </xf>
    <xf numFmtId="2" fontId="12" fillId="0" borderId="19" xfId="0" applyNumberFormat="1" applyFont="1" applyBorder="1" applyAlignment="1">
      <alignment vertical="center"/>
    </xf>
    <xf numFmtId="0" fontId="21" fillId="0" borderId="12" xfId="0" applyFont="1" applyBorder="1" applyAlignment="1">
      <alignment horizontal="left" vertical="center"/>
    </xf>
    <xf numFmtId="2" fontId="12" fillId="0" borderId="11" xfId="0" applyNumberFormat="1" applyFont="1" applyBorder="1" applyAlignment="1">
      <alignment horizontal="center" vertical="center"/>
    </xf>
    <xf numFmtId="2" fontId="12" fillId="0" borderId="12" xfId="0" applyNumberFormat="1" applyFont="1" applyBorder="1" applyAlignment="1">
      <alignment horizontal="center" vertical="center"/>
    </xf>
    <xf numFmtId="0" fontId="20" fillId="0" borderId="12" xfId="0" applyFont="1" applyBorder="1" applyAlignment="1">
      <alignment horizontal="left" vertical="center"/>
    </xf>
    <xf numFmtId="0" fontId="20" fillId="0" borderId="19" xfId="0" applyFont="1" applyBorder="1" applyAlignment="1">
      <alignment horizontal="left" vertical="center"/>
    </xf>
    <xf numFmtId="2" fontId="12" fillId="0" borderId="17" xfId="0" applyNumberFormat="1" applyFont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66" fontId="21" fillId="0" borderId="0" xfId="0" applyNumberFormat="1" applyFont="1"/>
    <xf numFmtId="0" fontId="21" fillId="0" borderId="15" xfId="0" applyFont="1" applyBorder="1" applyAlignment="1">
      <alignment horizontal="left"/>
    </xf>
    <xf numFmtId="0" fontId="21" fillId="0" borderId="15" xfId="0" applyFont="1" applyBorder="1" applyAlignment="1">
      <alignment horizontal="left" vertical="center"/>
    </xf>
    <xf numFmtId="0" fontId="13" fillId="2" borderId="20" xfId="0" applyFont="1" applyFill="1" applyBorder="1" applyAlignment="1">
      <alignment horizontal="center"/>
    </xf>
    <xf numFmtId="2" fontId="12" fillId="0" borderId="21" xfId="0" applyNumberFormat="1" applyFont="1" applyBorder="1" applyAlignment="1">
      <alignment horizontal="center"/>
    </xf>
    <xf numFmtId="2" fontId="12" fillId="0" borderId="14" xfId="0" applyNumberFormat="1" applyFont="1" applyBorder="1" applyAlignment="1">
      <alignment horizontal="center"/>
    </xf>
    <xf numFmtId="0" fontId="21" fillId="0" borderId="18" xfId="0" applyFont="1" applyBorder="1" applyAlignment="1">
      <alignment horizontal="left"/>
    </xf>
    <xf numFmtId="0" fontId="13" fillId="2" borderId="22" xfId="0" applyFont="1" applyFill="1" applyBorder="1" applyAlignment="1">
      <alignment horizontal="center"/>
    </xf>
    <xf numFmtId="2" fontId="12" fillId="0" borderId="23" xfId="0" applyNumberFormat="1" applyFont="1" applyBorder="1" applyAlignment="1">
      <alignment horizontal="center"/>
    </xf>
    <xf numFmtId="2" fontId="12" fillId="0" borderId="17" xfId="0" applyNumberFormat="1" applyFont="1" applyBorder="1" applyAlignment="1">
      <alignment horizontal="center"/>
    </xf>
    <xf numFmtId="1" fontId="21" fillId="0" borderId="0" xfId="0" applyNumberFormat="1" applyFont="1"/>
    <xf numFmtId="0" fontId="24" fillId="0" borderId="0" xfId="0" applyFont="1"/>
    <xf numFmtId="0" fontId="24" fillId="5" borderId="1" xfId="0" applyFont="1" applyFill="1" applyBorder="1" applyAlignment="1">
      <alignment horizontal="left"/>
    </xf>
    <xf numFmtId="9" fontId="24" fillId="5" borderId="1" xfId="0" applyNumberFormat="1" applyFont="1" applyFill="1" applyBorder="1" applyAlignment="1">
      <alignment horizontal="left"/>
    </xf>
    <xf numFmtId="0" fontId="24" fillId="0" borderId="0" xfId="0" applyFont="1" applyAlignment="1">
      <alignment horizontal="left"/>
    </xf>
    <xf numFmtId="10" fontId="24" fillId="0" borderId="0" xfId="0" applyNumberFormat="1" applyFont="1" applyAlignment="1">
      <alignment horizontal="left"/>
    </xf>
    <xf numFmtId="0" fontId="20" fillId="0" borderId="14" xfId="0" applyFont="1" applyBorder="1"/>
    <xf numFmtId="0" fontId="20" fillId="0" borderId="15" xfId="0" applyFont="1" applyBorder="1"/>
    <xf numFmtId="167" fontId="20" fillId="0" borderId="14" xfId="0" applyNumberFormat="1" applyFont="1" applyBorder="1"/>
    <xf numFmtId="167" fontId="20" fillId="0" borderId="16" xfId="0" applyNumberFormat="1" applyFont="1" applyBorder="1"/>
    <xf numFmtId="0" fontId="20" fillId="0" borderId="17" xfId="0" applyFont="1" applyBorder="1"/>
    <xf numFmtId="0" fontId="20" fillId="0" borderId="18" xfId="0" applyFont="1" applyBorder="1"/>
    <xf numFmtId="0" fontId="20" fillId="0" borderId="19" xfId="0" applyFont="1" applyBorder="1"/>
    <xf numFmtId="168" fontId="21" fillId="0" borderId="0" xfId="0" applyNumberFormat="1" applyFont="1"/>
    <xf numFmtId="2" fontId="12" fillId="0" borderId="24" xfId="0" applyNumberFormat="1" applyFont="1" applyBorder="1" applyAlignment="1">
      <alignment horizontal="center"/>
    </xf>
    <xf numFmtId="169" fontId="21" fillId="0" borderId="0" xfId="0" applyNumberFormat="1" applyFont="1"/>
    <xf numFmtId="167" fontId="21" fillId="0" borderId="0" xfId="0" applyNumberFormat="1" applyFont="1"/>
    <xf numFmtId="170" fontId="20" fillId="0" borderId="0" xfId="0" applyNumberFormat="1" applyFont="1"/>
    <xf numFmtId="1" fontId="20" fillId="0" borderId="0" xfId="0" applyNumberFormat="1" applyFont="1"/>
    <xf numFmtId="2" fontId="21" fillId="0" borderId="0" xfId="0" applyNumberFormat="1" applyFont="1"/>
    <xf numFmtId="0" fontId="23" fillId="0" borderId="24" xfId="0" applyFont="1" applyBorder="1"/>
    <xf numFmtId="0" fontId="23" fillId="0" borderId="16" xfId="0" applyFont="1" applyBorder="1"/>
    <xf numFmtId="0" fontId="20" fillId="0" borderId="24" xfId="0" applyFont="1" applyBorder="1"/>
    <xf numFmtId="0" fontId="21" fillId="0" borderId="15" xfId="0" applyFont="1" applyBorder="1"/>
    <xf numFmtId="0" fontId="21" fillId="0" borderId="16" xfId="0" applyFont="1" applyBorder="1" applyAlignment="1">
      <alignment horizontal="right"/>
    </xf>
    <xf numFmtId="0" fontId="13" fillId="0" borderId="21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20" fillId="0" borderId="21" xfId="0" applyFont="1" applyBorder="1"/>
    <xf numFmtId="0" fontId="21" fillId="0" borderId="0" xfId="0" applyFont="1" applyAlignment="1">
      <alignment horizontal="center"/>
    </xf>
    <xf numFmtId="0" fontId="21" fillId="0" borderId="12" xfId="0" applyFont="1" applyBorder="1" applyAlignment="1">
      <alignment horizontal="right"/>
    </xf>
    <xf numFmtId="0" fontId="13" fillId="0" borderId="0" xfId="0" applyFont="1"/>
    <xf numFmtId="0" fontId="21" fillId="0" borderId="0" xfId="0" applyFont="1" applyAlignment="1">
      <alignment horizontal="center" vertical="center"/>
    </xf>
    <xf numFmtId="0" fontId="25" fillId="0" borderId="12" xfId="0" applyFont="1" applyBorder="1" applyAlignment="1">
      <alignment horizontal="center"/>
    </xf>
    <xf numFmtId="0" fontId="12" fillId="0" borderId="8" xfId="0" applyFont="1" applyBorder="1"/>
    <xf numFmtId="0" fontId="12" fillId="0" borderId="13" xfId="0" applyFont="1" applyBorder="1"/>
    <xf numFmtId="2" fontId="12" fillId="0" borderId="8" xfId="0" applyNumberFormat="1" applyFont="1" applyBorder="1" applyAlignment="1">
      <alignment horizontal="center"/>
    </xf>
    <xf numFmtId="171" fontId="12" fillId="0" borderId="9" xfId="0" applyNumberFormat="1" applyFont="1" applyBorder="1" applyAlignment="1">
      <alignment horizontal="center"/>
    </xf>
    <xf numFmtId="2" fontId="20" fillId="0" borderId="8" xfId="0" applyNumberFormat="1" applyFont="1" applyBorder="1" applyAlignment="1">
      <alignment horizontal="center" vertical="center"/>
    </xf>
    <xf numFmtId="0" fontId="20" fillId="0" borderId="13" xfId="0" applyFont="1" applyBorder="1" applyAlignment="1">
      <alignment horizontal="center"/>
    </xf>
    <xf numFmtId="0" fontId="20" fillId="0" borderId="13" xfId="0" applyFont="1" applyBorder="1"/>
    <xf numFmtId="0" fontId="21" fillId="0" borderId="9" xfId="0" applyFont="1" applyBorder="1" applyAlignment="1">
      <alignment horizontal="center" vertical="center"/>
    </xf>
    <xf numFmtId="170" fontId="21" fillId="0" borderId="12" xfId="0" applyNumberFormat="1" applyFont="1" applyBorder="1" applyAlignment="1">
      <alignment horizontal="right"/>
    </xf>
    <xf numFmtId="0" fontId="12" fillId="0" borderId="24" xfId="0" applyFont="1" applyBorder="1"/>
    <xf numFmtId="0" fontId="12" fillId="0" borderId="15" xfId="0" applyFont="1" applyBorder="1"/>
    <xf numFmtId="2" fontId="20" fillId="0" borderId="24" xfId="0" applyNumberFormat="1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12" fillId="0" borderId="21" xfId="0" applyFont="1" applyBorder="1"/>
    <xf numFmtId="0" fontId="12" fillId="0" borderId="23" xfId="0" applyFont="1" applyBorder="1"/>
    <xf numFmtId="0" fontId="12" fillId="0" borderId="18" xfId="0" applyFont="1" applyBorder="1"/>
    <xf numFmtId="171" fontId="12" fillId="0" borderId="16" xfId="0" applyNumberFormat="1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171" fontId="12" fillId="0" borderId="12" xfId="0" applyNumberFormat="1" applyFont="1" applyBorder="1" applyAlignment="1">
      <alignment horizontal="center"/>
    </xf>
    <xf numFmtId="2" fontId="20" fillId="0" borderId="2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21" fillId="0" borderId="12" xfId="0" applyFont="1" applyBorder="1" applyAlignment="1">
      <alignment horizontal="center" vertical="center"/>
    </xf>
    <xf numFmtId="170" fontId="12" fillId="0" borderId="21" xfId="0" applyNumberFormat="1" applyFont="1" applyBorder="1" applyAlignment="1">
      <alignment horizontal="center"/>
    </xf>
    <xf numFmtId="171" fontId="12" fillId="0" borderId="19" xfId="0" applyNumberFormat="1" applyFont="1" applyBorder="1" applyAlignment="1">
      <alignment horizontal="center"/>
    </xf>
    <xf numFmtId="2" fontId="20" fillId="0" borderId="23" xfId="0" applyNumberFormat="1" applyFont="1" applyBorder="1" applyAlignment="1">
      <alignment horizontal="center" vertical="center"/>
    </xf>
    <xf numFmtId="0" fontId="20" fillId="0" borderId="18" xfId="0" applyFont="1" applyBorder="1" applyAlignment="1">
      <alignment horizontal="center"/>
    </xf>
    <xf numFmtId="0" fontId="21" fillId="0" borderId="19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/>
    </xf>
    <xf numFmtId="2" fontId="12" fillId="0" borderId="12" xfId="0" applyNumberFormat="1" applyFont="1" applyBorder="1" applyAlignment="1">
      <alignment horizontal="right"/>
    </xf>
    <xf numFmtId="170" fontId="20" fillId="0" borderId="24" xfId="0" applyNumberFormat="1" applyFont="1" applyBorder="1" applyAlignment="1">
      <alignment horizontal="center" vertical="center"/>
    </xf>
    <xf numFmtId="2" fontId="12" fillId="0" borderId="19" xfId="0" applyNumberFormat="1" applyFont="1" applyBorder="1" applyAlignment="1">
      <alignment horizontal="right"/>
    </xf>
    <xf numFmtId="0" fontId="20" fillId="0" borderId="23" xfId="0" applyFont="1" applyBorder="1"/>
    <xf numFmtId="0" fontId="21" fillId="0" borderId="19" xfId="0" applyFont="1" applyBorder="1"/>
    <xf numFmtId="0" fontId="21" fillId="0" borderId="18" xfId="0" applyFont="1" applyBorder="1"/>
    <xf numFmtId="0" fontId="21" fillId="0" borderId="19" xfId="0" applyFont="1" applyBorder="1" applyAlignment="1">
      <alignment horizontal="right"/>
    </xf>
    <xf numFmtId="9" fontId="24" fillId="0" borderId="0" xfId="0" applyNumberFormat="1" applyFont="1" applyAlignment="1">
      <alignment horizontal="left"/>
    </xf>
    <xf numFmtId="172" fontId="20" fillId="0" borderId="0" xfId="0" applyNumberFormat="1" applyFont="1"/>
    <xf numFmtId="171" fontId="20" fillId="0" borderId="0" xfId="0" applyNumberFormat="1" applyFont="1"/>
    <xf numFmtId="0" fontId="26" fillId="0" borderId="0" xfId="0" applyFont="1"/>
    <xf numFmtId="0" fontId="23" fillId="0" borderId="0" xfId="0" applyFont="1"/>
    <xf numFmtId="0" fontId="27" fillId="0" borderId="25" xfId="0" applyFont="1" applyBorder="1" applyAlignment="1">
      <alignment vertical="center" wrapText="1"/>
    </xf>
    <xf numFmtId="0" fontId="27" fillId="0" borderId="26" xfId="0" applyFont="1" applyBorder="1" applyAlignment="1">
      <alignment vertical="center" wrapText="1"/>
    </xf>
    <xf numFmtId="173" fontId="20" fillId="0" borderId="0" xfId="0" applyNumberFormat="1" applyFont="1"/>
    <xf numFmtId="11" fontId="20" fillId="0" borderId="0" xfId="0" applyNumberFormat="1" applyFont="1"/>
    <xf numFmtId="0" fontId="27" fillId="0" borderId="27" xfId="0" applyFont="1" applyBorder="1" applyAlignment="1">
      <alignment vertical="center" wrapText="1"/>
    </xf>
    <xf numFmtId="0" fontId="27" fillId="0" borderId="28" xfId="0" applyFont="1" applyBorder="1" applyAlignment="1">
      <alignment vertical="center" wrapText="1"/>
    </xf>
    <xf numFmtId="0" fontId="28" fillId="6" borderId="32" xfId="0" applyFont="1" applyFill="1" applyBorder="1" applyAlignment="1">
      <alignment vertical="center"/>
    </xf>
    <xf numFmtId="0" fontId="29" fillId="7" borderId="32" xfId="0" applyFont="1" applyFill="1" applyBorder="1" applyAlignment="1">
      <alignment vertical="center"/>
    </xf>
    <xf numFmtId="0" fontId="29" fillId="7" borderId="32" xfId="0" applyFont="1" applyFill="1" applyBorder="1" applyAlignment="1">
      <alignment horizontal="center" vertical="center"/>
    </xf>
    <xf numFmtId="0" fontId="29" fillId="7" borderId="33" xfId="0" applyFont="1" applyFill="1" applyBorder="1"/>
    <xf numFmtId="0" fontId="29" fillId="7" borderId="34" xfId="0" applyFont="1" applyFill="1" applyBorder="1"/>
    <xf numFmtId="0" fontId="29" fillId="7" borderId="32" xfId="0" applyFont="1" applyFill="1" applyBorder="1" applyAlignment="1">
      <alignment horizontal="center"/>
    </xf>
    <xf numFmtId="0" fontId="29" fillId="7" borderId="32" xfId="0" applyFont="1" applyFill="1" applyBorder="1" applyAlignment="1">
      <alignment horizontal="center" vertical="center" wrapText="1"/>
    </xf>
    <xf numFmtId="0" fontId="24" fillId="0" borderId="32" xfId="0" applyFont="1" applyBorder="1" applyAlignment="1">
      <alignment horizontal="left" vertical="top"/>
    </xf>
    <xf numFmtId="0" fontId="24" fillId="0" borderId="32" xfId="0" applyFont="1" applyBorder="1" applyAlignment="1">
      <alignment vertical="center" wrapText="1"/>
    </xf>
    <xf numFmtId="0" fontId="24" fillId="0" borderId="32" xfId="0" applyFont="1" applyBorder="1"/>
    <xf numFmtId="171" fontId="24" fillId="0" borderId="32" xfId="0" applyNumberFormat="1" applyFont="1" applyBorder="1"/>
    <xf numFmtId="174" fontId="24" fillId="0" borderId="32" xfId="0" applyNumberFormat="1" applyFont="1" applyBorder="1"/>
    <xf numFmtId="0" fontId="24" fillId="8" borderId="32" xfId="0" applyFont="1" applyFill="1" applyBorder="1" applyAlignment="1">
      <alignment horizontal="left" vertical="top"/>
    </xf>
    <xf numFmtId="0" fontId="24" fillId="8" borderId="32" xfId="0" applyFont="1" applyFill="1" applyBorder="1" applyAlignment="1">
      <alignment vertical="center" wrapText="1"/>
    </xf>
    <xf numFmtId="0" fontId="24" fillId="8" borderId="32" xfId="0" applyFont="1" applyFill="1" applyBorder="1"/>
    <xf numFmtId="171" fontId="24" fillId="8" borderId="32" xfId="0" applyNumberFormat="1" applyFont="1" applyFill="1" applyBorder="1"/>
    <xf numFmtId="174" fontId="24" fillId="8" borderId="32" xfId="0" applyNumberFormat="1" applyFont="1" applyFill="1" applyBorder="1"/>
    <xf numFmtId="0" fontId="30" fillId="0" borderId="32" xfId="0" applyFont="1" applyBorder="1" applyAlignment="1">
      <alignment horizontal="left" vertical="top"/>
    </xf>
    <xf numFmtId="0" fontId="31" fillId="0" borderId="32" xfId="0" applyFont="1" applyBorder="1" applyAlignment="1">
      <alignment vertical="center" wrapText="1"/>
    </xf>
    <xf numFmtId="0" fontId="31" fillId="0" borderId="32" xfId="0" applyFont="1" applyBorder="1"/>
    <xf numFmtId="171" fontId="31" fillId="0" borderId="32" xfId="0" applyNumberFormat="1" applyFont="1" applyBorder="1"/>
    <xf numFmtId="174" fontId="31" fillId="0" borderId="32" xfId="0" applyNumberFormat="1" applyFont="1" applyBorder="1"/>
    <xf numFmtId="171" fontId="30" fillId="0" borderId="32" xfId="0" applyNumberFormat="1" applyFont="1" applyBorder="1"/>
    <xf numFmtId="0" fontId="30" fillId="8" borderId="32" xfId="0" applyFont="1" applyFill="1" applyBorder="1" applyAlignment="1">
      <alignment horizontal="right" vertical="top"/>
    </xf>
    <xf numFmtId="0" fontId="24" fillId="8" borderId="32" xfId="0" applyFont="1" applyFill="1" applyBorder="1" applyAlignment="1">
      <alignment horizontal="left" vertical="center" wrapText="1"/>
    </xf>
    <xf numFmtId="0" fontId="30" fillId="0" borderId="32" xfId="0" applyFont="1" applyBorder="1" applyAlignment="1">
      <alignment horizontal="right" vertical="top"/>
    </xf>
    <xf numFmtId="0" fontId="24" fillId="0" borderId="32" xfId="0" applyFont="1" applyBorder="1" applyAlignment="1">
      <alignment horizontal="left" vertical="center" wrapText="1"/>
    </xf>
    <xf numFmtId="0" fontId="29" fillId="6" borderId="32" xfId="0" applyFont="1" applyFill="1" applyBorder="1" applyAlignment="1">
      <alignment vertical="center"/>
    </xf>
    <xf numFmtId="166" fontId="24" fillId="0" borderId="32" xfId="0" applyNumberFormat="1" applyFont="1" applyBorder="1"/>
    <xf numFmtId="175" fontId="24" fillId="0" borderId="32" xfId="0" applyNumberFormat="1" applyFont="1" applyBorder="1"/>
    <xf numFmtId="166" fontId="24" fillId="8" borderId="32" xfId="0" applyNumberFormat="1" applyFont="1" applyFill="1" applyBorder="1"/>
    <xf numFmtId="175" fontId="24" fillId="8" borderId="32" xfId="0" applyNumberFormat="1" applyFont="1" applyFill="1" applyBorder="1"/>
    <xf numFmtId="172" fontId="24" fillId="8" borderId="32" xfId="0" applyNumberFormat="1" applyFont="1" applyFill="1" applyBorder="1"/>
    <xf numFmtId="166" fontId="24" fillId="0" borderId="0" xfId="0" applyNumberFormat="1" applyFont="1"/>
    <xf numFmtId="175" fontId="24" fillId="0" borderId="0" xfId="0" applyNumberFormat="1" applyFont="1"/>
    <xf numFmtId="0" fontId="28" fillId="6" borderId="1" xfId="0" applyFont="1" applyFill="1" applyBorder="1" applyAlignment="1">
      <alignment horizontal="center" vertical="center"/>
    </xf>
    <xf numFmtId="0" fontId="29" fillId="7" borderId="33" xfId="0" applyFont="1" applyFill="1" applyBorder="1" applyAlignment="1">
      <alignment horizontal="center" vertical="center" wrapText="1"/>
    </xf>
    <xf numFmtId="0" fontId="29" fillId="7" borderId="34" xfId="0" applyFont="1" applyFill="1" applyBorder="1" applyAlignment="1">
      <alignment horizontal="center" vertical="center" wrapText="1"/>
    </xf>
    <xf numFmtId="166" fontId="24" fillId="2" borderId="33" xfId="0" applyNumberFormat="1" applyFont="1" applyFill="1" applyBorder="1"/>
    <xf numFmtId="166" fontId="24" fillId="2" borderId="34" xfId="0" applyNumberFormat="1" applyFont="1" applyFill="1" applyBorder="1"/>
    <xf numFmtId="175" fontId="24" fillId="2" borderId="32" xfId="0" applyNumberFormat="1" applyFont="1" applyFill="1" applyBorder="1"/>
    <xf numFmtId="166" fontId="24" fillId="2" borderId="32" xfId="0" applyNumberFormat="1" applyFont="1" applyFill="1" applyBorder="1"/>
    <xf numFmtId="166" fontId="24" fillId="8" borderId="33" xfId="0" applyNumberFormat="1" applyFont="1" applyFill="1" applyBorder="1"/>
    <xf numFmtId="166" fontId="24" fillId="8" borderId="34" xfId="0" applyNumberFormat="1" applyFont="1" applyFill="1" applyBorder="1"/>
    <xf numFmtId="166" fontId="32" fillId="2" borderId="33" xfId="0" applyNumberFormat="1" applyFont="1" applyFill="1" applyBorder="1"/>
    <xf numFmtId="166" fontId="32" fillId="2" borderId="34" xfId="0" applyNumberFormat="1" applyFont="1" applyFill="1" applyBorder="1"/>
    <xf numFmtId="175" fontId="32" fillId="2" borderId="32" xfId="0" applyNumberFormat="1" applyFont="1" applyFill="1" applyBorder="1"/>
    <xf numFmtId="166" fontId="32" fillId="2" borderId="32" xfId="0" applyNumberFormat="1" applyFont="1" applyFill="1" applyBorder="1"/>
    <xf numFmtId="166" fontId="29" fillId="7" borderId="32" xfId="0" applyNumberFormat="1" applyFont="1" applyFill="1" applyBorder="1" applyAlignment="1">
      <alignment horizontal="center" vertical="center" wrapText="1"/>
    </xf>
    <xf numFmtId="166" fontId="32" fillId="8" borderId="33" xfId="0" applyNumberFormat="1" applyFont="1" applyFill="1" applyBorder="1"/>
    <xf numFmtId="166" fontId="32" fillId="8" borderId="34" xfId="0" applyNumberFormat="1" applyFont="1" applyFill="1" applyBorder="1"/>
    <xf numFmtId="175" fontId="32" fillId="8" borderId="32" xfId="0" applyNumberFormat="1" applyFont="1" applyFill="1" applyBorder="1"/>
    <xf numFmtId="166" fontId="32" fillId="8" borderId="32" xfId="0" applyNumberFormat="1" applyFont="1" applyFill="1" applyBorder="1"/>
    <xf numFmtId="0" fontId="33" fillId="0" borderId="0" xfId="0" applyFont="1"/>
    <xf numFmtId="0" fontId="33" fillId="0" borderId="0" xfId="0" applyFont="1" applyAlignment="1">
      <alignment wrapText="1"/>
    </xf>
    <xf numFmtId="1" fontId="34" fillId="0" borderId="0" xfId="0" applyNumberFormat="1" applyFont="1" applyAlignment="1">
      <alignment horizontal="center" vertical="center"/>
    </xf>
    <xf numFmtId="169" fontId="12" fillId="0" borderId="0" xfId="0" applyNumberFormat="1" applyFont="1"/>
    <xf numFmtId="0" fontId="15" fillId="2" borderId="1" xfId="0" applyFont="1" applyFill="1" applyBorder="1" applyAlignment="1">
      <alignment horizontal="left"/>
    </xf>
    <xf numFmtId="0" fontId="16" fillId="2" borderId="1" xfId="0" applyFont="1" applyFill="1" applyBorder="1"/>
    <xf numFmtId="0" fontId="17" fillId="3" borderId="5" xfId="0" applyFont="1" applyFill="1" applyBorder="1" applyAlignment="1">
      <alignment horizontal="left"/>
    </xf>
    <xf numFmtId="0" fontId="17" fillId="3" borderId="6" xfId="0" applyFont="1" applyFill="1" applyBorder="1" applyAlignment="1">
      <alignment horizontal="left"/>
    </xf>
    <xf numFmtId="0" fontId="17" fillId="3" borderId="5" xfId="0" applyFont="1" applyFill="1" applyBorder="1" applyAlignment="1">
      <alignment horizontal="center" wrapText="1"/>
    </xf>
    <xf numFmtId="0" fontId="18" fillId="4" borderId="7" xfId="0" applyFont="1" applyFill="1" applyBorder="1" applyAlignment="1">
      <alignment horizontal="left" wrapText="1"/>
    </xf>
    <xf numFmtId="0" fontId="18" fillId="4" borderId="7" xfId="0" applyFont="1" applyFill="1" applyBorder="1" applyAlignment="1">
      <alignment horizontal="center" vertical="center" wrapText="1"/>
    </xf>
    <xf numFmtId="0" fontId="18" fillId="4" borderId="7" xfId="0" applyFont="1" applyFill="1" applyBorder="1" applyAlignment="1">
      <alignment horizontal="center" wrapText="1"/>
    </xf>
    <xf numFmtId="0" fontId="12" fillId="0" borderId="0" xfId="0" applyFont="1" applyAlignment="1">
      <alignment horizontal="center" vertical="center"/>
    </xf>
    <xf numFmtId="170" fontId="12" fillId="0" borderId="0" xfId="0" applyNumberFormat="1" applyFont="1"/>
    <xf numFmtId="0" fontId="12" fillId="5" borderId="1" xfId="0" applyFont="1" applyFill="1" applyBorder="1"/>
    <xf numFmtId="0" fontId="12" fillId="9" borderId="1" xfId="0" applyFont="1" applyFill="1" applyBorder="1"/>
    <xf numFmtId="9" fontId="12" fillId="9" borderId="1" xfId="0" applyNumberFormat="1" applyFont="1" applyFill="1" applyBorder="1"/>
    <xf numFmtId="0" fontId="35" fillId="10" borderId="1" xfId="0" applyFont="1" applyFill="1" applyBorder="1" applyAlignment="1">
      <alignment horizontal="center" vertical="center"/>
    </xf>
    <xf numFmtId="2" fontId="12" fillId="10" borderId="1" xfId="0" applyNumberFormat="1" applyFont="1" applyFill="1" applyBorder="1"/>
    <xf numFmtId="0" fontId="35" fillId="0" borderId="0" xfId="0" applyFont="1" applyAlignment="1">
      <alignment horizontal="center" vertical="center"/>
    </xf>
    <xf numFmtId="2" fontId="12" fillId="0" borderId="0" xfId="0" applyNumberFormat="1" applyFont="1"/>
    <xf numFmtId="170" fontId="12" fillId="9" borderId="1" xfId="0" applyNumberFormat="1" applyFont="1" applyFill="1" applyBorder="1"/>
    <xf numFmtId="169" fontId="12" fillId="9" borderId="1" xfId="0" applyNumberFormat="1" applyFont="1" applyFill="1" applyBorder="1"/>
    <xf numFmtId="167" fontId="12" fillId="9" borderId="1" xfId="0" applyNumberFormat="1" applyFont="1" applyFill="1" applyBorder="1"/>
    <xf numFmtId="169" fontId="12" fillId="10" borderId="1" xfId="0" applyNumberFormat="1" applyFont="1" applyFill="1" applyBorder="1"/>
    <xf numFmtId="0" fontId="35" fillId="0" borderId="0" xfId="0" applyFont="1" applyAlignment="1">
      <alignment horizontal="center"/>
    </xf>
    <xf numFmtId="9" fontId="12" fillId="0" borderId="0" xfId="0" applyNumberFormat="1" applyFont="1"/>
    <xf numFmtId="0" fontId="12" fillId="11" borderId="41" xfId="0" applyFont="1" applyFill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1" fontId="12" fillId="0" borderId="0" xfId="0" applyNumberFormat="1" applyFont="1"/>
    <xf numFmtId="176" fontId="12" fillId="11" borderId="41" xfId="0" applyNumberFormat="1" applyFont="1" applyFill="1" applyBorder="1" applyAlignment="1">
      <alignment horizontal="center" vertical="center"/>
    </xf>
    <xf numFmtId="0" fontId="20" fillId="2" borderId="1" xfId="0" applyFont="1" applyFill="1" applyBorder="1"/>
    <xf numFmtId="0" fontId="36" fillId="2" borderId="1" xfId="0" applyFont="1" applyFill="1" applyBorder="1"/>
    <xf numFmtId="0" fontId="36" fillId="0" borderId="0" xfId="0" applyFont="1"/>
    <xf numFmtId="164" fontId="36" fillId="0" borderId="0" xfId="0" applyNumberFormat="1" applyFont="1"/>
    <xf numFmtId="0" fontId="23" fillId="3" borderId="5" xfId="0" applyFont="1" applyFill="1" applyBorder="1" applyAlignment="1">
      <alignment vertical="center"/>
    </xf>
    <xf numFmtId="0" fontId="23" fillId="3" borderId="6" xfId="0" applyFont="1" applyFill="1" applyBorder="1" applyAlignment="1">
      <alignment horizontal="left"/>
    </xf>
    <xf numFmtId="0" fontId="23" fillId="3" borderId="6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164" fontId="23" fillId="3" borderId="6" xfId="0" applyNumberFormat="1" applyFont="1" applyFill="1" applyBorder="1" applyAlignment="1">
      <alignment horizontal="left"/>
    </xf>
    <xf numFmtId="0" fontId="20" fillId="4" borderId="5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0" fontId="20" fillId="2" borderId="1" xfId="0" applyFont="1" applyFill="1" applyBorder="1" applyAlignment="1">
      <alignment horizontal="left"/>
    </xf>
    <xf numFmtId="0" fontId="20" fillId="4" borderId="6" xfId="0" applyFont="1" applyFill="1" applyBorder="1" applyAlignment="1">
      <alignment horizontal="left" wrapText="1"/>
    </xf>
    <xf numFmtId="0" fontId="20" fillId="2" borderId="1" xfId="0" applyFont="1" applyFill="1" applyBorder="1" applyAlignment="1">
      <alignment horizontal="center" wrapText="1"/>
    </xf>
    <xf numFmtId="169" fontId="20" fillId="0" borderId="0" xfId="0" applyNumberFormat="1" applyFont="1"/>
    <xf numFmtId="0" fontId="20" fillId="0" borderId="0" xfId="0" applyFont="1" applyAlignment="1">
      <alignment horizontal="center" vertical="center"/>
    </xf>
    <xf numFmtId="169" fontId="20" fillId="2" borderId="1" xfId="0" applyNumberFormat="1" applyFont="1" applyFill="1" applyBorder="1"/>
    <xf numFmtId="0" fontId="16" fillId="2" borderId="1" xfId="0" applyFont="1" applyFill="1" applyBorder="1" applyAlignment="1">
      <alignment vertical="center" wrapText="1"/>
    </xf>
    <xf numFmtId="169" fontId="16" fillId="2" borderId="1" xfId="0" applyNumberFormat="1" applyFont="1" applyFill="1" applyBorder="1" applyAlignment="1">
      <alignment wrapText="1"/>
    </xf>
    <xf numFmtId="164" fontId="20" fillId="0" borderId="0" xfId="0" applyNumberFormat="1" applyFont="1" applyAlignment="1">
      <alignment wrapText="1"/>
    </xf>
    <xf numFmtId="0" fontId="20" fillId="0" borderId="0" xfId="0" applyFont="1" applyAlignment="1">
      <alignment wrapText="1"/>
    </xf>
    <xf numFmtId="9" fontId="20" fillId="0" borderId="0" xfId="0" applyNumberFormat="1" applyFont="1" applyAlignment="1">
      <alignment horizontal="center" vertical="center" wrapText="1"/>
    </xf>
    <xf numFmtId="9" fontId="20" fillId="0" borderId="0" xfId="0" applyNumberFormat="1" applyFont="1" applyAlignment="1">
      <alignment wrapText="1"/>
    </xf>
    <xf numFmtId="164" fontId="20" fillId="2" borderId="1" xfId="0" applyNumberFormat="1" applyFont="1" applyFill="1" applyBorder="1" applyAlignment="1">
      <alignment horizontal="left" wrapText="1"/>
    </xf>
    <xf numFmtId="164" fontId="20" fillId="0" borderId="0" xfId="0" applyNumberFormat="1" applyFont="1"/>
    <xf numFmtId="9" fontId="20" fillId="0" borderId="0" xfId="0" applyNumberFormat="1" applyFont="1" applyAlignment="1">
      <alignment horizontal="center" vertical="center"/>
    </xf>
    <xf numFmtId="9" fontId="20" fillId="0" borderId="0" xfId="0" applyNumberFormat="1" applyFont="1"/>
    <xf numFmtId="0" fontId="12" fillId="11" borderId="1" xfId="0" applyFont="1" applyFill="1" applyBorder="1"/>
    <xf numFmtId="0" fontId="13" fillId="11" borderId="1" xfId="0" applyFont="1" applyFill="1" applyBorder="1" applyAlignment="1">
      <alignment horizontal="center"/>
    </xf>
    <xf numFmtId="0" fontId="12" fillId="11" borderId="1" xfId="0" applyFont="1" applyFill="1" applyBorder="1" applyAlignment="1">
      <alignment horizontal="center"/>
    </xf>
    <xf numFmtId="0" fontId="12" fillId="11" borderId="1" xfId="0" applyFont="1" applyFill="1" applyBorder="1" applyAlignment="1">
      <alignment horizontal="center" vertical="center"/>
    </xf>
    <xf numFmtId="9" fontId="12" fillId="11" borderId="1" xfId="0" applyNumberFormat="1" applyFont="1" applyFill="1" applyBorder="1"/>
    <xf numFmtId="10" fontId="12" fillId="0" borderId="0" xfId="0" applyNumberFormat="1" applyFont="1"/>
    <xf numFmtId="177" fontId="12" fillId="0" borderId="0" xfId="0" applyNumberFormat="1" applyFont="1"/>
    <xf numFmtId="0" fontId="15" fillId="0" borderId="0" xfId="0" applyFont="1"/>
    <xf numFmtId="0" fontId="16" fillId="0" borderId="0" xfId="0" applyFont="1"/>
    <xf numFmtId="0" fontId="17" fillId="3" borderId="6" xfId="0" applyFont="1" applyFill="1" applyBorder="1" applyAlignment="1">
      <alignment vertical="center"/>
    </xf>
    <xf numFmtId="0" fontId="17" fillId="3" borderId="6" xfId="0" applyFont="1" applyFill="1" applyBorder="1" applyAlignment="1">
      <alignment horizontal="center" vertical="center"/>
    </xf>
    <xf numFmtId="169" fontId="16" fillId="2" borderId="1" xfId="0" applyNumberFormat="1" applyFont="1" applyFill="1" applyBorder="1" applyAlignment="1">
      <alignment horizontal="center"/>
    </xf>
    <xf numFmtId="169" fontId="12" fillId="2" borderId="1" xfId="0" applyNumberFormat="1" applyFont="1" applyFill="1" applyBorder="1" applyAlignment="1">
      <alignment horizontal="center"/>
    </xf>
    <xf numFmtId="169" fontId="12" fillId="0" borderId="0" xfId="0" applyNumberFormat="1" applyFont="1" applyAlignment="1">
      <alignment horizontal="center"/>
    </xf>
    <xf numFmtId="169" fontId="19" fillId="0" borderId="0" xfId="0" applyNumberFormat="1" applyFont="1"/>
    <xf numFmtId="0" fontId="23" fillId="0" borderId="11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37" fillId="2" borderId="1" xfId="0" applyFont="1" applyFill="1" applyBorder="1"/>
    <xf numFmtId="0" fontId="37" fillId="0" borderId="0" xfId="0" applyFont="1"/>
    <xf numFmtId="178" fontId="12" fillId="0" borderId="0" xfId="0" applyNumberFormat="1" applyFont="1"/>
    <xf numFmtId="0" fontId="12" fillId="12" borderId="1" xfId="0" applyFont="1" applyFill="1" applyBorder="1"/>
    <xf numFmtId="0" fontId="38" fillId="0" borderId="0" xfId="0" applyFont="1"/>
    <xf numFmtId="0" fontId="15" fillId="0" borderId="0" xfId="0" applyFont="1" applyAlignment="1">
      <alignment horizontal="left"/>
    </xf>
    <xf numFmtId="0" fontId="17" fillId="3" borderId="7" xfId="0" applyFont="1" applyFill="1" applyBorder="1" applyAlignment="1">
      <alignment horizontal="left" vertical="center"/>
    </xf>
    <xf numFmtId="0" fontId="17" fillId="3" borderId="7" xfId="0" applyFont="1" applyFill="1" applyBorder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169" fontId="12" fillId="0" borderId="0" xfId="0" applyNumberFormat="1" applyFont="1" applyAlignment="1">
      <alignment horizontal="center" vertical="center"/>
    </xf>
    <xf numFmtId="0" fontId="39" fillId="0" borderId="0" xfId="0" applyFont="1"/>
    <xf numFmtId="0" fontId="40" fillId="0" borderId="0" xfId="0" applyFont="1"/>
    <xf numFmtId="0" fontId="33" fillId="0" borderId="0" xfId="0" applyFont="1" applyAlignment="1">
      <alignment horizontal="center" vertical="center"/>
    </xf>
    <xf numFmtId="166" fontId="33" fillId="0" borderId="0" xfId="0" applyNumberFormat="1" applyFont="1" applyAlignment="1">
      <alignment horizontal="center" vertical="center"/>
    </xf>
    <xf numFmtId="9" fontId="12" fillId="0" borderId="0" xfId="0" applyNumberFormat="1" applyFont="1" applyAlignment="1">
      <alignment horizontal="center" vertical="center"/>
    </xf>
    <xf numFmtId="166" fontId="12" fillId="0" borderId="0" xfId="0" applyNumberFormat="1" applyFont="1"/>
    <xf numFmtId="166" fontId="12" fillId="0" borderId="0" xfId="0" applyNumberFormat="1" applyFont="1" applyAlignment="1">
      <alignment horizontal="center" vertical="center"/>
    </xf>
    <xf numFmtId="9" fontId="12" fillId="0" borderId="0" xfId="0" applyNumberFormat="1" applyFont="1" applyAlignment="1">
      <alignment horizontal="center"/>
    </xf>
    <xf numFmtId="174" fontId="12" fillId="0" borderId="0" xfId="0" applyNumberFormat="1" applyFont="1"/>
    <xf numFmtId="0" fontId="24" fillId="0" borderId="0" xfId="0" applyFont="1" applyAlignment="1">
      <alignment horizontal="center" vertical="center"/>
    </xf>
    <xf numFmtId="166" fontId="12" fillId="0" borderId="0" xfId="0" applyNumberFormat="1" applyFont="1" applyAlignment="1">
      <alignment horizontal="center"/>
    </xf>
    <xf numFmtId="171" fontId="12" fillId="0" borderId="0" xfId="0" applyNumberFormat="1" applyFont="1"/>
    <xf numFmtId="0" fontId="24" fillId="10" borderId="43" xfId="0" applyFont="1" applyFill="1" applyBorder="1"/>
    <xf numFmtId="0" fontId="13" fillId="10" borderId="5" xfId="0" applyFont="1" applyFill="1" applyBorder="1"/>
    <xf numFmtId="0" fontId="12" fillId="10" borderId="5" xfId="0" applyFont="1" applyFill="1" applyBorder="1"/>
    <xf numFmtId="0" fontId="12" fillId="10" borderId="44" xfId="0" applyFont="1" applyFill="1" applyBorder="1"/>
    <xf numFmtId="0" fontId="24" fillId="0" borderId="21" xfId="0" applyFont="1" applyBorder="1"/>
    <xf numFmtId="0" fontId="12" fillId="0" borderId="12" xfId="0" applyFont="1" applyBorder="1"/>
    <xf numFmtId="0" fontId="12" fillId="10" borderId="1" xfId="0" applyFont="1" applyFill="1" applyBorder="1"/>
    <xf numFmtId="9" fontId="12" fillId="10" borderId="1" xfId="0" applyNumberFormat="1" applyFont="1" applyFill="1" applyBorder="1"/>
    <xf numFmtId="0" fontId="24" fillId="10" borderId="45" xfId="0" applyFont="1" applyFill="1" applyBorder="1"/>
    <xf numFmtId="9" fontId="12" fillId="2" borderId="1" xfId="0" applyNumberFormat="1" applyFont="1" applyFill="1" applyBorder="1"/>
    <xf numFmtId="0" fontId="24" fillId="0" borderId="23" xfId="0" applyFont="1" applyBorder="1"/>
    <xf numFmtId="10" fontId="12" fillId="0" borderId="18" xfId="0" applyNumberFormat="1" applyFont="1" applyBorder="1"/>
    <xf numFmtId="0" fontId="12" fillId="0" borderId="19" xfId="0" applyFont="1" applyBorder="1"/>
    <xf numFmtId="10" fontId="12" fillId="0" borderId="0" xfId="0" applyNumberFormat="1" applyFont="1" applyAlignment="1">
      <alignment horizontal="center" vertical="center"/>
    </xf>
    <xf numFmtId="10" fontId="12" fillId="0" borderId="0" xfId="0" applyNumberFormat="1" applyFont="1" applyAlignment="1">
      <alignment horizontal="center"/>
    </xf>
    <xf numFmtId="2" fontId="12" fillId="0" borderId="15" xfId="0" applyNumberFormat="1" applyFont="1" applyBorder="1"/>
    <xf numFmtId="2" fontId="12" fillId="0" borderId="16" xfId="0" applyNumberFormat="1" applyFont="1" applyBorder="1"/>
    <xf numFmtId="2" fontId="12" fillId="0" borderId="12" xfId="0" applyNumberFormat="1" applyFont="1" applyBorder="1"/>
    <xf numFmtId="2" fontId="12" fillId="0" borderId="18" xfId="0" applyNumberFormat="1" applyFont="1" applyBorder="1"/>
    <xf numFmtId="2" fontId="12" fillId="0" borderId="19" xfId="0" applyNumberFormat="1" applyFont="1" applyBorder="1"/>
    <xf numFmtId="0" fontId="12" fillId="2" borderId="45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9" fontId="12" fillId="2" borderId="1" xfId="0" applyNumberFormat="1" applyFont="1" applyFill="1" applyBorder="1" applyAlignment="1">
      <alignment horizontal="center" vertical="center"/>
    </xf>
    <xf numFmtId="9" fontId="12" fillId="2" borderId="46" xfId="0" applyNumberFormat="1" applyFont="1" applyFill="1" applyBorder="1" applyAlignment="1">
      <alignment horizontal="center" vertical="center"/>
    </xf>
    <xf numFmtId="0" fontId="12" fillId="2" borderId="48" xfId="0" applyFont="1" applyFill="1" applyBorder="1" applyAlignment="1">
      <alignment horizontal="center" vertical="center"/>
    </xf>
    <xf numFmtId="0" fontId="12" fillId="2" borderId="50" xfId="0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164" fontId="41" fillId="0" borderId="0" xfId="0" applyNumberFormat="1" applyFont="1"/>
    <xf numFmtId="0" fontId="12" fillId="0" borderId="0" xfId="0" applyFont="1"/>
    <xf numFmtId="0" fontId="41" fillId="0" borderId="0" xfId="0" applyFont="1"/>
    <xf numFmtId="0" fontId="12" fillId="0" borderId="0" xfId="0" applyFont="1" applyAlignment="1">
      <alignment horizontal="right"/>
    </xf>
    <xf numFmtId="164" fontId="13" fillId="3" borderId="51" xfId="0" applyNumberFormat="1" applyFont="1" applyFill="1" applyBorder="1" applyAlignment="1">
      <alignment horizontal="left"/>
    </xf>
    <xf numFmtId="164" fontId="13" fillId="3" borderId="6" xfId="0" applyNumberFormat="1" applyFont="1" applyFill="1" applyBorder="1" applyAlignment="1">
      <alignment horizontal="left"/>
    </xf>
    <xf numFmtId="164" fontId="13" fillId="3" borderId="52" xfId="0" applyNumberFormat="1" applyFont="1" applyFill="1" applyBorder="1" applyAlignment="1">
      <alignment horizontal="left"/>
    </xf>
    <xf numFmtId="0" fontId="17" fillId="10" borderId="51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41" fillId="2" borderId="1" xfId="0" applyFont="1" applyFill="1" applyBorder="1" applyAlignment="1">
      <alignment horizontal="center" vertical="center"/>
    </xf>
    <xf numFmtId="0" fontId="17" fillId="13" borderId="6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164" fontId="16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2" fontId="16" fillId="9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 wrapText="1"/>
    </xf>
    <xf numFmtId="179" fontId="12" fillId="0" borderId="0" xfId="0" applyNumberFormat="1" applyFont="1"/>
    <xf numFmtId="0" fontId="12" fillId="2" borderId="1" xfId="0" applyFont="1" applyFill="1" applyBorder="1" applyAlignment="1">
      <alignment horizontal="left"/>
    </xf>
    <xf numFmtId="0" fontId="13" fillId="0" borderId="18" xfId="0" applyFont="1" applyBorder="1" applyAlignment="1">
      <alignment horizontal="center"/>
    </xf>
    <xf numFmtId="2" fontId="42" fillId="0" borderId="0" xfId="0" applyNumberFormat="1" applyFont="1"/>
    <xf numFmtId="0" fontId="42" fillId="0" borderId="0" xfId="0" applyFont="1"/>
    <xf numFmtId="164" fontId="41" fillId="2" borderId="1" xfId="0" applyNumberFormat="1" applyFont="1" applyFill="1" applyBorder="1"/>
    <xf numFmtId="164" fontId="12" fillId="2" borderId="1" xfId="0" applyNumberFormat="1" applyFont="1" applyFill="1" applyBorder="1"/>
    <xf numFmtId="164" fontId="12" fillId="2" borderId="1" xfId="0" applyNumberFormat="1" applyFont="1" applyFill="1" applyBorder="1" applyAlignment="1">
      <alignment horizontal="left" wrapText="1"/>
    </xf>
    <xf numFmtId="0" fontId="12" fillId="14" borderId="1" xfId="0" applyFont="1" applyFill="1" applyBorder="1" applyAlignment="1">
      <alignment horizontal="right"/>
    </xf>
    <xf numFmtId="170" fontId="12" fillId="14" borderId="1" xfId="0" applyNumberFormat="1" applyFont="1" applyFill="1" applyBorder="1"/>
    <xf numFmtId="0" fontId="12" fillId="14" borderId="1" xfId="0" applyFont="1" applyFill="1" applyBorder="1"/>
    <xf numFmtId="0" fontId="13" fillId="10" borderId="51" xfId="0" applyFont="1" applyFill="1" applyBorder="1" applyAlignment="1">
      <alignment horizontal="center" vertical="center"/>
    </xf>
    <xf numFmtId="0" fontId="13" fillId="10" borderId="6" xfId="0" applyFont="1" applyFill="1" applyBorder="1" applyAlignment="1">
      <alignment horizontal="center" vertical="center"/>
    </xf>
    <xf numFmtId="0" fontId="13" fillId="10" borderId="52" xfId="0" applyFont="1" applyFill="1" applyBorder="1" applyAlignment="1">
      <alignment horizontal="center" vertical="center"/>
    </xf>
    <xf numFmtId="164" fontId="12" fillId="2" borderId="1" xfId="0" applyNumberFormat="1" applyFont="1" applyFill="1" applyBorder="1" applyAlignment="1">
      <alignment horizontal="center" vertical="center"/>
    </xf>
    <xf numFmtId="0" fontId="12" fillId="15" borderId="1" xfId="0" applyFont="1" applyFill="1" applyBorder="1"/>
    <xf numFmtId="0" fontId="12" fillId="16" borderId="1" xfId="0" applyFont="1" applyFill="1" applyBorder="1"/>
    <xf numFmtId="0" fontId="13" fillId="12" borderId="6" xfId="0" applyFont="1" applyFill="1" applyBorder="1" applyAlignment="1">
      <alignment horizontal="center" vertical="center"/>
    </xf>
    <xf numFmtId="10" fontId="43" fillId="0" borderId="0" xfId="0" applyNumberFormat="1" applyFont="1"/>
    <xf numFmtId="2" fontId="12" fillId="0" borderId="0" xfId="0" applyNumberFormat="1" applyFont="1" applyAlignment="1">
      <alignment horizontal="right"/>
    </xf>
    <xf numFmtId="9" fontId="12" fillId="0" borderId="12" xfId="0" applyNumberFormat="1" applyFont="1" applyBorder="1"/>
    <xf numFmtId="0" fontId="13" fillId="0" borderId="18" xfId="0" applyFont="1" applyBorder="1" applyAlignment="1">
      <alignment horizontal="right"/>
    </xf>
    <xf numFmtId="2" fontId="12" fillId="0" borderId="0" xfId="0" applyNumberFormat="1" applyFont="1" applyAlignment="1">
      <alignment horizontal="center"/>
    </xf>
    <xf numFmtId="9" fontId="12" fillId="0" borderId="0" xfId="0" applyNumberFormat="1" applyFont="1" applyAlignment="1">
      <alignment horizontal="right"/>
    </xf>
    <xf numFmtId="9" fontId="43" fillId="0" borderId="0" xfId="0" applyNumberFormat="1" applyFont="1" applyAlignment="1">
      <alignment horizontal="center"/>
    </xf>
    <xf numFmtId="9" fontId="43" fillId="0" borderId="0" xfId="0" applyNumberFormat="1" applyFont="1"/>
    <xf numFmtId="9" fontId="12" fillId="2" borderId="53" xfId="0" applyNumberFormat="1" applyFont="1" applyFill="1" applyBorder="1"/>
    <xf numFmtId="2" fontId="12" fillId="2" borderId="1" xfId="0" applyNumberFormat="1" applyFont="1" applyFill="1" applyBorder="1"/>
    <xf numFmtId="0" fontId="17" fillId="10" borderId="6" xfId="0" applyFont="1" applyFill="1" applyBorder="1" applyAlignment="1">
      <alignment horizontal="center" vertical="center"/>
    </xf>
    <xf numFmtId="0" fontId="17" fillId="10" borderId="52" xfId="0" applyFont="1" applyFill="1" applyBorder="1" applyAlignment="1">
      <alignment horizontal="center" vertical="center"/>
    </xf>
    <xf numFmtId="0" fontId="17" fillId="10" borderId="1" xfId="0" applyFont="1" applyFill="1" applyBorder="1" applyAlignment="1">
      <alignment horizontal="center" vertical="center"/>
    </xf>
    <xf numFmtId="10" fontId="44" fillId="0" borderId="0" xfId="0" applyNumberFormat="1" applyFont="1"/>
    <xf numFmtId="0" fontId="12" fillId="5" borderId="1" xfId="0" applyFont="1" applyFill="1" applyBorder="1" applyAlignment="1">
      <alignment horizontal="right"/>
    </xf>
    <xf numFmtId="9" fontId="12" fillId="5" borderId="1" xfId="0" applyNumberFormat="1" applyFont="1" applyFill="1" applyBorder="1"/>
    <xf numFmtId="9" fontId="12" fillId="14" borderId="1" xfId="0" applyNumberFormat="1" applyFont="1" applyFill="1" applyBorder="1"/>
    <xf numFmtId="0" fontId="35" fillId="0" borderId="0" xfId="0" applyFont="1" applyAlignment="1">
      <alignment horizontal="right"/>
    </xf>
    <xf numFmtId="0" fontId="35" fillId="0" borderId="0" xfId="0" applyFont="1"/>
    <xf numFmtId="171" fontId="12" fillId="2" borderId="1" xfId="0" applyNumberFormat="1" applyFont="1" applyFill="1" applyBorder="1"/>
    <xf numFmtId="0" fontId="41" fillId="0" borderId="0" xfId="0" applyFont="1" applyAlignment="1">
      <alignment horizontal="center" vertical="center"/>
    </xf>
    <xf numFmtId="0" fontId="13" fillId="10" borderId="52" xfId="0" applyFont="1" applyFill="1" applyBorder="1" applyAlignment="1">
      <alignment horizontal="center" vertical="center" wrapText="1"/>
    </xf>
    <xf numFmtId="174" fontId="12" fillId="2" borderId="1" xfId="0" applyNumberFormat="1" applyFont="1" applyFill="1" applyBorder="1"/>
    <xf numFmtId="164" fontId="12" fillId="2" borderId="1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1" fontId="12" fillId="2" borderId="1" xfId="0" applyNumberFormat="1" applyFont="1" applyFill="1" applyBorder="1" applyAlignment="1">
      <alignment horizontal="center" vertical="center"/>
    </xf>
    <xf numFmtId="180" fontId="12" fillId="2" borderId="1" xfId="0" applyNumberFormat="1" applyFont="1" applyFill="1" applyBorder="1"/>
    <xf numFmtId="164" fontId="12" fillId="0" borderId="0" xfId="0" applyNumberFormat="1" applyFont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2" fontId="12" fillId="2" borderId="1" xfId="0" applyNumberFormat="1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170" fontId="12" fillId="0" borderId="0" xfId="0" applyNumberFormat="1" applyFont="1" applyAlignment="1">
      <alignment horizontal="center" vertical="center"/>
    </xf>
    <xf numFmtId="167" fontId="12" fillId="0" borderId="0" xfId="0" applyNumberFormat="1" applyFont="1" applyAlignment="1">
      <alignment horizontal="center" vertical="center"/>
    </xf>
    <xf numFmtId="179" fontId="12" fillId="0" borderId="0" xfId="0" applyNumberFormat="1" applyFont="1" applyAlignment="1">
      <alignment horizontal="center"/>
    </xf>
    <xf numFmtId="0" fontId="41" fillId="2" borderId="1" xfId="0" applyFont="1" applyFill="1" applyBorder="1" applyAlignment="1">
      <alignment horizontal="left"/>
    </xf>
    <xf numFmtId="0" fontId="13" fillId="10" borderId="6" xfId="0" applyFont="1" applyFill="1" applyBorder="1" applyAlignment="1">
      <alignment horizontal="center" vertical="center" wrapText="1"/>
    </xf>
    <xf numFmtId="1" fontId="12" fillId="5" borderId="1" xfId="0" applyNumberFormat="1" applyFont="1" applyFill="1" applyBorder="1" applyAlignment="1">
      <alignment horizontal="center" vertical="center"/>
    </xf>
    <xf numFmtId="9" fontId="12" fillId="2" borderId="1" xfId="0" applyNumberFormat="1" applyFont="1" applyFill="1" applyBorder="1" applyAlignment="1">
      <alignment horizontal="center"/>
    </xf>
    <xf numFmtId="170" fontId="12" fillId="2" borderId="1" xfId="0" applyNumberFormat="1" applyFont="1" applyFill="1" applyBorder="1"/>
    <xf numFmtId="1" fontId="12" fillId="0" borderId="0" xfId="0" applyNumberFormat="1" applyFont="1" applyAlignment="1">
      <alignment horizontal="center"/>
    </xf>
    <xf numFmtId="2" fontId="12" fillId="14" borderId="1" xfId="0" applyNumberFormat="1" applyFont="1" applyFill="1" applyBorder="1"/>
    <xf numFmtId="170" fontId="12" fillId="2" borderId="1" xfId="0" applyNumberFormat="1" applyFont="1" applyFill="1" applyBorder="1" applyAlignment="1">
      <alignment horizontal="right"/>
    </xf>
    <xf numFmtId="0" fontId="17" fillId="10" borderId="6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2" fontId="16" fillId="5" borderId="1" xfId="0" applyNumberFormat="1" applyFont="1" applyFill="1" applyBorder="1" applyAlignment="1">
      <alignment horizontal="center" vertical="center"/>
    </xf>
    <xf numFmtId="169" fontId="12" fillId="2" borderId="1" xfId="0" applyNumberFormat="1" applyFont="1" applyFill="1" applyBorder="1"/>
    <xf numFmtId="0" fontId="16" fillId="2" borderId="51" xfId="0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/>
    </xf>
    <xf numFmtId="0" fontId="12" fillId="2" borderId="6" xfId="0" applyFont="1" applyFill="1" applyBorder="1"/>
    <xf numFmtId="10" fontId="16" fillId="5" borderId="52" xfId="0" applyNumberFormat="1" applyFont="1" applyFill="1" applyBorder="1" applyAlignment="1">
      <alignment horizontal="center" vertical="center"/>
    </xf>
    <xf numFmtId="10" fontId="16" fillId="2" borderId="1" xfId="0" applyNumberFormat="1" applyFont="1" applyFill="1" applyBorder="1" applyAlignment="1">
      <alignment horizontal="center" vertical="center"/>
    </xf>
    <xf numFmtId="9" fontId="16" fillId="2" borderId="1" xfId="0" applyNumberFormat="1" applyFont="1" applyFill="1" applyBorder="1"/>
    <xf numFmtId="2" fontId="16" fillId="2" borderId="1" xfId="0" applyNumberFormat="1" applyFont="1" applyFill="1" applyBorder="1" applyAlignment="1">
      <alignment horizontal="center" vertical="center"/>
    </xf>
    <xf numFmtId="167" fontId="12" fillId="2" borderId="1" xfId="0" applyNumberFormat="1" applyFont="1" applyFill="1" applyBorder="1"/>
    <xf numFmtId="164" fontId="12" fillId="2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/>
    <xf numFmtId="164" fontId="16" fillId="14" borderId="1" xfId="0" applyNumberFormat="1" applyFont="1" applyFill="1" applyBorder="1" applyAlignment="1">
      <alignment horizontal="center"/>
    </xf>
    <xf numFmtId="181" fontId="12" fillId="0" borderId="0" xfId="0" applyNumberFormat="1" applyFont="1"/>
    <xf numFmtId="1" fontId="12" fillId="0" borderId="0" xfId="0" applyNumberFormat="1" applyFont="1" applyAlignment="1">
      <alignment horizontal="center" vertical="center"/>
    </xf>
    <xf numFmtId="9" fontId="12" fillId="0" borderId="11" xfId="0" applyNumberFormat="1" applyFont="1" applyBorder="1"/>
    <xf numFmtId="2" fontId="12" fillId="11" borderId="1" xfId="0" applyNumberFormat="1" applyFont="1" applyFill="1" applyBorder="1" applyAlignment="1">
      <alignment horizontal="center"/>
    </xf>
    <xf numFmtId="9" fontId="12" fillId="0" borderId="17" xfId="0" applyNumberFormat="1" applyFont="1" applyBorder="1" applyAlignment="1">
      <alignment horizontal="right"/>
    </xf>
    <xf numFmtId="0" fontId="13" fillId="2" borderId="1" xfId="0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38" fillId="5" borderId="1" xfId="0" applyFont="1" applyFill="1" applyBorder="1" applyAlignment="1">
      <alignment horizontal="center" vertical="center" wrapText="1"/>
    </xf>
    <xf numFmtId="0" fontId="20" fillId="2" borderId="5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/>
    </xf>
    <xf numFmtId="169" fontId="20" fillId="5" borderId="5" xfId="0" applyNumberFormat="1" applyFont="1" applyFill="1" applyBorder="1" applyAlignment="1">
      <alignment horizontal="center" vertical="center" wrapText="1"/>
    </xf>
    <xf numFmtId="169" fontId="20" fillId="2" borderId="5" xfId="0" applyNumberFormat="1" applyFont="1" applyFill="1" applyBorder="1" applyAlignment="1">
      <alignment horizontal="center" vertical="center" wrapText="1"/>
    </xf>
    <xf numFmtId="1" fontId="20" fillId="5" borderId="5" xfId="0" applyNumberFormat="1" applyFont="1" applyFill="1" applyBorder="1" applyAlignment="1">
      <alignment horizontal="center" vertical="center" wrapText="1"/>
    </xf>
    <xf numFmtId="0" fontId="12" fillId="16" borderId="5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/>
    </xf>
    <xf numFmtId="0" fontId="12" fillId="4" borderId="5" xfId="0" applyFont="1" applyFill="1" applyBorder="1" applyAlignment="1">
      <alignment horizontal="center" vertical="center" wrapText="1"/>
    </xf>
    <xf numFmtId="0" fontId="20" fillId="4" borderId="5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169" fontId="20" fillId="4" borderId="5" xfId="0" applyNumberFormat="1" applyFont="1" applyFill="1" applyBorder="1" applyAlignment="1">
      <alignment horizontal="center" vertical="center" wrapText="1"/>
    </xf>
    <xf numFmtId="1" fontId="20" fillId="4" borderId="5" xfId="0" applyNumberFormat="1" applyFont="1" applyFill="1" applyBorder="1" applyAlignment="1">
      <alignment horizontal="center" vertical="center" wrapText="1"/>
    </xf>
    <xf numFmtId="0" fontId="12" fillId="4" borderId="1" xfId="0" applyFont="1" applyFill="1" applyBorder="1"/>
    <xf numFmtId="0" fontId="13" fillId="0" borderId="0" xfId="0" applyFont="1" applyAlignment="1">
      <alignment horizontal="center" vertical="center"/>
    </xf>
    <xf numFmtId="0" fontId="20" fillId="16" borderId="5" xfId="0" applyFont="1" applyFill="1" applyBorder="1" applyAlignment="1">
      <alignment horizontal="center" vertical="center"/>
    </xf>
    <xf numFmtId="166" fontId="12" fillId="16" borderId="1" xfId="0" applyNumberFormat="1" applyFont="1" applyFill="1" applyBorder="1"/>
    <xf numFmtId="9" fontId="12" fillId="16" borderId="1" xfId="0" applyNumberFormat="1" applyFont="1" applyFill="1" applyBorder="1"/>
    <xf numFmtId="169" fontId="12" fillId="2" borderId="1" xfId="0" applyNumberFormat="1" applyFont="1" applyFill="1" applyBorder="1" applyAlignment="1">
      <alignment vertical="center"/>
    </xf>
    <xf numFmtId="0" fontId="22" fillId="5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vertical="center"/>
    </xf>
    <xf numFmtId="0" fontId="12" fillId="9" borderId="53" xfId="0" applyFont="1" applyFill="1" applyBorder="1"/>
    <xf numFmtId="0" fontId="22" fillId="5" borderId="10" xfId="0" applyFont="1" applyFill="1" applyBorder="1" applyAlignment="1">
      <alignment vertical="center"/>
    </xf>
    <xf numFmtId="0" fontId="12" fillId="5" borderId="10" xfId="0" applyFont="1" applyFill="1" applyBorder="1"/>
    <xf numFmtId="0" fontId="38" fillId="2" borderId="1" xfId="0" applyFont="1" applyFill="1" applyBorder="1" applyAlignment="1">
      <alignment horizontal="center" vertical="center"/>
    </xf>
    <xf numFmtId="0" fontId="13" fillId="5" borderId="43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13" fillId="5" borderId="5" xfId="0" applyFont="1" applyFill="1" applyBorder="1"/>
    <xf numFmtId="0" fontId="13" fillId="5" borderId="44" xfId="0" applyFont="1" applyFill="1" applyBorder="1"/>
    <xf numFmtId="0" fontId="13" fillId="9" borderId="43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0" fontId="13" fillId="9" borderId="5" xfId="0" applyFont="1" applyFill="1" applyBorder="1"/>
    <xf numFmtId="0" fontId="13" fillId="9" borderId="1" xfId="0" applyFont="1" applyFill="1" applyBorder="1" applyAlignment="1">
      <alignment horizontal="center" vertical="center"/>
    </xf>
    <xf numFmtId="0" fontId="47" fillId="0" borderId="0" xfId="0" applyFont="1"/>
    <xf numFmtId="0" fontId="13" fillId="5" borderId="10" xfId="0" applyFont="1" applyFill="1" applyBorder="1" applyAlignment="1">
      <alignment horizontal="center" vertical="center"/>
    </xf>
    <xf numFmtId="0" fontId="13" fillId="5" borderId="10" xfId="0" applyFont="1" applyFill="1" applyBorder="1"/>
    <xf numFmtId="1" fontId="12" fillId="5" borderId="1" xfId="0" applyNumberFormat="1" applyFont="1" applyFill="1" applyBorder="1"/>
    <xf numFmtId="169" fontId="12" fillId="9" borderId="1" xfId="0" applyNumberFormat="1" applyFont="1" applyFill="1" applyBorder="1" applyAlignment="1">
      <alignment horizontal="center" vertical="center"/>
    </xf>
    <xf numFmtId="169" fontId="47" fillId="5" borderId="1" xfId="0" applyNumberFormat="1" applyFont="1" applyFill="1" applyBorder="1" applyAlignment="1">
      <alignment horizontal="center" vertical="center"/>
    </xf>
    <xf numFmtId="169" fontId="12" fillId="5" borderId="1" xfId="0" applyNumberFormat="1" applyFont="1" applyFill="1" applyBorder="1" applyAlignment="1">
      <alignment horizontal="center" vertical="center"/>
    </xf>
    <xf numFmtId="0" fontId="48" fillId="2" borderId="20" xfId="0" applyFont="1" applyFill="1" applyBorder="1" applyAlignment="1">
      <alignment horizontal="center" vertical="center" wrapText="1"/>
    </xf>
    <xf numFmtId="166" fontId="12" fillId="0" borderId="24" xfId="0" applyNumberFormat="1" applyFont="1" applyBorder="1"/>
    <xf numFmtId="166" fontId="12" fillId="0" borderId="15" xfId="0" applyNumberFormat="1" applyFont="1" applyBorder="1"/>
    <xf numFmtId="166" fontId="12" fillId="0" borderId="16" xfId="0" applyNumberFormat="1" applyFont="1" applyBorder="1"/>
    <xf numFmtId="0" fontId="48" fillId="0" borderId="11" xfId="0" applyFont="1" applyBorder="1" applyAlignment="1">
      <alignment horizontal="center"/>
    </xf>
    <xf numFmtId="166" fontId="12" fillId="0" borderId="21" xfId="0" applyNumberFormat="1" applyFont="1" applyBorder="1"/>
    <xf numFmtId="166" fontId="12" fillId="0" borderId="12" xfId="0" applyNumberFormat="1" applyFont="1" applyBorder="1"/>
    <xf numFmtId="0" fontId="12" fillId="0" borderId="11" xfId="0" applyFont="1" applyBorder="1" applyAlignment="1">
      <alignment horizontal="center"/>
    </xf>
    <xf numFmtId="0" fontId="48" fillId="0" borderId="17" xfId="0" applyFont="1" applyBorder="1" applyAlignment="1">
      <alignment horizontal="center"/>
    </xf>
    <xf numFmtId="166" fontId="12" fillId="0" borderId="23" xfId="0" applyNumberFormat="1" applyFont="1" applyBorder="1"/>
    <xf numFmtId="166" fontId="12" fillId="0" borderId="18" xfId="0" applyNumberFormat="1" applyFont="1" applyBorder="1"/>
    <xf numFmtId="166" fontId="12" fillId="0" borderId="19" xfId="0" applyNumberFormat="1" applyFont="1" applyBorder="1"/>
    <xf numFmtId="0" fontId="48" fillId="0" borderId="0" xfId="0" applyFont="1" applyAlignment="1">
      <alignment horizontal="center"/>
    </xf>
    <xf numFmtId="182" fontId="12" fillId="0" borderId="0" xfId="0" applyNumberFormat="1" applyFont="1"/>
    <xf numFmtId="0" fontId="20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 wrapText="1"/>
    </xf>
    <xf numFmtId="0" fontId="12" fillId="17" borderId="1" xfId="0" applyFont="1" applyFill="1" applyBorder="1"/>
    <xf numFmtId="1" fontId="12" fillId="4" borderId="1" xfId="0" applyNumberFormat="1" applyFont="1" applyFill="1" applyBorder="1" applyAlignment="1">
      <alignment horizontal="center" vertical="center"/>
    </xf>
    <xf numFmtId="1" fontId="12" fillId="10" borderId="1" xfId="0" applyNumberFormat="1" applyFont="1" applyFill="1" applyBorder="1"/>
    <xf numFmtId="11" fontId="12" fillId="0" borderId="0" xfId="0" applyNumberFormat="1" applyFont="1"/>
    <xf numFmtId="0" fontId="12" fillId="18" borderId="1" xfId="0" applyFont="1" applyFill="1" applyBorder="1"/>
    <xf numFmtId="0" fontId="35" fillId="16" borderId="1" xfId="0" applyFont="1" applyFill="1" applyBorder="1" applyAlignment="1">
      <alignment horizontal="center"/>
    </xf>
    <xf numFmtId="0" fontId="13" fillId="10" borderId="1" xfId="0" applyFont="1" applyFill="1" applyBorder="1" applyAlignment="1">
      <alignment horizontal="center" vertical="center"/>
    </xf>
    <xf numFmtId="0" fontId="13" fillId="18" borderId="10" xfId="0" applyFont="1" applyFill="1" applyBorder="1" applyAlignment="1">
      <alignment horizontal="center" vertical="center"/>
    </xf>
    <xf numFmtId="0" fontId="13" fillId="18" borderId="51" xfId="0" applyFont="1" applyFill="1" applyBorder="1"/>
    <xf numFmtId="0" fontId="13" fillId="18" borderId="6" xfId="0" applyFont="1" applyFill="1" applyBorder="1"/>
    <xf numFmtId="0" fontId="13" fillId="18" borderId="52" xfId="0" applyFont="1" applyFill="1" applyBorder="1"/>
    <xf numFmtId="0" fontId="13" fillId="5" borderId="1" xfId="0" applyFont="1" applyFill="1" applyBorder="1" applyAlignment="1">
      <alignment horizontal="center" vertical="center"/>
    </xf>
    <xf numFmtId="0" fontId="13" fillId="5" borderId="43" xfId="0" applyFont="1" applyFill="1" applyBorder="1"/>
    <xf numFmtId="0" fontId="35" fillId="16" borderId="1" xfId="0" applyFont="1" applyFill="1" applyBorder="1"/>
    <xf numFmtId="9" fontId="13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0" fontId="13" fillId="10" borderId="1" xfId="0" applyFont="1" applyFill="1" applyBorder="1"/>
    <xf numFmtId="0" fontId="13" fillId="18" borderId="59" xfId="0" applyFont="1" applyFill="1" applyBorder="1"/>
    <xf numFmtId="1" fontId="12" fillId="18" borderId="43" xfId="0" applyNumberFormat="1" applyFont="1" applyFill="1" applyBorder="1" applyAlignment="1">
      <alignment horizontal="center"/>
    </xf>
    <xf numFmtId="1" fontId="12" fillId="18" borderId="5" xfId="0" applyNumberFormat="1" applyFont="1" applyFill="1" applyBorder="1" applyAlignment="1">
      <alignment horizontal="center"/>
    </xf>
    <xf numFmtId="1" fontId="12" fillId="18" borderId="44" xfId="0" applyNumberFormat="1" applyFont="1" applyFill="1" applyBorder="1" applyAlignment="1">
      <alignment horizontal="center"/>
    </xf>
    <xf numFmtId="0" fontId="13" fillId="5" borderId="51" xfId="0" applyFont="1" applyFill="1" applyBorder="1" applyAlignment="1">
      <alignment horizontal="center" vertical="center"/>
    </xf>
    <xf numFmtId="1" fontId="12" fillId="5" borderId="1" xfId="0" applyNumberFormat="1" applyFont="1" applyFill="1" applyBorder="1" applyAlignment="1">
      <alignment horizontal="center"/>
    </xf>
    <xf numFmtId="1" fontId="12" fillId="18" borderId="45" xfId="0" applyNumberFormat="1" applyFont="1" applyFill="1" applyBorder="1" applyAlignment="1">
      <alignment horizontal="center"/>
    </xf>
    <xf numFmtId="1" fontId="12" fillId="18" borderId="1" xfId="0" applyNumberFormat="1" applyFont="1" applyFill="1" applyBorder="1" applyAlignment="1">
      <alignment horizontal="center"/>
    </xf>
    <xf numFmtId="1" fontId="12" fillId="18" borderId="46" xfId="0" applyNumberFormat="1" applyFont="1" applyFill="1" applyBorder="1" applyAlignment="1">
      <alignment horizontal="center"/>
    </xf>
    <xf numFmtId="0" fontId="13" fillId="2" borderId="1" xfId="0" applyFont="1" applyFill="1" applyBorder="1"/>
    <xf numFmtId="1" fontId="13" fillId="5" borderId="10" xfId="0" applyNumberFormat="1" applyFont="1" applyFill="1" applyBorder="1" applyAlignment="1">
      <alignment horizontal="center" vertical="center"/>
    </xf>
    <xf numFmtId="176" fontId="35" fillId="16" borderId="1" xfId="0" applyNumberFormat="1" applyFont="1" applyFill="1" applyBorder="1"/>
    <xf numFmtId="176" fontId="13" fillId="0" borderId="0" xfId="0" applyNumberFormat="1" applyFont="1" applyAlignment="1">
      <alignment horizontal="center" vertical="center"/>
    </xf>
    <xf numFmtId="167" fontId="35" fillId="16" borderId="1" xfId="0" applyNumberFormat="1" applyFont="1" applyFill="1" applyBorder="1"/>
    <xf numFmtId="167" fontId="13" fillId="0" borderId="0" xfId="0" applyNumberFormat="1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18" borderId="22" xfId="0" applyFont="1" applyFill="1" applyBorder="1"/>
    <xf numFmtId="1" fontId="12" fillId="18" borderId="48" xfId="0" applyNumberFormat="1" applyFont="1" applyFill="1" applyBorder="1" applyAlignment="1">
      <alignment horizontal="center"/>
    </xf>
    <xf numFmtId="1" fontId="12" fillId="18" borderId="53" xfId="0" applyNumberFormat="1" applyFont="1" applyFill="1" applyBorder="1" applyAlignment="1">
      <alignment horizontal="center"/>
    </xf>
    <xf numFmtId="1" fontId="12" fillId="18" borderId="50" xfId="0" applyNumberFormat="1" applyFont="1" applyFill="1" applyBorder="1" applyAlignment="1">
      <alignment horizontal="center"/>
    </xf>
    <xf numFmtId="167" fontId="35" fillId="0" borderId="0" xfId="0" applyNumberFormat="1" applyFont="1"/>
    <xf numFmtId="0" fontId="13" fillId="5" borderId="59" xfId="0" applyFont="1" applyFill="1" applyBorder="1" applyAlignment="1">
      <alignment horizontal="center" vertical="center"/>
    </xf>
    <xf numFmtId="0" fontId="13" fillId="18" borderId="1" xfId="0" applyFont="1" applyFill="1" applyBorder="1" applyAlignment="1">
      <alignment horizontal="center" vertical="center"/>
    </xf>
    <xf numFmtId="0" fontId="13" fillId="18" borderId="1" xfId="0" applyFont="1" applyFill="1" applyBorder="1"/>
    <xf numFmtId="1" fontId="13" fillId="18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 applyAlignment="1">
      <alignment horizontal="center"/>
    </xf>
    <xf numFmtId="1" fontId="13" fillId="2" borderId="1" xfId="0" applyNumberFormat="1" applyFont="1" applyFill="1" applyBorder="1"/>
    <xf numFmtId="9" fontId="13" fillId="18" borderId="1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/>
    </xf>
    <xf numFmtId="169" fontId="12" fillId="2" borderId="1" xfId="0" applyNumberFormat="1" applyFont="1" applyFill="1" applyBorder="1" applyAlignment="1">
      <alignment horizontal="center" vertical="center"/>
    </xf>
    <xf numFmtId="9" fontId="35" fillId="2" borderId="1" xfId="0" applyNumberFormat="1" applyFont="1" applyFill="1" applyBorder="1" applyAlignment="1">
      <alignment horizontal="center" vertical="center"/>
    </xf>
    <xf numFmtId="170" fontId="20" fillId="2" borderId="5" xfId="0" applyNumberFormat="1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169" fontId="20" fillId="2" borderId="1" xfId="0" applyNumberFormat="1" applyFont="1" applyFill="1" applyBorder="1" applyAlignment="1">
      <alignment horizontal="center" vertical="center" wrapText="1"/>
    </xf>
    <xf numFmtId="1" fontId="20" fillId="2" borderId="1" xfId="0" applyNumberFormat="1" applyFont="1" applyFill="1" applyBorder="1" applyAlignment="1">
      <alignment horizontal="center" vertical="center" wrapText="1"/>
    </xf>
    <xf numFmtId="0" fontId="13" fillId="11" borderId="1" xfId="0" applyFont="1" applyFill="1" applyBorder="1"/>
    <xf numFmtId="0" fontId="12" fillId="14" borderId="1" xfId="0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12" fillId="16" borderId="1" xfId="0" applyFont="1" applyFill="1" applyBorder="1" applyAlignment="1">
      <alignment horizontal="center"/>
    </xf>
    <xf numFmtId="0" fontId="22" fillId="2" borderId="1" xfId="0" applyFont="1" applyFill="1" applyBorder="1"/>
    <xf numFmtId="0" fontId="22" fillId="18" borderId="51" xfId="0" applyFont="1" applyFill="1" applyBorder="1"/>
    <xf numFmtId="0" fontId="22" fillId="18" borderId="6" xfId="0" applyFont="1" applyFill="1" applyBorder="1"/>
    <xf numFmtId="0" fontId="22" fillId="18" borderId="52" xfId="0" applyFont="1" applyFill="1" applyBorder="1"/>
    <xf numFmtId="0" fontId="38" fillId="14" borderId="1" xfId="0" applyFont="1" applyFill="1" applyBorder="1" applyAlignment="1">
      <alignment horizontal="center" vertical="center" wrapText="1"/>
    </xf>
    <xf numFmtId="0" fontId="38" fillId="16" borderId="1" xfId="0" applyFont="1" applyFill="1" applyBorder="1" applyAlignment="1">
      <alignment horizontal="center" vertical="center" wrapText="1"/>
    </xf>
    <xf numFmtId="0" fontId="38" fillId="11" borderId="1" xfId="0" applyFont="1" applyFill="1" applyBorder="1" applyAlignment="1">
      <alignment horizontal="center" vertical="center" wrapText="1"/>
    </xf>
    <xf numFmtId="0" fontId="38" fillId="4" borderId="1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0" fontId="13" fillId="18" borderId="45" xfId="0" applyFont="1" applyFill="1" applyBorder="1" applyAlignment="1">
      <alignment horizontal="center" vertical="center"/>
    </xf>
    <xf numFmtId="0" fontId="13" fillId="18" borderId="46" xfId="0" applyFont="1" applyFill="1" applyBorder="1" applyAlignment="1">
      <alignment horizontal="center" vertical="center"/>
    </xf>
    <xf numFmtId="1" fontId="20" fillId="2" borderId="5" xfId="0" applyNumberFormat="1" applyFont="1" applyFill="1" applyBorder="1" applyAlignment="1">
      <alignment horizontal="center" vertical="center" wrapText="1"/>
    </xf>
    <xf numFmtId="9" fontId="20" fillId="14" borderId="5" xfId="0" applyNumberFormat="1" applyFont="1" applyFill="1" applyBorder="1" applyAlignment="1">
      <alignment horizontal="center" vertical="center" wrapText="1"/>
    </xf>
    <xf numFmtId="169" fontId="20" fillId="14" borderId="5" xfId="0" applyNumberFormat="1" applyFont="1" applyFill="1" applyBorder="1" applyAlignment="1">
      <alignment horizontal="center" vertical="center" wrapText="1"/>
    </xf>
    <xf numFmtId="9" fontId="20" fillId="16" borderId="5" xfId="0" applyNumberFormat="1" applyFont="1" applyFill="1" applyBorder="1" applyAlignment="1">
      <alignment horizontal="center" vertical="center" wrapText="1"/>
    </xf>
    <xf numFmtId="9" fontId="20" fillId="11" borderId="5" xfId="0" applyNumberFormat="1" applyFont="1" applyFill="1" applyBorder="1" applyAlignment="1">
      <alignment horizontal="center" vertical="center" wrapText="1"/>
    </xf>
    <xf numFmtId="1" fontId="12" fillId="4" borderId="6" xfId="0" applyNumberFormat="1" applyFont="1" applyFill="1" applyBorder="1" applyAlignment="1">
      <alignment horizontal="center" vertical="center"/>
    </xf>
    <xf numFmtId="169" fontId="12" fillId="4" borderId="6" xfId="0" applyNumberFormat="1" applyFont="1" applyFill="1" applyBorder="1"/>
    <xf numFmtId="1" fontId="12" fillId="14" borderId="6" xfId="0" applyNumberFormat="1" applyFont="1" applyFill="1" applyBorder="1"/>
    <xf numFmtId="0" fontId="12" fillId="14" borderId="6" xfId="0" applyFont="1" applyFill="1" applyBorder="1" applyAlignment="1">
      <alignment horizontal="center" vertical="center"/>
    </xf>
    <xf numFmtId="169" fontId="12" fillId="14" borderId="6" xfId="0" applyNumberFormat="1" applyFont="1" applyFill="1" applyBorder="1" applyAlignment="1">
      <alignment horizontal="center"/>
    </xf>
    <xf numFmtId="9" fontId="12" fillId="18" borderId="45" xfId="0" applyNumberFormat="1" applyFont="1" applyFill="1" applyBorder="1" applyAlignment="1">
      <alignment horizontal="center"/>
    </xf>
    <xf numFmtId="9" fontId="12" fillId="18" borderId="1" xfId="0" applyNumberFormat="1" applyFont="1" applyFill="1" applyBorder="1" applyAlignment="1">
      <alignment horizontal="center"/>
    </xf>
    <xf numFmtId="9" fontId="12" fillId="18" borderId="46" xfId="0" applyNumberFormat="1" applyFont="1" applyFill="1" applyBorder="1" applyAlignment="1">
      <alignment horizontal="center"/>
    </xf>
    <xf numFmtId="2" fontId="12" fillId="18" borderId="45" xfId="0" applyNumberFormat="1" applyFont="1" applyFill="1" applyBorder="1" applyAlignment="1">
      <alignment horizontal="center"/>
    </xf>
    <xf numFmtId="2" fontId="12" fillId="18" borderId="1" xfId="0" applyNumberFormat="1" applyFont="1" applyFill="1" applyBorder="1" applyAlignment="1">
      <alignment horizontal="center"/>
    </xf>
    <xf numFmtId="2" fontId="12" fillId="18" borderId="46" xfId="0" applyNumberFormat="1" applyFont="1" applyFill="1" applyBorder="1" applyAlignment="1">
      <alignment horizontal="center"/>
    </xf>
    <xf numFmtId="2" fontId="12" fillId="17" borderId="1" xfId="0" applyNumberFormat="1" applyFont="1" applyFill="1" applyBorder="1" applyAlignment="1">
      <alignment horizontal="center"/>
    </xf>
    <xf numFmtId="2" fontId="12" fillId="2" borderId="1" xfId="0" applyNumberFormat="1" applyFont="1" applyFill="1" applyBorder="1" applyAlignment="1">
      <alignment horizontal="center"/>
    </xf>
    <xf numFmtId="2" fontId="12" fillId="2" borderId="46" xfId="0" applyNumberFormat="1" applyFont="1" applyFill="1" applyBorder="1" applyAlignment="1">
      <alignment horizontal="center"/>
    </xf>
    <xf numFmtId="169" fontId="20" fillId="2" borderId="5" xfId="0" applyNumberFormat="1" applyFont="1" applyFill="1" applyBorder="1" applyAlignment="1">
      <alignment horizontal="center" vertical="center"/>
    </xf>
    <xf numFmtId="1" fontId="20" fillId="2" borderId="5" xfId="0" applyNumberFormat="1" applyFont="1" applyFill="1" applyBorder="1" applyAlignment="1">
      <alignment horizontal="center" vertical="center"/>
    </xf>
    <xf numFmtId="9" fontId="20" fillId="14" borderId="5" xfId="0" applyNumberFormat="1" applyFont="1" applyFill="1" applyBorder="1" applyAlignment="1">
      <alignment horizontal="center" vertical="center"/>
    </xf>
    <xf numFmtId="169" fontId="20" fillId="14" borderId="5" xfId="0" applyNumberFormat="1" applyFont="1" applyFill="1" applyBorder="1" applyAlignment="1">
      <alignment horizontal="center" vertical="center"/>
    </xf>
    <xf numFmtId="169" fontId="20" fillId="5" borderId="5" xfId="0" applyNumberFormat="1" applyFont="1" applyFill="1" applyBorder="1" applyAlignment="1">
      <alignment horizontal="center" vertical="center"/>
    </xf>
    <xf numFmtId="9" fontId="20" fillId="16" borderId="5" xfId="0" applyNumberFormat="1" applyFont="1" applyFill="1" applyBorder="1" applyAlignment="1">
      <alignment horizontal="center" vertical="center"/>
    </xf>
    <xf numFmtId="9" fontId="20" fillId="11" borderId="5" xfId="0" applyNumberFormat="1" applyFont="1" applyFill="1" applyBorder="1" applyAlignment="1">
      <alignment horizontal="center" vertical="center"/>
    </xf>
    <xf numFmtId="169" fontId="12" fillId="14" borderId="6" xfId="0" applyNumberFormat="1" applyFont="1" applyFill="1" applyBorder="1" applyAlignment="1">
      <alignment horizontal="center" vertical="center"/>
    </xf>
    <xf numFmtId="2" fontId="20" fillId="2" borderId="5" xfId="0" applyNumberFormat="1" applyFont="1" applyFill="1" applyBorder="1" applyAlignment="1">
      <alignment horizontal="center" vertical="center"/>
    </xf>
    <xf numFmtId="170" fontId="20" fillId="5" borderId="5" xfId="0" applyNumberFormat="1" applyFont="1" applyFill="1" applyBorder="1" applyAlignment="1">
      <alignment horizontal="center" vertical="center"/>
    </xf>
    <xf numFmtId="174" fontId="20" fillId="2" borderId="1" xfId="0" applyNumberFormat="1" applyFont="1" applyFill="1" applyBorder="1" applyAlignment="1">
      <alignment horizontal="center"/>
    </xf>
    <xf numFmtId="175" fontId="20" fillId="2" borderId="1" xfId="0" applyNumberFormat="1" applyFont="1" applyFill="1" applyBorder="1" applyAlignment="1">
      <alignment horizontal="center"/>
    </xf>
    <xf numFmtId="9" fontId="12" fillId="18" borderId="48" xfId="0" applyNumberFormat="1" applyFont="1" applyFill="1" applyBorder="1" applyAlignment="1">
      <alignment horizontal="center"/>
    </xf>
    <xf numFmtId="9" fontId="12" fillId="18" borderId="53" xfId="0" applyNumberFormat="1" applyFont="1" applyFill="1" applyBorder="1" applyAlignment="1">
      <alignment horizontal="center"/>
    </xf>
    <xf numFmtId="9" fontId="12" fillId="18" borderId="50" xfId="0" applyNumberFormat="1" applyFont="1" applyFill="1" applyBorder="1" applyAlignment="1">
      <alignment horizontal="center"/>
    </xf>
    <xf numFmtId="2" fontId="12" fillId="18" borderId="48" xfId="0" applyNumberFormat="1" applyFont="1" applyFill="1" applyBorder="1" applyAlignment="1">
      <alignment horizontal="center"/>
    </xf>
    <xf numFmtId="2" fontId="12" fillId="18" borderId="53" xfId="0" applyNumberFormat="1" applyFont="1" applyFill="1" applyBorder="1" applyAlignment="1">
      <alignment horizontal="center"/>
    </xf>
    <xf numFmtId="2" fontId="12" fillId="18" borderId="50" xfId="0" applyNumberFormat="1" applyFont="1" applyFill="1" applyBorder="1" applyAlignment="1">
      <alignment horizontal="center"/>
    </xf>
    <xf numFmtId="169" fontId="12" fillId="4" borderId="6" xfId="0" applyNumberFormat="1" applyFont="1" applyFill="1" applyBorder="1" applyAlignment="1">
      <alignment horizontal="center"/>
    </xf>
    <xf numFmtId="2" fontId="12" fillId="18" borderId="43" xfId="0" applyNumberFormat="1" applyFont="1" applyFill="1" applyBorder="1" applyAlignment="1">
      <alignment horizontal="center"/>
    </xf>
    <xf numFmtId="2" fontId="12" fillId="18" borderId="5" xfId="0" applyNumberFormat="1" applyFont="1" applyFill="1" applyBorder="1" applyAlignment="1">
      <alignment horizontal="center"/>
    </xf>
    <xf numFmtId="2" fontId="12" fillId="17" borderId="5" xfId="0" applyNumberFormat="1" applyFont="1" applyFill="1" applyBorder="1" applyAlignment="1">
      <alignment horizontal="center"/>
    </xf>
    <xf numFmtId="2" fontId="12" fillId="18" borderId="44" xfId="0" applyNumberFormat="1" applyFont="1" applyFill="1" applyBorder="1" applyAlignment="1">
      <alignment horizontal="center"/>
    </xf>
    <xf numFmtId="169" fontId="12" fillId="14" borderId="6" xfId="0" applyNumberFormat="1" applyFont="1" applyFill="1" applyBorder="1"/>
    <xf numFmtId="2" fontId="12" fillId="2" borderId="53" xfId="0" applyNumberFormat="1" applyFont="1" applyFill="1" applyBorder="1" applyAlignment="1">
      <alignment horizontal="center"/>
    </xf>
    <xf numFmtId="2" fontId="12" fillId="2" borderId="50" xfId="0" applyNumberFormat="1" applyFont="1" applyFill="1" applyBorder="1" applyAlignment="1">
      <alignment horizontal="center"/>
    </xf>
    <xf numFmtId="169" fontId="20" fillId="14" borderId="1" xfId="0" applyNumberFormat="1" applyFont="1" applyFill="1" applyBorder="1" applyAlignment="1">
      <alignment horizontal="center" vertical="center" wrapText="1"/>
    </xf>
    <xf numFmtId="169" fontId="20" fillId="5" borderId="1" xfId="0" applyNumberFormat="1" applyFont="1" applyFill="1" applyBorder="1" applyAlignment="1">
      <alignment horizontal="center" vertical="center" wrapText="1"/>
    </xf>
    <xf numFmtId="9" fontId="20" fillId="16" borderId="1" xfId="0" applyNumberFormat="1" applyFont="1" applyFill="1" applyBorder="1" applyAlignment="1">
      <alignment horizontal="center" vertical="center" wrapText="1"/>
    </xf>
    <xf numFmtId="9" fontId="20" fillId="11" borderId="1" xfId="0" applyNumberFormat="1" applyFont="1" applyFill="1" applyBorder="1" applyAlignment="1">
      <alignment horizontal="center" vertical="center" wrapText="1"/>
    </xf>
    <xf numFmtId="9" fontId="13" fillId="2" borderId="1" xfId="0" applyNumberFormat="1" applyFont="1" applyFill="1" applyBorder="1" applyAlignment="1">
      <alignment horizontal="center"/>
    </xf>
    <xf numFmtId="169" fontId="12" fillId="14" borderId="1" xfId="0" applyNumberFormat="1" applyFont="1" applyFill="1" applyBorder="1" applyAlignment="1">
      <alignment horizontal="center"/>
    </xf>
    <xf numFmtId="2" fontId="49" fillId="0" borderId="0" xfId="0" applyNumberFormat="1" applyFont="1"/>
    <xf numFmtId="0" fontId="22" fillId="2" borderId="53" xfId="0" applyFont="1" applyFill="1" applyBorder="1" applyAlignment="1">
      <alignment horizontal="center" vertical="center" wrapText="1"/>
    </xf>
    <xf numFmtId="0" fontId="38" fillId="14" borderId="53" xfId="0" applyFont="1" applyFill="1" applyBorder="1" applyAlignment="1">
      <alignment horizontal="center" vertical="center" wrapText="1"/>
    </xf>
    <xf numFmtId="0" fontId="38" fillId="5" borderId="53" xfId="0" applyFont="1" applyFill="1" applyBorder="1" applyAlignment="1">
      <alignment horizontal="center" vertical="center" wrapText="1"/>
    </xf>
    <xf numFmtId="0" fontId="38" fillId="16" borderId="53" xfId="0" applyFont="1" applyFill="1" applyBorder="1" applyAlignment="1">
      <alignment horizontal="center" vertical="center" wrapText="1"/>
    </xf>
    <xf numFmtId="0" fontId="38" fillId="11" borderId="53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2" fillId="5" borderId="6" xfId="0" applyFont="1" applyFill="1" applyBorder="1" applyAlignment="1">
      <alignment horizontal="center" vertical="center"/>
    </xf>
    <xf numFmtId="0" fontId="48" fillId="2" borderId="6" xfId="0" applyFont="1" applyFill="1" applyBorder="1" applyAlignment="1">
      <alignment horizontal="center" vertical="center" wrapText="1"/>
    </xf>
    <xf numFmtId="1" fontId="48" fillId="0" borderId="13" xfId="0" applyNumberFormat="1" applyFont="1" applyBorder="1" applyAlignment="1">
      <alignment horizontal="center"/>
    </xf>
    <xf numFmtId="9" fontId="48" fillId="14" borderId="6" xfId="0" applyNumberFormat="1" applyFont="1" applyFill="1" applyBorder="1" applyAlignment="1">
      <alignment horizontal="center"/>
    </xf>
    <xf numFmtId="1" fontId="48" fillId="14" borderId="6" xfId="0" applyNumberFormat="1" applyFont="1" applyFill="1" applyBorder="1" applyAlignment="1">
      <alignment horizontal="center"/>
    </xf>
    <xf numFmtId="1" fontId="48" fillId="9" borderId="6" xfId="0" applyNumberFormat="1" applyFont="1" applyFill="1" applyBorder="1" applyAlignment="1">
      <alignment horizontal="center"/>
    </xf>
    <xf numFmtId="2" fontId="48" fillId="9" borderId="6" xfId="0" applyNumberFormat="1" applyFont="1" applyFill="1" applyBorder="1" applyAlignment="1">
      <alignment horizontal="center"/>
    </xf>
    <xf numFmtId="181" fontId="20" fillId="16" borderId="5" xfId="0" applyNumberFormat="1" applyFont="1" applyFill="1" applyBorder="1" applyAlignment="1">
      <alignment horizontal="center" vertical="center" wrapText="1"/>
    </xf>
    <xf numFmtId="1" fontId="48" fillId="4" borderId="6" xfId="0" applyNumberFormat="1" applyFont="1" applyFill="1" applyBorder="1" applyAlignment="1">
      <alignment horizontal="center"/>
    </xf>
    <xf numFmtId="169" fontId="48" fillId="4" borderId="6" xfId="0" applyNumberFormat="1" applyFont="1" applyFill="1" applyBorder="1" applyAlignment="1">
      <alignment horizontal="center"/>
    </xf>
    <xf numFmtId="1" fontId="12" fillId="14" borderId="6" xfId="0" applyNumberFormat="1" applyFont="1" applyFill="1" applyBorder="1" applyAlignment="1">
      <alignment horizontal="center" vertical="center"/>
    </xf>
    <xf numFmtId="1" fontId="48" fillId="0" borderId="0" xfId="0" applyNumberFormat="1" applyFont="1" applyAlignment="1">
      <alignment horizontal="center"/>
    </xf>
    <xf numFmtId="0" fontId="48" fillId="0" borderId="13" xfId="0" applyFont="1" applyBorder="1" applyAlignment="1">
      <alignment horizontal="center"/>
    </xf>
    <xf numFmtId="1" fontId="12" fillId="14" borderId="6" xfId="0" applyNumberFormat="1" applyFont="1" applyFill="1" applyBorder="1" applyAlignment="1">
      <alignment horizontal="center"/>
    </xf>
    <xf numFmtId="0" fontId="12" fillId="14" borderId="6" xfId="0" applyFont="1" applyFill="1" applyBorder="1" applyAlignment="1">
      <alignment horizontal="center"/>
    </xf>
    <xf numFmtId="9" fontId="20" fillId="16" borderId="6" xfId="0" applyNumberFormat="1" applyFont="1" applyFill="1" applyBorder="1" applyAlignment="1">
      <alignment horizontal="center" vertical="center" wrapText="1"/>
    </xf>
    <xf numFmtId="9" fontId="20" fillId="11" borderId="6" xfId="0" applyNumberFormat="1" applyFont="1" applyFill="1" applyBorder="1" applyAlignment="1">
      <alignment horizontal="center" vertical="center" wrapText="1"/>
    </xf>
    <xf numFmtId="1" fontId="12" fillId="0" borderId="14" xfId="0" applyNumberFormat="1" applyFont="1" applyBorder="1"/>
    <xf numFmtId="1" fontId="12" fillId="0" borderId="15" xfId="0" applyNumberFormat="1" applyFont="1" applyBorder="1"/>
    <xf numFmtId="1" fontId="12" fillId="0" borderId="24" xfId="0" applyNumberFormat="1" applyFont="1" applyBorder="1"/>
    <xf numFmtId="1" fontId="12" fillId="0" borderId="16" xfId="0" applyNumberFormat="1" applyFont="1" applyBorder="1"/>
    <xf numFmtId="1" fontId="12" fillId="0" borderId="18" xfId="0" applyNumberFormat="1" applyFont="1" applyBorder="1"/>
    <xf numFmtId="1" fontId="12" fillId="0" borderId="23" xfId="0" applyNumberFormat="1" applyFont="1" applyBorder="1"/>
    <xf numFmtId="1" fontId="12" fillId="0" borderId="19" xfId="0" applyNumberFormat="1" applyFont="1" applyBorder="1"/>
    <xf numFmtId="0" fontId="22" fillId="2" borderId="53" xfId="0" applyFont="1" applyFill="1" applyBorder="1" applyAlignment="1">
      <alignment horizontal="left" vertical="center"/>
    </xf>
    <xf numFmtId="0" fontId="38" fillId="2" borderId="53" xfId="0" applyFont="1" applyFill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1" fontId="48" fillId="2" borderId="1" xfId="0" applyNumberFormat="1" applyFont="1" applyFill="1" applyBorder="1" applyAlignment="1">
      <alignment horizontal="center"/>
    </xf>
    <xf numFmtId="176" fontId="16" fillId="2" borderId="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 wrapText="1"/>
    </xf>
    <xf numFmtId="1" fontId="51" fillId="0" borderId="0" xfId="0" applyNumberFormat="1" applyFont="1"/>
    <xf numFmtId="0" fontId="51" fillId="0" borderId="0" xfId="0" applyFont="1"/>
    <xf numFmtId="0" fontId="12" fillId="5" borderId="5" xfId="0" applyFont="1" applyFill="1" applyBorder="1" applyAlignment="1">
      <alignment horizontal="center" vertical="center"/>
    </xf>
    <xf numFmtId="0" fontId="48" fillId="0" borderId="15" xfId="0" applyFont="1" applyBorder="1" applyAlignment="1">
      <alignment horizontal="center"/>
    </xf>
    <xf numFmtId="1" fontId="12" fillId="11" borderId="1" xfId="0" applyNumberFormat="1" applyFont="1" applyFill="1" applyBorder="1"/>
    <xf numFmtId="167" fontId="12" fillId="0" borderId="0" xfId="0" applyNumberFormat="1" applyFont="1"/>
    <xf numFmtId="0" fontId="13" fillId="0" borderId="0" xfId="0" applyFont="1" applyAlignment="1">
      <alignment horizontal="center" vertical="center" wrapText="1"/>
    </xf>
    <xf numFmtId="169" fontId="12" fillId="12" borderId="1" xfId="0" applyNumberFormat="1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 wrapText="1"/>
    </xf>
    <xf numFmtId="2" fontId="12" fillId="12" borderId="1" xfId="0" applyNumberFormat="1" applyFont="1" applyFill="1" applyBorder="1" applyAlignment="1">
      <alignment horizontal="center" vertical="center"/>
    </xf>
    <xf numFmtId="2" fontId="12" fillId="5" borderId="1" xfId="0" applyNumberFormat="1" applyFont="1" applyFill="1" applyBorder="1" applyAlignment="1">
      <alignment horizontal="center" vertical="center"/>
    </xf>
    <xf numFmtId="0" fontId="12" fillId="2" borderId="46" xfId="0" applyFont="1" applyFill="1" applyBorder="1"/>
    <xf numFmtId="0" fontId="12" fillId="2" borderId="45" xfId="0" applyFont="1" applyFill="1" applyBorder="1"/>
    <xf numFmtId="0" fontId="39" fillId="2" borderId="46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/>
    </xf>
    <xf numFmtId="0" fontId="39" fillId="0" borderId="21" xfId="0" applyFont="1" applyBorder="1"/>
    <xf numFmtId="0" fontId="52" fillId="0" borderId="0" xfId="0" applyFont="1"/>
    <xf numFmtId="0" fontId="52" fillId="0" borderId="21" xfId="0" applyFont="1" applyBorder="1"/>
    <xf numFmtId="0" fontId="52" fillId="2" borderId="46" xfId="0" applyFont="1" applyFill="1" applyBorder="1"/>
    <xf numFmtId="0" fontId="52" fillId="0" borderId="0" xfId="0" applyFont="1" applyAlignment="1">
      <alignment horizontal="center"/>
    </xf>
    <xf numFmtId="0" fontId="52" fillId="2" borderId="1" xfId="0" applyFont="1" applyFill="1" applyBorder="1" applyAlignment="1">
      <alignment horizontal="center"/>
    </xf>
    <xf numFmtId="0" fontId="52" fillId="2" borderId="1" xfId="0" applyFont="1" applyFill="1" applyBorder="1"/>
    <xf numFmtId="0" fontId="52" fillId="2" borderId="1" xfId="0" applyFont="1" applyFill="1" applyBorder="1" applyAlignment="1">
      <alignment horizontal="left"/>
    </xf>
    <xf numFmtId="0" fontId="52" fillId="0" borderId="11" xfId="0" applyFont="1" applyBorder="1"/>
    <xf numFmtId="0" fontId="52" fillId="0" borderId="0" xfId="0" applyFont="1" applyAlignment="1">
      <alignment horizontal="left"/>
    </xf>
    <xf numFmtId="0" fontId="52" fillId="2" borderId="45" xfId="0" applyFont="1" applyFill="1" applyBorder="1"/>
    <xf numFmtId="0" fontId="52" fillId="0" borderId="12" xfId="0" applyFont="1" applyBorder="1"/>
    <xf numFmtId="0" fontId="13" fillId="3" borderId="6" xfId="0" applyFont="1" applyFill="1" applyBorder="1" applyAlignment="1">
      <alignment horizontal="left"/>
    </xf>
    <xf numFmtId="0" fontId="13" fillId="2" borderId="46" xfId="0" applyFont="1" applyFill="1" applyBorder="1" applyAlignment="1">
      <alignment horizontal="left"/>
    </xf>
    <xf numFmtId="0" fontId="13" fillId="10" borderId="51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center" vertical="center"/>
    </xf>
    <xf numFmtId="0" fontId="13" fillId="2" borderId="46" xfId="0" applyFont="1" applyFill="1" applyBorder="1" applyAlignment="1">
      <alignment horizontal="center" vertical="center"/>
    </xf>
    <xf numFmtId="0" fontId="17" fillId="2" borderId="46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17" fillId="10" borderId="6" xfId="0" applyFont="1" applyFill="1" applyBorder="1" applyAlignment="1">
      <alignment horizontal="left"/>
    </xf>
    <xf numFmtId="0" fontId="17" fillId="10" borderId="6" xfId="0" applyFont="1" applyFill="1" applyBorder="1" applyAlignment="1">
      <alignment horizontal="center"/>
    </xf>
    <xf numFmtId="0" fontId="17" fillId="3" borderId="52" xfId="0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7" fillId="12" borderId="6" xfId="0" applyFont="1" applyFill="1" applyBorder="1" applyAlignment="1">
      <alignment horizontal="center" vertical="center"/>
    </xf>
    <xf numFmtId="0" fontId="17" fillId="12" borderId="6" xfId="0" applyFont="1" applyFill="1" applyBorder="1" applyAlignment="1">
      <alignment horizontal="left"/>
    </xf>
    <xf numFmtId="0" fontId="17" fillId="12" borderId="6" xfId="0" applyFont="1" applyFill="1" applyBorder="1" applyAlignment="1">
      <alignment horizontal="center"/>
    </xf>
    <xf numFmtId="0" fontId="17" fillId="12" borderId="52" xfId="0" applyFont="1" applyFill="1" applyBorder="1" applyAlignment="1">
      <alignment horizontal="left"/>
    </xf>
    <xf numFmtId="0" fontId="17" fillId="2" borderId="46" xfId="0" applyFont="1" applyFill="1" applyBorder="1" applyAlignment="1">
      <alignment horizontal="left"/>
    </xf>
    <xf numFmtId="0" fontId="17" fillId="2" borderId="45" xfId="0" applyFont="1" applyFill="1" applyBorder="1" applyAlignment="1">
      <alignment horizontal="center" vertical="center"/>
    </xf>
    <xf numFmtId="0" fontId="17" fillId="19" borderId="6" xfId="0" applyFont="1" applyFill="1" applyBorder="1" applyAlignment="1">
      <alignment horizontal="center" vertical="center"/>
    </xf>
    <xf numFmtId="0" fontId="17" fillId="19" borderId="6" xfId="0" applyFont="1" applyFill="1" applyBorder="1" applyAlignment="1">
      <alignment horizontal="left"/>
    </xf>
    <xf numFmtId="0" fontId="17" fillId="19" borderId="51" xfId="0" applyFont="1" applyFill="1" applyBorder="1" applyAlignment="1">
      <alignment horizontal="center" vertical="center"/>
    </xf>
    <xf numFmtId="0" fontId="17" fillId="19" borderId="52" xfId="0" applyFont="1" applyFill="1" applyBorder="1" applyAlignment="1">
      <alignment horizontal="center" vertical="center"/>
    </xf>
    <xf numFmtId="0" fontId="17" fillId="12" borderId="5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/>
    </xf>
    <xf numFmtId="0" fontId="17" fillId="2" borderId="46" xfId="0" applyFont="1" applyFill="1" applyBorder="1" applyAlignment="1">
      <alignment horizontal="center"/>
    </xf>
    <xf numFmtId="176" fontId="12" fillId="5" borderId="1" xfId="0" applyNumberFormat="1" applyFont="1" applyFill="1" applyBorder="1" applyAlignment="1">
      <alignment horizontal="center"/>
    </xf>
    <xf numFmtId="9" fontId="12" fillId="2" borderId="46" xfId="0" applyNumberFormat="1" applyFont="1" applyFill="1" applyBorder="1" applyAlignment="1">
      <alignment horizontal="center"/>
    </xf>
    <xf numFmtId="10" fontId="12" fillId="0" borderId="0" xfId="0" applyNumberFormat="1" applyFont="1" applyAlignment="1">
      <alignment horizontal="left"/>
    </xf>
    <xf numFmtId="10" fontId="12" fillId="2" borderId="1" xfId="0" applyNumberFormat="1" applyFont="1" applyFill="1" applyBorder="1"/>
    <xf numFmtId="10" fontId="12" fillId="2" borderId="46" xfId="0" applyNumberFormat="1" applyFont="1" applyFill="1" applyBorder="1"/>
    <xf numFmtId="183" fontId="12" fillId="2" borderId="1" xfId="0" applyNumberFormat="1" applyFont="1" applyFill="1" applyBorder="1"/>
    <xf numFmtId="165" fontId="12" fillId="2" borderId="46" xfId="0" applyNumberFormat="1" applyFont="1" applyFill="1" applyBorder="1"/>
    <xf numFmtId="165" fontId="12" fillId="2" borderId="1" xfId="0" applyNumberFormat="1" applyFont="1" applyFill="1" applyBorder="1" applyAlignment="1">
      <alignment horizontal="center" vertical="center"/>
    </xf>
    <xf numFmtId="2" fontId="12" fillId="12" borderId="1" xfId="0" applyNumberFormat="1" applyFont="1" applyFill="1" applyBorder="1"/>
    <xf numFmtId="9" fontId="12" fillId="2" borderId="46" xfId="0" applyNumberFormat="1" applyFont="1" applyFill="1" applyBorder="1"/>
    <xf numFmtId="9" fontId="12" fillId="2" borderId="45" xfId="0" applyNumberFormat="1" applyFont="1" applyFill="1" applyBorder="1"/>
    <xf numFmtId="10" fontId="12" fillId="2" borderId="1" xfId="0" applyNumberFormat="1" applyFont="1" applyFill="1" applyBorder="1" applyAlignment="1">
      <alignment horizontal="center"/>
    </xf>
    <xf numFmtId="10" fontId="12" fillId="2" borderId="1" xfId="0" applyNumberFormat="1" applyFont="1" applyFill="1" applyBorder="1" applyAlignment="1">
      <alignment horizontal="center" vertical="center"/>
    </xf>
    <xf numFmtId="10" fontId="12" fillId="2" borderId="46" xfId="0" applyNumberFormat="1" applyFont="1" applyFill="1" applyBorder="1" applyAlignment="1">
      <alignment horizontal="center"/>
    </xf>
    <xf numFmtId="9" fontId="44" fillId="0" borderId="0" xfId="0" applyNumberFormat="1" applyFont="1"/>
    <xf numFmtId="9" fontId="35" fillId="2" borderId="45" xfId="0" applyNumberFormat="1" applyFont="1" applyFill="1" applyBorder="1"/>
    <xf numFmtId="9" fontId="35" fillId="2" borderId="1" xfId="0" applyNumberFormat="1" applyFont="1" applyFill="1" applyBorder="1"/>
    <xf numFmtId="0" fontId="13" fillId="10" borderId="52" xfId="0" applyFont="1" applyFill="1" applyBorder="1"/>
    <xf numFmtId="2" fontId="12" fillId="2" borderId="46" xfId="0" applyNumberFormat="1" applyFont="1" applyFill="1" applyBorder="1" applyAlignment="1">
      <alignment horizontal="center" vertical="center"/>
    </xf>
    <xf numFmtId="0" fontId="17" fillId="12" borderId="6" xfId="0" applyFont="1" applyFill="1" applyBorder="1" applyAlignment="1">
      <alignment horizontal="left" vertical="center"/>
    </xf>
    <xf numFmtId="2" fontId="12" fillId="2" borderId="45" xfId="0" applyNumberFormat="1" applyFont="1" applyFill="1" applyBorder="1" applyAlignment="1">
      <alignment horizontal="center" vertical="center"/>
    </xf>
    <xf numFmtId="165" fontId="12" fillId="2" borderId="1" xfId="0" applyNumberFormat="1" applyFont="1" applyFill="1" applyBorder="1" applyAlignment="1">
      <alignment horizontal="left"/>
    </xf>
    <xf numFmtId="9" fontId="19" fillId="0" borderId="0" xfId="0" applyNumberFormat="1" applyFont="1"/>
    <xf numFmtId="9" fontId="12" fillId="0" borderId="0" xfId="0" applyNumberFormat="1" applyFont="1" applyAlignment="1">
      <alignment horizontal="left"/>
    </xf>
    <xf numFmtId="184" fontId="12" fillId="0" borderId="0" xfId="0" applyNumberFormat="1" applyFont="1" applyAlignment="1">
      <alignment horizontal="center"/>
    </xf>
    <xf numFmtId="0" fontId="17" fillId="13" borderId="6" xfId="0" applyFont="1" applyFill="1" applyBorder="1" applyAlignment="1">
      <alignment horizontal="right" vertical="center"/>
    </xf>
    <xf numFmtId="2" fontId="12" fillId="0" borderId="0" xfId="0" applyNumberFormat="1" applyFont="1" applyAlignment="1">
      <alignment horizontal="right" vertical="center"/>
    </xf>
    <xf numFmtId="0" fontId="12" fillId="2" borderId="65" xfId="0" applyFont="1" applyFill="1" applyBorder="1"/>
    <xf numFmtId="0" fontId="12" fillId="2" borderId="66" xfId="0" applyFont="1" applyFill="1" applyBorder="1"/>
    <xf numFmtId="0" fontId="12" fillId="2" borderId="67" xfId="0" applyFont="1" applyFill="1" applyBorder="1"/>
    <xf numFmtId="0" fontId="12" fillId="2" borderId="68" xfId="0" applyFont="1" applyFill="1" applyBorder="1"/>
    <xf numFmtId="0" fontId="12" fillId="2" borderId="69" xfId="0" applyFont="1" applyFill="1" applyBorder="1"/>
    <xf numFmtId="0" fontId="13" fillId="2" borderId="52" xfId="0" applyFont="1" applyFill="1" applyBorder="1" applyAlignment="1">
      <alignment horizontal="center"/>
    </xf>
    <xf numFmtId="0" fontId="13" fillId="2" borderId="43" xfId="0" applyFont="1" applyFill="1" applyBorder="1" applyAlignment="1">
      <alignment horizontal="center"/>
    </xf>
    <xf numFmtId="0" fontId="13" fillId="2" borderId="44" xfId="0" applyFont="1" applyFill="1" applyBorder="1"/>
    <xf numFmtId="0" fontId="13" fillId="2" borderId="20" xfId="0" applyFont="1" applyFill="1" applyBorder="1"/>
    <xf numFmtId="0" fontId="20" fillId="2" borderId="51" xfId="0" applyFont="1" applyFill="1" applyBorder="1" applyAlignment="1">
      <alignment horizontal="center" vertical="center" wrapText="1"/>
    </xf>
    <xf numFmtId="0" fontId="20" fillId="2" borderId="6" xfId="0" applyFont="1" applyFill="1" applyBorder="1" applyAlignment="1">
      <alignment horizontal="center" vertical="center" wrapText="1"/>
    </xf>
    <xf numFmtId="0" fontId="20" fillId="2" borderId="52" xfId="0" applyFont="1" applyFill="1" applyBorder="1" applyAlignment="1">
      <alignment horizontal="center" vertical="center" wrapText="1"/>
    </xf>
    <xf numFmtId="0" fontId="20" fillId="2" borderId="10" xfId="0" applyFont="1" applyFill="1" applyBorder="1" applyAlignment="1">
      <alignment horizontal="center" vertical="center" wrapText="1"/>
    </xf>
    <xf numFmtId="0" fontId="13" fillId="2" borderId="43" xfId="0" applyFont="1" applyFill="1" applyBorder="1"/>
    <xf numFmtId="0" fontId="35" fillId="2" borderId="43" xfId="0" applyFont="1" applyFill="1" applyBorder="1"/>
    <xf numFmtId="0" fontId="12" fillId="2" borderId="44" xfId="0" applyFont="1" applyFill="1" applyBorder="1"/>
    <xf numFmtId="0" fontId="12" fillId="2" borderId="20" xfId="0" applyFont="1" applyFill="1" applyBorder="1"/>
    <xf numFmtId="0" fontId="12" fillId="2" borderId="51" xfId="0" applyFont="1" applyFill="1" applyBorder="1"/>
    <xf numFmtId="0" fontId="12" fillId="9" borderId="51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9" borderId="52" xfId="0" applyFont="1" applyFill="1" applyBorder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2" borderId="45" xfId="0" applyFont="1" applyFill="1" applyBorder="1" applyAlignment="1">
      <alignment horizontal="left"/>
    </xf>
    <xf numFmtId="0" fontId="12" fillId="2" borderId="59" xfId="0" applyFont="1" applyFill="1" applyBorder="1"/>
    <xf numFmtId="0" fontId="12" fillId="2" borderId="59" xfId="0" applyFont="1" applyFill="1" applyBorder="1" applyAlignment="1">
      <alignment horizontal="left"/>
    </xf>
    <xf numFmtId="0" fontId="12" fillId="2" borderId="45" xfId="0" applyFont="1" applyFill="1" applyBorder="1" applyAlignment="1">
      <alignment horizontal="center"/>
    </xf>
    <xf numFmtId="0" fontId="12" fillId="2" borderId="59" xfId="0" applyFont="1" applyFill="1" applyBorder="1" applyAlignment="1">
      <alignment horizontal="center"/>
    </xf>
    <xf numFmtId="0" fontId="12" fillId="2" borderId="22" xfId="0" applyFont="1" applyFill="1" applyBorder="1" applyAlignment="1">
      <alignment horizontal="left"/>
    </xf>
    <xf numFmtId="0" fontId="12" fillId="2" borderId="51" xfId="0" applyFont="1" applyFill="1" applyBorder="1" applyAlignment="1">
      <alignment horizontal="left"/>
    </xf>
    <xf numFmtId="0" fontId="12" fillId="2" borderId="10" xfId="0" applyFont="1" applyFill="1" applyBorder="1"/>
    <xf numFmtId="169" fontId="12" fillId="2" borderId="50" xfId="0" applyNumberFormat="1" applyFont="1" applyFill="1" applyBorder="1"/>
    <xf numFmtId="0" fontId="12" fillId="2" borderId="22" xfId="0" applyFont="1" applyFill="1" applyBorder="1"/>
    <xf numFmtId="0" fontId="12" fillId="2" borderId="10" xfId="0" applyFont="1" applyFill="1" applyBorder="1" applyAlignment="1">
      <alignment horizontal="left"/>
    </xf>
    <xf numFmtId="0" fontId="12" fillId="9" borderId="51" xfId="0" applyFont="1" applyFill="1" applyBorder="1" applyAlignment="1">
      <alignment horizontal="center"/>
    </xf>
    <xf numFmtId="0" fontId="12" fillId="2" borderId="52" xfId="0" applyFont="1" applyFill="1" applyBorder="1" applyAlignment="1">
      <alignment horizontal="center"/>
    </xf>
    <xf numFmtId="0" fontId="12" fillId="2" borderId="22" xfId="0" applyFont="1" applyFill="1" applyBorder="1" applyAlignment="1">
      <alignment horizontal="center"/>
    </xf>
    <xf numFmtId="0" fontId="13" fillId="2" borderId="51" xfId="0" applyFont="1" applyFill="1" applyBorder="1" applyAlignment="1">
      <alignment horizontal="center"/>
    </xf>
    <xf numFmtId="0" fontId="13" fillId="2" borderId="52" xfId="0" applyFont="1" applyFill="1" applyBorder="1"/>
    <xf numFmtId="0" fontId="13" fillId="2" borderId="10" xfId="0" applyFont="1" applyFill="1" applyBorder="1"/>
    <xf numFmtId="0" fontId="13" fillId="2" borderId="45" xfId="0" applyFont="1" applyFill="1" applyBorder="1"/>
    <xf numFmtId="0" fontId="13" fillId="2" borderId="59" xfId="0" applyFont="1" applyFill="1" applyBorder="1"/>
    <xf numFmtId="0" fontId="13" fillId="2" borderId="10" xfId="0" applyFont="1" applyFill="1" applyBorder="1" applyAlignment="1">
      <alignment horizontal="center"/>
    </xf>
    <xf numFmtId="0" fontId="12" fillId="2" borderId="10" xfId="0" applyFont="1" applyFill="1" applyBorder="1" applyAlignment="1">
      <alignment horizontal="center" vertical="center"/>
    </xf>
    <xf numFmtId="0" fontId="12" fillId="2" borderId="52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47" fillId="2" borderId="43" xfId="0" applyFont="1" applyFill="1" applyBorder="1"/>
    <xf numFmtId="0" fontId="12" fillId="2" borderId="22" xfId="0" applyFont="1" applyFill="1" applyBorder="1" applyAlignment="1">
      <alignment horizontal="center" vertical="center"/>
    </xf>
    <xf numFmtId="2" fontId="12" fillId="2" borderId="52" xfId="0" applyNumberFormat="1" applyFont="1" applyFill="1" applyBorder="1"/>
    <xf numFmtId="0" fontId="12" fillId="2" borderId="48" xfId="0" applyFont="1" applyFill="1" applyBorder="1" applyAlignment="1">
      <alignment horizontal="center"/>
    </xf>
    <xf numFmtId="0" fontId="12" fillId="5" borderId="22" xfId="0" applyFont="1" applyFill="1" applyBorder="1" applyAlignment="1">
      <alignment horizontal="center"/>
    </xf>
    <xf numFmtId="0" fontId="12" fillId="2" borderId="70" xfId="0" applyFont="1" applyFill="1" applyBorder="1"/>
    <xf numFmtId="0" fontId="12" fillId="2" borderId="71" xfId="0" applyFont="1" applyFill="1" applyBorder="1"/>
    <xf numFmtId="0" fontId="12" fillId="2" borderId="72" xfId="0" applyFont="1" applyFill="1" applyBorder="1"/>
    <xf numFmtId="0" fontId="12" fillId="2" borderId="43" xfId="0" applyFont="1" applyFill="1" applyBorder="1"/>
    <xf numFmtId="0" fontId="12" fillId="2" borderId="44" xfId="0" applyFont="1" applyFill="1" applyBorder="1" applyAlignment="1">
      <alignment horizontal="center"/>
    </xf>
    <xf numFmtId="0" fontId="12" fillId="2" borderId="46" xfId="0" applyFont="1" applyFill="1" applyBorder="1" applyAlignment="1">
      <alignment horizontal="center"/>
    </xf>
    <xf numFmtId="0" fontId="13" fillId="0" borderId="18" xfId="0" applyFont="1" applyBorder="1"/>
    <xf numFmtId="0" fontId="13" fillId="0" borderId="13" xfId="0" applyFont="1" applyBorder="1"/>
    <xf numFmtId="0" fontId="12" fillId="2" borderId="53" xfId="0" applyFont="1" applyFill="1" applyBorder="1"/>
    <xf numFmtId="0" fontId="12" fillId="2" borderId="5" xfId="0" applyFont="1" applyFill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12" fillId="0" borderId="15" xfId="0" applyNumberFormat="1" applyFont="1" applyBorder="1" applyAlignment="1">
      <alignment horizontal="center"/>
    </xf>
    <xf numFmtId="0" fontId="12" fillId="2" borderId="53" xfId="0" applyFont="1" applyFill="1" applyBorder="1" applyAlignment="1">
      <alignment horizontal="center"/>
    </xf>
    <xf numFmtId="1" fontId="12" fillId="0" borderId="18" xfId="0" applyNumberFormat="1" applyFont="1" applyBorder="1" applyAlignment="1">
      <alignment horizontal="center"/>
    </xf>
    <xf numFmtId="0" fontId="13" fillId="2" borderId="1" xfId="0" applyFont="1" applyFill="1" applyBorder="1" applyAlignment="1">
      <alignment horizontal="left"/>
    </xf>
    <xf numFmtId="9" fontId="12" fillId="0" borderId="15" xfId="0" applyNumberFormat="1" applyFont="1" applyBorder="1"/>
    <xf numFmtId="9" fontId="12" fillId="0" borderId="18" xfId="0" applyNumberFormat="1" applyFont="1" applyBorder="1"/>
    <xf numFmtId="0" fontId="12" fillId="0" borderId="23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9" fontId="12" fillId="0" borderId="12" xfId="0" applyNumberFormat="1" applyFont="1" applyBorder="1" applyAlignment="1">
      <alignment horizontal="center"/>
    </xf>
    <xf numFmtId="9" fontId="12" fillId="0" borderId="18" xfId="0" applyNumberFormat="1" applyFont="1" applyBorder="1" applyAlignment="1">
      <alignment horizontal="center"/>
    </xf>
    <xf numFmtId="9" fontId="12" fillId="0" borderId="19" xfId="0" applyNumberFormat="1" applyFont="1" applyBorder="1" applyAlignment="1">
      <alignment horizontal="center"/>
    </xf>
    <xf numFmtId="0" fontId="12" fillId="0" borderId="13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9" fontId="12" fillId="0" borderId="21" xfId="0" applyNumberFormat="1" applyFont="1" applyBorder="1"/>
    <xf numFmtId="9" fontId="12" fillId="0" borderId="23" xfId="0" applyNumberFormat="1" applyFont="1" applyBorder="1"/>
    <xf numFmtId="9" fontId="12" fillId="0" borderId="19" xfId="0" applyNumberFormat="1" applyFont="1" applyBorder="1"/>
    <xf numFmtId="0" fontId="12" fillId="0" borderId="9" xfId="0" applyFont="1" applyBorder="1"/>
    <xf numFmtId="0" fontId="11" fillId="0" borderId="0" xfId="0" applyFont="1" applyAlignment="1">
      <alignment horizontal="center"/>
    </xf>
    <xf numFmtId="0" fontId="10" fillId="0" borderId="0" xfId="0" applyFont="1"/>
    <xf numFmtId="184" fontId="0" fillId="0" borderId="0" xfId="0" applyNumberFormat="1"/>
    <xf numFmtId="0" fontId="19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8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2" fillId="10" borderId="1" xfId="1" applyNumberFormat="1" applyFont="1" applyFill="1" applyBorder="1"/>
    <xf numFmtId="0" fontId="63" fillId="0" borderId="0" xfId="0" applyFont="1"/>
    <xf numFmtId="0" fontId="61" fillId="0" borderId="0" xfId="0" applyFont="1"/>
    <xf numFmtId="174" fontId="35" fillId="0" borderId="0" xfId="0" applyNumberFormat="1" applyFont="1"/>
    <xf numFmtId="9" fontId="35" fillId="0" borderId="0" xfId="0" applyNumberFormat="1" applyFont="1"/>
    <xf numFmtId="10" fontId="0" fillId="0" borderId="0" xfId="0" applyNumberFormat="1"/>
    <xf numFmtId="0" fontId="7" fillId="0" borderId="0" xfId="0" applyFont="1"/>
    <xf numFmtId="186" fontId="0" fillId="0" borderId="0" xfId="1" applyNumberFormat="1" applyFont="1"/>
    <xf numFmtId="186" fontId="12" fillId="0" borderId="12" xfId="1" applyNumberFormat="1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2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7" fillId="0" borderId="73" xfId="0" applyFont="1" applyBorder="1" applyAlignment="1">
      <alignment horizontal="center"/>
    </xf>
    <xf numFmtId="0" fontId="7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5" fillId="0" borderId="0" xfId="0" applyFont="1"/>
    <xf numFmtId="9" fontId="0" fillId="0" borderId="0" xfId="0" applyNumberFormat="1"/>
    <xf numFmtId="0" fontId="12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6" fillId="0" borderId="0" xfId="0" applyFont="1"/>
    <xf numFmtId="0" fontId="66" fillId="0" borderId="0" xfId="0" applyFont="1" applyAlignment="1">
      <alignment horizontal="center"/>
    </xf>
    <xf numFmtId="169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9" fontId="0" fillId="0" borderId="0" xfId="2" applyFont="1"/>
    <xf numFmtId="186" fontId="66" fillId="0" borderId="0" xfId="1" applyNumberFormat="1" applyFont="1" applyAlignment="1">
      <alignment horizontal="center"/>
    </xf>
    <xf numFmtId="186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86" fontId="67" fillId="0" borderId="0" xfId="1" applyNumberFormat="1" applyFont="1" applyAlignment="1">
      <alignment horizontal="center"/>
    </xf>
    <xf numFmtId="167" fontId="62" fillId="0" borderId="0" xfId="0" applyNumberFormat="1" applyFont="1"/>
    <xf numFmtId="2" fontId="66" fillId="0" borderId="0" xfId="0" applyNumberFormat="1" applyFont="1"/>
    <xf numFmtId="0" fontId="68" fillId="0" borderId="0" xfId="0" applyFont="1"/>
    <xf numFmtId="0" fontId="69" fillId="0" borderId="0" xfId="0" applyFont="1"/>
    <xf numFmtId="0" fontId="7" fillId="0" borderId="0" xfId="0" applyFont="1" applyAlignment="1">
      <alignment vertical="center"/>
    </xf>
    <xf numFmtId="167" fontId="20" fillId="0" borderId="17" xfId="0" applyNumberFormat="1" applyFont="1" applyBorder="1"/>
    <xf numFmtId="0" fontId="7" fillId="0" borderId="0" xfId="0" applyFont="1" applyAlignment="1">
      <alignment horizontal="right"/>
    </xf>
    <xf numFmtId="0" fontId="24" fillId="0" borderId="0" xfId="0" applyFont="1" applyAlignment="1">
      <alignment horizontal="right"/>
    </xf>
    <xf numFmtId="0" fontId="6" fillId="0" borderId="0" xfId="0" applyFont="1"/>
    <xf numFmtId="43" fontId="0" fillId="0" borderId="0" xfId="1" applyFont="1"/>
    <xf numFmtId="1" fontId="0" fillId="0" borderId="0" xfId="0" applyNumberFormat="1"/>
    <xf numFmtId="1" fontId="71" fillId="20" borderId="0" xfId="0" applyNumberFormat="1" applyFont="1" applyFill="1"/>
    <xf numFmtId="2" fontId="6" fillId="0" borderId="0" xfId="0" applyNumberFormat="1" applyFont="1"/>
    <xf numFmtId="0" fontId="0" fillId="0" borderId="0" xfId="0" applyAlignment="1">
      <alignment horizontal="left"/>
    </xf>
    <xf numFmtId="0" fontId="6" fillId="0" borderId="0" xfId="0" applyFont="1" applyAlignment="1">
      <alignment horizontal="center" vertical="center"/>
    </xf>
    <xf numFmtId="184" fontId="0" fillId="0" borderId="76" xfId="0" applyNumberFormat="1" applyBorder="1"/>
    <xf numFmtId="0" fontId="62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9" fillId="0" borderId="0" xfId="2" applyFont="1"/>
    <xf numFmtId="0" fontId="0" fillId="0" borderId="0" xfId="0" applyAlignment="1">
      <alignment horizontal="right"/>
    </xf>
    <xf numFmtId="2" fontId="12" fillId="0" borderId="0" xfId="0" applyNumberFormat="1" applyFont="1" applyAlignment="1">
      <alignment horizontal="left"/>
    </xf>
    <xf numFmtId="43" fontId="19" fillId="0" borderId="0" xfId="1" applyFont="1"/>
    <xf numFmtId="0" fontId="73" fillId="0" borderId="0" xfId="0" applyFont="1"/>
    <xf numFmtId="0" fontId="12" fillId="22" borderId="1" xfId="0" applyFont="1" applyFill="1" applyBorder="1"/>
    <xf numFmtId="0" fontId="0" fillId="23" borderId="0" xfId="0" applyFill="1"/>
    <xf numFmtId="0" fontId="12" fillId="24" borderId="1" xfId="0" applyFont="1" applyFill="1" applyBorder="1"/>
    <xf numFmtId="0" fontId="12" fillId="25" borderId="1" xfId="0" applyFont="1" applyFill="1" applyBorder="1"/>
    <xf numFmtId="0" fontId="12" fillId="2" borderId="64" xfId="0" applyFont="1" applyFill="1" applyBorder="1"/>
    <xf numFmtId="43" fontId="0" fillId="23" borderId="0" xfId="0" applyNumberFormat="1" applyFill="1"/>
    <xf numFmtId="165" fontId="12" fillId="0" borderId="0" xfId="2" applyNumberFormat="1" applyFont="1"/>
    <xf numFmtId="10" fontId="12" fillId="21" borderId="0" xfId="0" applyNumberFormat="1" applyFont="1" applyFill="1"/>
    <xf numFmtId="0" fontId="12" fillId="21" borderId="0" xfId="0" applyFont="1" applyFill="1" applyAlignment="1">
      <alignment horizontal="center" vertical="center"/>
    </xf>
    <xf numFmtId="0" fontId="5" fillId="0" borderId="0" xfId="0" applyFont="1"/>
    <xf numFmtId="0" fontId="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 applyAlignment="1">
      <alignment horizontal="center"/>
    </xf>
    <xf numFmtId="9" fontId="76" fillId="0" borderId="0" xfId="0" applyNumberFormat="1" applyFont="1"/>
    <xf numFmtId="9" fontId="76" fillId="0" borderId="0" xfId="2" applyFont="1"/>
    <xf numFmtId="169" fontId="77" fillId="0" borderId="0" xfId="0" applyNumberFormat="1" applyFont="1" applyAlignment="1">
      <alignment horizontal="center"/>
    </xf>
    <xf numFmtId="1" fontId="77" fillId="0" borderId="0" xfId="0" applyNumberFormat="1" applyFont="1" applyAlignment="1">
      <alignment horizontal="center"/>
    </xf>
    <xf numFmtId="186" fontId="77" fillId="0" borderId="0" xfId="1" applyNumberFormat="1" applyFont="1" applyAlignment="1">
      <alignment horizontal="center"/>
    </xf>
    <xf numFmtId="9" fontId="76" fillId="0" borderId="76" xfId="0" applyNumberFormat="1" applyFont="1" applyBorder="1"/>
    <xf numFmtId="186" fontId="77" fillId="0" borderId="0" xfId="0" applyNumberFormat="1" applyFont="1" applyAlignment="1">
      <alignment horizontal="center"/>
    </xf>
    <xf numFmtId="0" fontId="78" fillId="0" borderId="0" xfId="0" applyFont="1" applyAlignment="1">
      <alignment horizontal="center"/>
    </xf>
    <xf numFmtId="186" fontId="78" fillId="0" borderId="0" xfId="1" applyNumberFormat="1" applyFont="1" applyAlignment="1">
      <alignment horizontal="center"/>
    </xf>
    <xf numFmtId="0" fontId="79" fillId="0" borderId="0" xfId="0" applyFont="1" applyAlignment="1">
      <alignment horizontal="right"/>
    </xf>
    <xf numFmtId="2" fontId="4" fillId="0" borderId="0" xfId="0" applyNumberFormat="1" applyFont="1"/>
    <xf numFmtId="169" fontId="4" fillId="0" borderId="0" xfId="0" applyNumberFormat="1" applyFont="1"/>
    <xf numFmtId="169" fontId="6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20" fillId="0" borderId="0" xfId="0" applyNumberFormat="1" applyFont="1"/>
    <xf numFmtId="0" fontId="3" fillId="0" borderId="0" xfId="0" applyFont="1"/>
    <xf numFmtId="169" fontId="66" fillId="0" borderId="0" xfId="0" applyNumberFormat="1" applyFont="1"/>
    <xf numFmtId="0" fontId="80" fillId="4" borderId="7" xfId="0" applyFont="1" applyFill="1" applyBorder="1" applyAlignment="1">
      <alignment horizontal="center"/>
    </xf>
    <xf numFmtId="176" fontId="20" fillId="0" borderId="0" xfId="0" applyNumberFormat="1" applyFont="1"/>
    <xf numFmtId="187" fontId="20" fillId="0" borderId="0" xfId="0" applyNumberFormat="1" applyFont="1"/>
    <xf numFmtId="0" fontId="81" fillId="0" borderId="0" xfId="0" applyFont="1"/>
    <xf numFmtId="0" fontId="82" fillId="28" borderId="76" xfId="0" applyFont="1" applyFill="1" applyBorder="1" applyAlignment="1">
      <alignment horizontal="center"/>
    </xf>
    <xf numFmtId="0" fontId="18" fillId="27" borderId="77" xfId="3" applyFont="1" applyBorder="1" applyAlignment="1">
      <alignment horizontal="center" wrapText="1"/>
    </xf>
    <xf numFmtId="0" fontId="18" fillId="27" borderId="77" xfId="3" applyFont="1" applyBorder="1" applyAlignment="1"/>
    <xf numFmtId="0" fontId="85" fillId="0" borderId="0" xfId="0" applyFont="1"/>
    <xf numFmtId="169" fontId="12" fillId="26" borderId="0" xfId="0" applyNumberFormat="1" applyFont="1" applyFill="1" applyAlignment="1">
      <alignment horizontal="center" vertical="center"/>
    </xf>
    <xf numFmtId="169" fontId="0" fillId="26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169" fontId="12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2" fillId="30" borderId="1" xfId="0" applyNumberFormat="1" applyFont="1" applyFill="1" applyBorder="1" applyAlignment="1">
      <alignment horizontal="center" vertical="center"/>
    </xf>
    <xf numFmtId="165" fontId="35" fillId="2" borderId="1" xfId="0" applyNumberFormat="1" applyFont="1" applyFill="1" applyBorder="1"/>
    <xf numFmtId="0" fontId="35" fillId="0" borderId="0" xfId="0" applyFont="1" applyAlignment="1">
      <alignment horizontal="left"/>
    </xf>
    <xf numFmtId="165" fontId="86" fillId="2" borderId="64" xfId="0" applyNumberFormat="1" applyFont="1" applyFill="1" applyBorder="1"/>
    <xf numFmtId="165" fontId="87" fillId="2" borderId="64" xfId="0" applyNumberFormat="1" applyFont="1" applyFill="1" applyBorder="1"/>
    <xf numFmtId="0" fontId="13" fillId="0" borderId="0" xfId="0" applyFont="1" applyAlignment="1">
      <alignment horizontal="left"/>
    </xf>
    <xf numFmtId="0" fontId="87" fillId="0" borderId="0" xfId="0" applyFont="1" applyAlignment="1">
      <alignment horizontal="left"/>
    </xf>
    <xf numFmtId="0" fontId="12" fillId="2" borderId="1" xfId="0" applyFont="1" applyFill="1" applyBorder="1" applyAlignment="1">
      <alignment horizontal="right" vertical="center"/>
    </xf>
    <xf numFmtId="0" fontId="61" fillId="0" borderId="0" xfId="0" applyFont="1" applyAlignment="1">
      <alignment horizontal="right"/>
    </xf>
    <xf numFmtId="0" fontId="68" fillId="0" borderId="0" xfId="0" applyFont="1" applyAlignment="1">
      <alignment horizontal="right"/>
    </xf>
    <xf numFmtId="0" fontId="35" fillId="2" borderId="1" xfId="0" applyFont="1" applyFill="1" applyBorder="1" applyAlignment="1">
      <alignment horizontal="right" vertical="center"/>
    </xf>
    <xf numFmtId="0" fontId="35" fillId="2" borderId="1" xfId="0" applyFont="1" applyFill="1" applyBorder="1"/>
    <xf numFmtId="0" fontId="87" fillId="2" borderId="64" xfId="0" applyFont="1" applyFill="1" applyBorder="1" applyAlignment="1">
      <alignment horizontal="right" vertical="center"/>
    </xf>
    <xf numFmtId="0" fontId="87" fillId="2" borderId="1" xfId="0" applyFont="1" applyFill="1" applyBorder="1"/>
    <xf numFmtId="0" fontId="87" fillId="2" borderId="64" xfId="0" applyFont="1" applyFill="1" applyBorder="1"/>
    <xf numFmtId="0" fontId="12" fillId="0" borderId="0" xfId="0" applyFont="1" applyAlignment="1">
      <alignment horizontal="center"/>
    </xf>
    <xf numFmtId="165" fontId="12" fillId="2" borderId="1" xfId="0" applyNumberFormat="1" applyFont="1" applyFill="1" applyBorder="1" applyAlignment="1">
      <alignment horizontal="left" vertical="center"/>
    </xf>
    <xf numFmtId="0" fontId="2" fillId="0" borderId="0" xfId="0" applyFont="1"/>
    <xf numFmtId="2" fontId="12" fillId="2" borderId="64" xfId="0" applyNumberFormat="1" applyFont="1" applyFill="1" applyBorder="1"/>
    <xf numFmtId="2" fontId="12" fillId="0" borderId="0" xfId="0" applyNumberFormat="1" applyFont="1" applyAlignment="1"/>
    <xf numFmtId="0" fontId="0" fillId="0" borderId="0" xfId="0" applyAlignment="1"/>
    <xf numFmtId="2" fontId="12" fillId="2" borderId="64" xfId="0" applyNumberFormat="1" applyFont="1" applyFill="1" applyBorder="1" applyAlignment="1"/>
    <xf numFmtId="0" fontId="12" fillId="2" borderId="64" xfId="0" applyFont="1" applyFill="1" applyBorder="1" applyAlignment="1"/>
    <xf numFmtId="0" fontId="12" fillId="2" borderId="1" xfId="0" applyFont="1" applyFill="1" applyBorder="1" applyAlignment="1">
      <alignment horizontal="right"/>
    </xf>
    <xf numFmtId="2" fontId="12" fillId="2" borderId="64" xfId="0" applyNumberFormat="1" applyFont="1" applyFill="1" applyBorder="1" applyAlignment="1">
      <alignment horizontal="right"/>
    </xf>
    <xf numFmtId="2" fontId="12" fillId="2" borderId="1" xfId="0" applyNumberFormat="1" applyFont="1" applyFill="1" applyBorder="1" applyAlignment="1">
      <alignment horizontal="right" vertical="center"/>
    </xf>
    <xf numFmtId="2" fontId="12" fillId="2" borderId="1" xfId="0" applyNumberFormat="1" applyFont="1" applyFill="1" applyBorder="1" applyAlignment="1">
      <alignment horizontal="right"/>
    </xf>
    <xf numFmtId="0" fontId="12" fillId="2" borderId="64" xfId="0" applyFont="1" applyFill="1" applyBorder="1" applyAlignment="1">
      <alignment horizontal="right"/>
    </xf>
    <xf numFmtId="0" fontId="17" fillId="31" borderId="64" xfId="0" applyFont="1" applyFill="1" applyBorder="1" applyAlignment="1">
      <alignment horizontal="right" vertical="center"/>
    </xf>
    <xf numFmtId="0" fontId="17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 applyAlignment="1"/>
    <xf numFmtId="2" fontId="0" fillId="0" borderId="0" xfId="0" applyNumberFormat="1" applyAlignment="1">
      <alignment horizontal="right"/>
    </xf>
    <xf numFmtId="165" fontId="12" fillId="2" borderId="64" xfId="0" applyNumberFormat="1" applyFont="1" applyFill="1" applyBorder="1"/>
    <xf numFmtId="0" fontId="12" fillId="2" borderId="64" xfId="0" applyFont="1" applyFill="1" applyBorder="1" applyAlignment="1">
      <alignment horizontal="left"/>
    </xf>
    <xf numFmtId="9" fontId="12" fillId="2" borderId="64" xfId="0" applyNumberFormat="1" applyFont="1" applyFill="1" applyBorder="1" applyAlignment="1">
      <alignment horizontal="center"/>
    </xf>
    <xf numFmtId="165" fontId="12" fillId="2" borderId="64" xfId="0" applyNumberFormat="1" applyFont="1" applyFill="1" applyBorder="1" applyAlignment="1">
      <alignment horizontal="left"/>
    </xf>
    <xf numFmtId="0" fontId="12" fillId="2" borderId="64" xfId="0" applyFont="1" applyFill="1" applyBorder="1" applyAlignment="1">
      <alignment horizontal="center"/>
    </xf>
    <xf numFmtId="9" fontId="12" fillId="2" borderId="64" xfId="0" applyNumberFormat="1" applyFont="1" applyFill="1" applyBorder="1" applyAlignment="1">
      <alignment horizontal="left"/>
    </xf>
    <xf numFmtId="9" fontId="12" fillId="2" borderId="64" xfId="0" applyNumberFormat="1" applyFont="1" applyFill="1" applyBorder="1" applyAlignment="1">
      <alignment horizontal="center" vertical="center"/>
    </xf>
    <xf numFmtId="165" fontId="12" fillId="2" borderId="64" xfId="0" applyNumberFormat="1" applyFont="1" applyFill="1" applyBorder="1" applyAlignment="1">
      <alignment horizontal="center"/>
    </xf>
    <xf numFmtId="165" fontId="12" fillId="2" borderId="64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2" fillId="2" borderId="1" xfId="0" quotePrefix="1" applyNumberFormat="1" applyFont="1" applyFill="1" applyBorder="1"/>
    <xf numFmtId="2" fontId="12" fillId="32" borderId="1" xfId="0" applyNumberFormat="1" applyFont="1" applyFill="1" applyBorder="1"/>
    <xf numFmtId="0" fontId="17" fillId="33" borderId="52" xfId="0" applyFont="1" applyFill="1" applyBorder="1" applyAlignment="1">
      <alignment horizontal="left"/>
    </xf>
    <xf numFmtId="170" fontId="0" fillId="0" borderId="0" xfId="0" applyNumberFormat="1"/>
    <xf numFmtId="165" fontId="19" fillId="0" borderId="0" xfId="0" applyNumberFormat="1" applyFont="1"/>
    <xf numFmtId="0" fontId="13" fillId="2" borderId="2" xfId="0" applyFont="1" applyFill="1" applyBorder="1" applyAlignment="1">
      <alignment horizontal="center"/>
    </xf>
    <xf numFmtId="0" fontId="14" fillId="0" borderId="3" xfId="0" applyFont="1" applyBorder="1"/>
    <xf numFmtId="0" fontId="14" fillId="0" borderId="4" xfId="0" applyFont="1" applyBorder="1"/>
    <xf numFmtId="0" fontId="13" fillId="0" borderId="0" xfId="0" applyFont="1" applyAlignment="1">
      <alignment horizontal="center"/>
    </xf>
    <xf numFmtId="0" fontId="0" fillId="0" borderId="0" xfId="0"/>
    <xf numFmtId="0" fontId="20" fillId="26" borderId="0" xfId="0" applyFont="1" applyFill="1" applyAlignment="1">
      <alignment horizontal="center"/>
    </xf>
    <xf numFmtId="0" fontId="29" fillId="7" borderId="29" xfId="0" applyFont="1" applyFill="1" applyBorder="1" applyAlignment="1">
      <alignment horizontal="center" vertical="center" wrapText="1"/>
    </xf>
    <xf numFmtId="0" fontId="14" fillId="0" borderId="30" xfId="0" applyFont="1" applyBorder="1"/>
    <xf numFmtId="0" fontId="14" fillId="0" borderId="31" xfId="0" applyFont="1" applyBorder="1"/>
    <xf numFmtId="0" fontId="28" fillId="6" borderId="29" xfId="0" applyFont="1" applyFill="1" applyBorder="1" applyAlignment="1">
      <alignment horizontal="center" vertical="center"/>
    </xf>
    <xf numFmtId="0" fontId="28" fillId="6" borderId="35" xfId="0" applyFont="1" applyFill="1" applyBorder="1" applyAlignment="1">
      <alignment horizontal="center" vertical="center"/>
    </xf>
    <xf numFmtId="0" fontId="14" fillId="0" borderId="36" xfId="0" applyFont="1" applyBorder="1"/>
    <xf numFmtId="0" fontId="14" fillId="0" borderId="37" xfId="0" applyFont="1" applyBorder="1"/>
    <xf numFmtId="0" fontId="28" fillId="6" borderId="38" xfId="0" applyFont="1" applyFill="1" applyBorder="1" applyAlignment="1">
      <alignment horizontal="center" vertical="center"/>
    </xf>
    <xf numFmtId="0" fontId="14" fillId="0" borderId="39" xfId="0" applyFont="1" applyBorder="1"/>
    <xf numFmtId="0" fontId="14" fillId="0" borderId="40" xfId="0" applyFont="1" applyBorder="1"/>
    <xf numFmtId="2" fontId="12" fillId="0" borderId="24" xfId="0" applyNumberFormat="1" applyFont="1" applyBorder="1" applyAlignment="1">
      <alignment horizontal="center" vertical="center"/>
    </xf>
    <xf numFmtId="0" fontId="14" fillId="0" borderId="21" xfId="0" applyFont="1" applyBorder="1"/>
    <xf numFmtId="0" fontId="14" fillId="0" borderId="23" xfId="0" applyFont="1" applyBorder="1"/>
    <xf numFmtId="171" fontId="12" fillId="0" borderId="16" xfId="0" applyNumberFormat="1" applyFont="1" applyBorder="1" applyAlignment="1">
      <alignment horizontal="center" vertical="center"/>
    </xf>
    <xf numFmtId="0" fontId="14" fillId="0" borderId="12" xfId="0" applyFont="1" applyBorder="1"/>
    <xf numFmtId="0" fontId="14" fillId="0" borderId="19" xfId="0" applyFont="1" applyBorder="1"/>
    <xf numFmtId="2" fontId="20" fillId="0" borderId="24" xfId="0" applyNumberFormat="1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14" fillId="0" borderId="18" xfId="0" applyFont="1" applyBorder="1"/>
    <xf numFmtId="0" fontId="21" fillId="0" borderId="16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/>
    </xf>
    <xf numFmtId="0" fontId="14" fillId="0" borderId="9" xfId="0" applyFont="1" applyBorder="1"/>
    <xf numFmtId="0" fontId="20" fillId="0" borderId="16" xfId="0" applyFont="1" applyBorder="1" applyAlignment="1">
      <alignment horizontal="left" vertical="center"/>
    </xf>
    <xf numFmtId="0" fontId="13" fillId="0" borderId="2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40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7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4" fillId="0" borderId="13" xfId="0" applyFont="1" applyBorder="1"/>
    <xf numFmtId="0" fontId="13" fillId="2" borderId="8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9" fontId="12" fillId="2" borderId="47" xfId="0" applyNumberFormat="1" applyFont="1" applyFill="1" applyBorder="1" applyAlignment="1">
      <alignment horizontal="center" vertical="center"/>
    </xf>
    <xf numFmtId="0" fontId="14" fillId="0" borderId="49" xfId="0" applyFont="1" applyBorder="1"/>
    <xf numFmtId="9" fontId="12" fillId="0" borderId="0" xfId="0" applyNumberFormat="1" applyFont="1" applyAlignment="1">
      <alignment horizontal="center"/>
    </xf>
    <xf numFmtId="0" fontId="13" fillId="2" borderId="54" xfId="0" applyFont="1" applyFill="1" applyBorder="1" applyAlignment="1">
      <alignment horizontal="center" vertical="center"/>
    </xf>
    <xf numFmtId="0" fontId="14" fillId="0" borderId="55" xfId="0" applyFont="1" applyBorder="1"/>
    <xf numFmtId="0" fontId="14" fillId="0" borderId="56" xfId="0" applyFont="1" applyBorder="1"/>
    <xf numFmtId="0" fontId="13" fillId="2" borderId="57" xfId="0" applyFont="1" applyFill="1" applyBorder="1" applyAlignment="1">
      <alignment horizontal="center" vertical="center"/>
    </xf>
    <xf numFmtId="0" fontId="14" fillId="0" borderId="58" xfId="0" applyFont="1" applyBorder="1"/>
    <xf numFmtId="0" fontId="46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22" fillId="18" borderId="2" xfId="0" applyFont="1" applyFill="1" applyBorder="1" applyAlignment="1">
      <alignment horizontal="center"/>
    </xf>
    <xf numFmtId="0" fontId="22" fillId="5" borderId="2" xfId="0" applyFont="1" applyFill="1" applyBorder="1" applyAlignment="1">
      <alignment horizontal="center"/>
    </xf>
    <xf numFmtId="0" fontId="50" fillId="10" borderId="60" xfId="0" applyFont="1" applyFill="1" applyBorder="1" applyAlignment="1">
      <alignment horizontal="center"/>
    </xf>
    <xf numFmtId="0" fontId="14" fillId="0" borderId="61" xfId="0" applyFont="1" applyBorder="1"/>
    <xf numFmtId="0" fontId="14" fillId="0" borderId="62" xfId="0" applyFont="1" applyBorder="1"/>
    <xf numFmtId="0" fontId="50" fillId="10" borderId="60" xfId="0" applyFont="1" applyFill="1" applyBorder="1" applyAlignment="1">
      <alignment horizontal="center" wrapText="1"/>
    </xf>
    <xf numFmtId="0" fontId="13" fillId="5" borderId="2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/>
    </xf>
    <xf numFmtId="0" fontId="22" fillId="18" borderId="8" xfId="0" applyFont="1" applyFill="1" applyBorder="1" applyAlignment="1">
      <alignment horizontal="center"/>
    </xf>
    <xf numFmtId="0" fontId="13" fillId="16" borderId="2" xfId="0" applyFont="1" applyFill="1" applyBorder="1" applyAlignment="1">
      <alignment horizontal="center"/>
    </xf>
    <xf numFmtId="0" fontId="22" fillId="18" borderId="8" xfId="0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52" fillId="0" borderId="63" xfId="0" applyFont="1" applyBorder="1" applyAlignment="1">
      <alignment horizontal="center"/>
    </xf>
    <xf numFmtId="0" fontId="14" fillId="0" borderId="63" xfId="0" applyFont="1" applyBorder="1"/>
    <xf numFmtId="0" fontId="14" fillId="0" borderId="64" xfId="0" applyFont="1" applyBorder="1"/>
    <xf numFmtId="0" fontId="39" fillId="2" borderId="2" xfId="0" applyFont="1" applyFill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EXP_IMP'!$J$144:$Q$144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EXP_IMP'!$J$152:$Q$152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EXP_IMP'!$J$156:$Q$156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157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81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96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157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157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157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3"/>
  <sheetViews>
    <sheetView topLeftCell="A52" zoomScale="115" zoomScaleNormal="115" workbookViewId="0">
      <selection activeCell="D117" sqref="D117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67" t="s">
        <v>36</v>
      </c>
      <c r="Y14" s="968"/>
      <c r="Z14" s="968"/>
      <c r="AA14" s="968"/>
      <c r="AB14" s="968"/>
      <c r="AC14" s="968"/>
      <c r="AD14" s="968"/>
      <c r="AE14" s="968"/>
      <c r="AF14" s="96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67" t="s">
        <v>37</v>
      </c>
      <c r="C15" s="968"/>
      <c r="D15" s="968"/>
      <c r="E15" s="968"/>
      <c r="F15" s="968"/>
      <c r="G15" s="968"/>
      <c r="H15" s="968"/>
      <c r="I15" s="968"/>
      <c r="J15" s="969"/>
      <c r="K15" s="1"/>
      <c r="L15" s="1"/>
      <c r="M15" s="967" t="s">
        <v>38</v>
      </c>
      <c r="N15" s="968"/>
      <c r="O15" s="968"/>
      <c r="P15" s="968"/>
      <c r="Q15" s="968"/>
      <c r="R15" s="968"/>
      <c r="S15" s="968"/>
      <c r="T15" s="968"/>
      <c r="U15" s="969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67" t="s">
        <v>39</v>
      </c>
      <c r="AJ15" s="968"/>
      <c r="AK15" s="968"/>
      <c r="AL15" s="968"/>
      <c r="AM15" s="968"/>
      <c r="AN15" s="968"/>
      <c r="AO15" s="968"/>
      <c r="AP15" s="968"/>
      <c r="AQ15" s="969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">
        <v>1493</v>
      </c>
      <c r="E30" s="1" t="s">
        <v>1762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">
        <v>89</v>
      </c>
      <c r="E31" s="1" t="s">
        <v>1763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">
        <v>96</v>
      </c>
      <c r="E32" s="1" t="s">
        <v>1764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">
        <v>101</v>
      </c>
      <c r="E33" s="1" t="s">
        <v>1765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">
        <v>106</v>
      </c>
      <c r="E34" s="1" t="s">
        <v>1766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">
        <v>111</v>
      </c>
      <c r="E35" s="1" t="s">
        <v>1767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">
        <v>116</v>
      </c>
      <c r="E36" s="1" t="s">
        <v>1768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">
        <v>127</v>
      </c>
      <c r="E37" s="1" t="s">
        <v>1769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">
        <v>132</v>
      </c>
      <c r="E38" s="1" t="s">
        <v>1770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">
        <v>138</v>
      </c>
      <c r="E39" s="1" t="s">
        <v>1771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">
        <v>139</v>
      </c>
      <c r="E40" s="1" t="s">
        <v>1772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">
        <v>140</v>
      </c>
      <c r="E41" s="1" t="s">
        <v>1773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">
        <v>141</v>
      </c>
      <c r="E42" s="1" t="s">
        <v>1774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tr">
        <f>+'1. EXP_IMP'!J53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215</v>
      </c>
      <c r="E96" s="1" t="s">
        <v>216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217</v>
      </c>
      <c r="E97" s="1" t="s">
        <v>218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930" t="s">
        <v>219</v>
      </c>
      <c r="E98" s="930" t="s">
        <v>1755</v>
      </c>
      <c r="F98" s="930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933" t="s">
        <v>1754</v>
      </c>
      <c r="E99" s="932" t="s">
        <v>220</v>
      </c>
      <c r="F99" s="933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932" t="s">
        <v>221</v>
      </c>
      <c r="E100" s="932" t="s">
        <v>222</v>
      </c>
      <c r="F100" s="932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223</v>
      </c>
      <c r="E101" s="1" t="s">
        <v>224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225</v>
      </c>
      <c r="E102" s="1" t="s">
        <v>226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227</v>
      </c>
      <c r="E103" s="1" t="s">
        <v>228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229</v>
      </c>
      <c r="E104" s="1" t="s">
        <v>230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1" t="s">
        <v>231</v>
      </c>
      <c r="E105" s="1" t="s">
        <v>232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814" t="s">
        <v>233</v>
      </c>
      <c r="E106" s="930" t="s">
        <v>234</v>
      </c>
      <c r="F106" s="930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933" t="s">
        <v>1756</v>
      </c>
      <c r="E107" s="933" t="s">
        <v>1760</v>
      </c>
      <c r="F107" s="933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933" t="s">
        <v>1757</v>
      </c>
      <c r="E108" s="933" t="s">
        <v>1761</v>
      </c>
      <c r="F108" s="933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1" t="s">
        <v>235</v>
      </c>
      <c r="E109" s="1" t="s">
        <v>236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1" t="s">
        <v>237</v>
      </c>
      <c r="E110" s="1" t="s">
        <v>238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1" t="s">
        <v>239</v>
      </c>
      <c r="E111" s="1" t="s">
        <v>240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1" t="s">
        <v>241</v>
      </c>
      <c r="E112" s="1" t="s">
        <v>242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1" t="s">
        <v>243</v>
      </c>
      <c r="E113" s="1" t="s">
        <v>244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814" t="s">
        <v>245</v>
      </c>
      <c r="E114" s="930" t="s">
        <v>246</v>
      </c>
      <c r="F114" s="930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933" t="s">
        <v>1775</v>
      </c>
      <c r="E115" s="933" t="s">
        <v>1758</v>
      </c>
      <c r="F115" s="933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933" t="s">
        <v>1776</v>
      </c>
      <c r="E116" s="933" t="s">
        <v>1759</v>
      </c>
      <c r="F116" s="933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1" t="s">
        <v>247</v>
      </c>
      <c r="E117" s="1" t="s">
        <v>248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1" t="s">
        <v>249</v>
      </c>
      <c r="E118" s="1" t="s">
        <v>250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1" t="s">
        <v>251</v>
      </c>
      <c r="E119" s="1" t="s">
        <v>252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1" t="s">
        <v>253</v>
      </c>
      <c r="E120" s="1" t="s">
        <v>254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/>
      <c r="E122" s="1"/>
      <c r="F122" s="1"/>
      <c r="G122" s="874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s="915" customFormat="1" ht="15.75" customHeight="1" x14ac:dyDescent="0.25">
      <c r="A126" s="874"/>
      <c r="B126" s="874"/>
      <c r="C126" s="874"/>
      <c r="D126" s="1"/>
      <c r="E126" s="1"/>
      <c r="F126" s="1"/>
      <c r="G126" s="1"/>
      <c r="H126" s="874"/>
      <c r="I126" s="874"/>
      <c r="J126" s="874"/>
      <c r="K126" s="874"/>
      <c r="L126" s="874"/>
      <c r="M126" s="874"/>
      <c r="N126" s="874"/>
      <c r="O126" s="874"/>
      <c r="P126" s="874"/>
      <c r="Q126" s="874"/>
      <c r="R126" s="874"/>
      <c r="S126" s="874"/>
      <c r="T126" s="874"/>
      <c r="U126" s="874"/>
      <c r="V126" s="874"/>
      <c r="W126" s="874"/>
      <c r="X126" s="874"/>
      <c r="Y126" s="874"/>
      <c r="Z126" s="874"/>
      <c r="AA126" s="874"/>
      <c r="AB126" s="874"/>
      <c r="AC126" s="874"/>
      <c r="AD126" s="874"/>
      <c r="AE126" s="874"/>
      <c r="AF126" s="874"/>
      <c r="AG126" s="874"/>
      <c r="AH126" s="874"/>
      <c r="AI126" s="874"/>
      <c r="AJ126" s="874"/>
      <c r="AK126" s="874"/>
      <c r="AL126" s="874"/>
      <c r="AM126" s="874"/>
      <c r="AN126" s="874"/>
      <c r="AO126" s="874"/>
      <c r="AP126" s="874"/>
      <c r="AQ126" s="874"/>
      <c r="AR126" s="874"/>
      <c r="AS126" s="874"/>
      <c r="AT126" s="874"/>
      <c r="AU126" s="874"/>
      <c r="AV126" s="874"/>
      <c r="AW126" s="874"/>
      <c r="AX126" s="874"/>
      <c r="AY126" s="874"/>
      <c r="AZ126" s="874"/>
      <c r="BA126" s="874"/>
      <c r="BB126" s="874"/>
      <c r="BC126" s="874"/>
      <c r="BD126" s="874"/>
      <c r="BE126" s="874"/>
      <c r="BF126" s="874"/>
      <c r="BG126" s="874"/>
      <c r="BH126" s="874"/>
      <c r="BI126" s="874"/>
      <c r="BJ126" s="874"/>
      <c r="BK126" s="874"/>
    </row>
    <row r="127" spans="1:63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/>
      <c r="E130" s="1"/>
      <c r="F130" s="1"/>
      <c r="G130" s="874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s="915" customFormat="1" ht="15.75" customHeight="1" x14ac:dyDescent="0.25">
      <c r="A134" s="874"/>
      <c r="B134" s="874"/>
      <c r="C134" s="874"/>
      <c r="D134" s="1"/>
      <c r="E134" s="1"/>
      <c r="F134" s="1"/>
      <c r="G134" s="1"/>
      <c r="H134" s="874"/>
      <c r="I134" s="874"/>
      <c r="J134" s="874"/>
      <c r="K134" s="874"/>
      <c r="L134" s="874"/>
      <c r="M134" s="874"/>
      <c r="N134" s="874"/>
      <c r="O134" s="874"/>
      <c r="P134" s="874"/>
      <c r="Q134" s="874"/>
      <c r="R134" s="874"/>
      <c r="S134" s="874"/>
      <c r="T134" s="874"/>
      <c r="U134" s="874"/>
      <c r="V134" s="874"/>
      <c r="W134" s="874"/>
      <c r="X134" s="874"/>
      <c r="Y134" s="874"/>
      <c r="Z134" s="874"/>
      <c r="AA134" s="874"/>
      <c r="AB134" s="874"/>
      <c r="AC134" s="874"/>
      <c r="AD134" s="874"/>
      <c r="AE134" s="874"/>
      <c r="AF134" s="874"/>
      <c r="AG134" s="874"/>
      <c r="AH134" s="874"/>
      <c r="AI134" s="874"/>
      <c r="AJ134" s="874"/>
      <c r="AK134" s="874"/>
      <c r="AL134" s="874"/>
      <c r="AM134" s="874"/>
      <c r="AN134" s="874"/>
      <c r="AO134" s="874"/>
      <c r="AP134" s="874"/>
      <c r="AQ134" s="874"/>
      <c r="AR134" s="874"/>
      <c r="AS134" s="874"/>
      <c r="AT134" s="874"/>
      <c r="AU134" s="874"/>
      <c r="AV134" s="874"/>
      <c r="AW134" s="874"/>
      <c r="AX134" s="874"/>
      <c r="AY134" s="874"/>
      <c r="AZ134" s="874"/>
      <c r="BA134" s="874"/>
      <c r="BB134" s="874"/>
      <c r="BC134" s="874"/>
      <c r="BD134" s="874"/>
      <c r="BE134" s="874"/>
      <c r="BF134" s="874"/>
      <c r="BG134" s="874"/>
      <c r="BH134" s="874"/>
      <c r="BI134" s="874"/>
      <c r="BJ134" s="874"/>
      <c r="BK134" s="874"/>
    </row>
    <row r="135" spans="1:63" s="915" customFormat="1" ht="15.75" customHeight="1" x14ac:dyDescent="0.25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25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25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25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</sheetData>
  <mergeCells count="4">
    <mergeCell ref="X14:AF14"/>
    <mergeCell ref="B15:J15"/>
    <mergeCell ref="M15:U15"/>
    <mergeCell ref="AI15:AQ15"/>
  </mergeCells>
  <phoneticPr fontId="72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69" zoomScaleNormal="100" workbookViewId="0">
      <selection activeCell="N121" sqref="N121"/>
    </sheetView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255</v>
      </c>
      <c r="E3" s="12" t="s">
        <v>256</v>
      </c>
      <c r="F3" s="13" t="s">
        <v>257</v>
      </c>
    </row>
    <row r="4" spans="2:6" x14ac:dyDescent="0.25">
      <c r="B4" s="12" t="s">
        <v>6</v>
      </c>
      <c r="D4" s="12" t="s">
        <v>258</v>
      </c>
      <c r="E4" s="1" t="s">
        <v>8</v>
      </c>
      <c r="F4" s="14" t="s">
        <v>259</v>
      </c>
    </row>
    <row r="5" spans="2:6" x14ac:dyDescent="0.25">
      <c r="B5" s="12" t="s">
        <v>12</v>
      </c>
      <c r="D5" s="12" t="s">
        <v>260</v>
      </c>
      <c r="E5" s="3" t="s">
        <v>14</v>
      </c>
      <c r="F5" s="14" t="s">
        <v>261</v>
      </c>
    </row>
    <row r="6" spans="2:6" x14ac:dyDescent="0.25">
      <c r="B6" s="12" t="s">
        <v>16</v>
      </c>
      <c r="D6" s="12" t="s">
        <v>262</v>
      </c>
      <c r="E6" s="1" t="s">
        <v>18</v>
      </c>
    </row>
    <row r="7" spans="2:6" x14ac:dyDescent="0.25">
      <c r="B7" s="12" t="s">
        <v>20</v>
      </c>
      <c r="D7" s="12" t="s">
        <v>263</v>
      </c>
      <c r="E7" s="1" t="s">
        <v>22</v>
      </c>
    </row>
    <row r="8" spans="2:6" x14ac:dyDescent="0.25">
      <c r="B8" s="12" t="s">
        <v>24</v>
      </c>
      <c r="D8" s="12" t="s">
        <v>264</v>
      </c>
      <c r="E8" s="1" t="s">
        <v>26</v>
      </c>
    </row>
    <row r="9" spans="2:6" x14ac:dyDescent="0.25">
      <c r="B9" s="12" t="s">
        <v>28</v>
      </c>
      <c r="D9" s="12" t="s">
        <v>265</v>
      </c>
      <c r="E9" s="1" t="s">
        <v>30</v>
      </c>
    </row>
    <row r="10" spans="2:6" x14ac:dyDescent="0.25">
      <c r="B10" s="12" t="s">
        <v>31</v>
      </c>
      <c r="D10" s="12" t="s">
        <v>266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70" t="s">
        <v>267</v>
      </c>
      <c r="C18" s="971"/>
      <c r="D18" s="971"/>
      <c r="E18" s="971"/>
      <c r="F18" s="971"/>
      <c r="G18" s="971"/>
      <c r="H18" s="971"/>
      <c r="I18" s="971"/>
      <c r="J18" s="971"/>
      <c r="L18" s="970" t="s">
        <v>268</v>
      </c>
      <c r="M18" s="971"/>
      <c r="N18" s="971"/>
      <c r="O18" s="971"/>
      <c r="P18" s="971"/>
      <c r="Q18" s="971"/>
      <c r="R18" s="971"/>
      <c r="S18" s="971"/>
      <c r="T18" s="971"/>
      <c r="V18" s="970" t="s">
        <v>269</v>
      </c>
      <c r="W18" s="971"/>
      <c r="X18" s="971"/>
      <c r="Y18" s="971"/>
      <c r="Z18" s="971"/>
      <c r="AA18" s="971"/>
      <c r="AB18" s="971"/>
      <c r="AC18" s="971"/>
      <c r="AD18" s="971"/>
    </row>
    <row r="20" spans="1:30" x14ac:dyDescent="0.25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25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25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25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25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25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25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25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25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25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25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25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25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25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25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25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25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25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25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25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25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25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25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25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25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25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25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25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25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25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25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25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25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25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25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25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25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25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25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25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25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25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25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25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25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25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25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25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25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25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25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25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25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25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25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25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25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25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25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25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25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25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25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25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25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25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25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25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25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25">
      <c r="N110" s="920" t="s">
        <v>396</v>
      </c>
      <c r="O110" s="921" t="s">
        <v>397</v>
      </c>
      <c r="P110" s="921" t="s">
        <v>59</v>
      </c>
      <c r="Q110" s="921" t="s">
        <v>288</v>
      </c>
    </row>
    <row r="111" spans="14:17" ht="15.75" customHeight="1" x14ac:dyDescent="0.25">
      <c r="N111" s="920" t="s">
        <v>398</v>
      </c>
      <c r="O111" s="921" t="s">
        <v>399</v>
      </c>
      <c r="P111" s="921" t="s">
        <v>59</v>
      </c>
      <c r="Q111" s="921" t="s">
        <v>288</v>
      </c>
    </row>
    <row r="112" spans="14:17" ht="15.75" customHeight="1" x14ac:dyDescent="0.25">
      <c r="N112" s="920" t="s">
        <v>400</v>
      </c>
      <c r="O112" s="921" t="s">
        <v>401</v>
      </c>
      <c r="P112" s="921" t="s">
        <v>59</v>
      </c>
      <c r="Q112" s="921" t="s">
        <v>288</v>
      </c>
    </row>
    <row r="113" spans="14:18" ht="15.75" customHeight="1" x14ac:dyDescent="0.25">
      <c r="N113" s="920" t="s">
        <v>402</v>
      </c>
      <c r="O113" s="921" t="s">
        <v>403</v>
      </c>
      <c r="P113" s="921" t="s">
        <v>59</v>
      </c>
      <c r="Q113" s="921" t="s">
        <v>288</v>
      </c>
    </row>
    <row r="114" spans="14:18" ht="15.75" customHeight="1" x14ac:dyDescent="0.25">
      <c r="N114" s="922" t="s">
        <v>1714</v>
      </c>
      <c r="O114" s="18" t="s">
        <v>1718</v>
      </c>
      <c r="P114" s="18" t="s">
        <v>59</v>
      </c>
      <c r="Q114" s="18" t="s">
        <v>288</v>
      </c>
    </row>
    <row r="115" spans="14:18" ht="15.75" customHeight="1" x14ac:dyDescent="0.25">
      <c r="N115" s="922" t="s">
        <v>1715</v>
      </c>
      <c r="O115" s="18" t="s">
        <v>1719</v>
      </c>
      <c r="P115" s="18" t="s">
        <v>59</v>
      </c>
      <c r="Q115" s="18" t="s">
        <v>288</v>
      </c>
    </row>
    <row r="116" spans="14:18" ht="15.75" customHeight="1" x14ac:dyDescent="0.25">
      <c r="N116" s="922" t="s">
        <v>1716</v>
      </c>
      <c r="O116" s="18" t="s">
        <v>1720</v>
      </c>
      <c r="P116" s="18" t="s">
        <v>59</v>
      </c>
      <c r="Q116" s="18" t="s">
        <v>288</v>
      </c>
    </row>
    <row r="117" spans="14:18" ht="15.75" customHeight="1" x14ac:dyDescent="0.25">
      <c r="N117" s="922" t="s">
        <v>1722</v>
      </c>
      <c r="O117" s="18" t="s">
        <v>1721</v>
      </c>
      <c r="P117" s="18" t="s">
        <v>59</v>
      </c>
      <c r="Q117" s="18" t="s">
        <v>288</v>
      </c>
    </row>
    <row r="118" spans="14:18" ht="15.75" customHeight="1" x14ac:dyDescent="0.25">
      <c r="N118" s="923" t="s">
        <v>1723</v>
      </c>
      <c r="O118" s="924" t="s">
        <v>1726</v>
      </c>
      <c r="P118" s="18" t="s">
        <v>59</v>
      </c>
      <c r="Q118" s="18" t="s">
        <v>288</v>
      </c>
    </row>
    <row r="119" spans="14:18" ht="15.75" customHeight="1" x14ac:dyDescent="0.25">
      <c r="N119" s="923" t="s">
        <v>1724</v>
      </c>
      <c r="O119" s="924" t="s">
        <v>1727</v>
      </c>
      <c r="P119" s="18" t="s">
        <v>59</v>
      </c>
      <c r="Q119" s="18" t="s">
        <v>288</v>
      </c>
    </row>
    <row r="120" spans="14:18" ht="15.75" customHeight="1" x14ac:dyDescent="0.25">
      <c r="N120" s="923" t="s">
        <v>1725</v>
      </c>
      <c r="O120" s="924" t="s">
        <v>1728</v>
      </c>
      <c r="P120" s="18" t="s">
        <v>59</v>
      </c>
      <c r="Q120" s="18" t="s">
        <v>288</v>
      </c>
    </row>
    <row r="121" spans="14:18" ht="15.75" customHeight="1" x14ac:dyDescent="0.25">
      <c r="N121" s="923" t="s">
        <v>1717</v>
      </c>
      <c r="O121" s="924" t="s">
        <v>1729</v>
      </c>
      <c r="P121" s="18" t="s">
        <v>59</v>
      </c>
      <c r="Q121" s="18" t="s">
        <v>288</v>
      </c>
    </row>
    <row r="122" spans="14:18" ht="15.75" customHeight="1" x14ac:dyDescent="0.25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25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25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25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s="915" customFormat="1" ht="15.75" customHeight="1" x14ac:dyDescent="0.25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s="915" customFormat="1" ht="15.75" customHeight="1" x14ac:dyDescent="0.25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s="915" customFormat="1" ht="15.75" customHeight="1" x14ac:dyDescent="0.25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s="915" customFormat="1" ht="15.75" customHeight="1" x14ac:dyDescent="0.25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s="915" customFormat="1" ht="15.75" customHeight="1" x14ac:dyDescent="0.25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s="915" customFormat="1" ht="15.75" customHeight="1" x14ac:dyDescent="0.25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s="915" customFormat="1" ht="15.75" customHeight="1" x14ac:dyDescent="0.25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s="915" customFormat="1" ht="15.75" customHeight="1" x14ac:dyDescent="0.25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25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25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25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25">
      <c r="M137" s="1"/>
      <c r="N137" s="814" t="s">
        <v>434</v>
      </c>
      <c r="O137" s="921" t="s">
        <v>435</v>
      </c>
      <c r="P137" s="921" t="s">
        <v>59</v>
      </c>
      <c r="Q137" s="921" t="s">
        <v>288</v>
      </c>
      <c r="R137" s="1"/>
      <c r="S137" s="1"/>
      <c r="T137" s="1"/>
    </row>
    <row r="138" spans="13:20" ht="15.75" customHeight="1" x14ac:dyDescent="0.25">
      <c r="M138" s="1"/>
      <c r="N138" s="814" t="s">
        <v>436</v>
      </c>
      <c r="O138" s="921" t="s">
        <v>437</v>
      </c>
      <c r="P138" s="921" t="s">
        <v>59</v>
      </c>
      <c r="Q138" s="921" t="s">
        <v>288</v>
      </c>
      <c r="R138" s="1"/>
      <c r="S138" s="1"/>
      <c r="T138" s="1"/>
    </row>
    <row r="139" spans="13:20" ht="15.75" customHeight="1" x14ac:dyDescent="0.25">
      <c r="M139" s="1"/>
      <c r="N139" s="814" t="s">
        <v>438</v>
      </c>
      <c r="O139" s="921" t="s">
        <v>439</v>
      </c>
      <c r="P139" s="921" t="s">
        <v>59</v>
      </c>
      <c r="Q139" s="921" t="s">
        <v>288</v>
      </c>
      <c r="R139" s="1"/>
      <c r="S139" s="1"/>
      <c r="T139" s="1"/>
    </row>
    <row r="140" spans="13:20" ht="15.75" customHeight="1" x14ac:dyDescent="0.25">
      <c r="M140" s="1"/>
      <c r="N140" s="848" t="s">
        <v>1730</v>
      </c>
      <c r="O140" s="925" t="s">
        <v>1733</v>
      </c>
      <c r="P140" s="925" t="s">
        <v>59</v>
      </c>
      <c r="Q140" s="925" t="s">
        <v>288</v>
      </c>
      <c r="R140" s="1"/>
      <c r="S140" s="1"/>
      <c r="T140" s="1"/>
    </row>
    <row r="141" spans="13:20" ht="15.75" customHeight="1" x14ac:dyDescent="0.25">
      <c r="M141" s="1"/>
      <c r="N141" s="848" t="s">
        <v>1731</v>
      </c>
      <c r="O141" s="925" t="s">
        <v>1734</v>
      </c>
      <c r="P141" s="925" t="s">
        <v>59</v>
      </c>
      <c r="Q141" s="925" t="s">
        <v>288</v>
      </c>
      <c r="R141" s="1"/>
      <c r="S141" s="1"/>
      <c r="T141" s="1"/>
    </row>
    <row r="142" spans="13:20" ht="15.75" customHeight="1" x14ac:dyDescent="0.25">
      <c r="M142" s="1"/>
      <c r="N142" s="848" t="s">
        <v>1732</v>
      </c>
      <c r="O142" s="925" t="s">
        <v>1735</v>
      </c>
      <c r="P142" s="925" t="s">
        <v>59</v>
      </c>
      <c r="Q142" s="925" t="s">
        <v>288</v>
      </c>
      <c r="R142" s="1"/>
      <c r="S142" s="1"/>
      <c r="T142" s="1"/>
    </row>
    <row r="143" spans="13:20" ht="15.75" customHeight="1" x14ac:dyDescent="0.25">
      <c r="M143" s="1"/>
      <c r="N143" s="848" t="s">
        <v>1739</v>
      </c>
      <c r="O143" s="925" t="s">
        <v>1736</v>
      </c>
      <c r="P143" s="925" t="s">
        <v>59</v>
      </c>
      <c r="Q143" s="925" t="s">
        <v>288</v>
      </c>
      <c r="R143" s="1"/>
      <c r="S143" s="1"/>
      <c r="T143" s="1"/>
    </row>
    <row r="144" spans="13:20" ht="15.75" customHeight="1" x14ac:dyDescent="0.25">
      <c r="M144" s="1"/>
      <c r="N144" s="848" t="s">
        <v>1740</v>
      </c>
      <c r="O144" s="925" t="s">
        <v>1737</v>
      </c>
      <c r="P144" s="925" t="s">
        <v>59</v>
      </c>
      <c r="Q144" s="925" t="s">
        <v>288</v>
      </c>
      <c r="R144" s="1"/>
      <c r="S144" s="1"/>
      <c r="T144" s="1"/>
    </row>
    <row r="145" spans="13:20" ht="15.75" customHeight="1" x14ac:dyDescent="0.25">
      <c r="M145" s="1"/>
      <c r="N145" s="848" t="s">
        <v>1741</v>
      </c>
      <c r="O145" s="925" t="s">
        <v>1738</v>
      </c>
      <c r="P145" s="925" t="s">
        <v>59</v>
      </c>
      <c r="Q145" s="925" t="s">
        <v>288</v>
      </c>
      <c r="S145" s="1"/>
      <c r="T145" s="1"/>
    </row>
    <row r="146" spans="13:20" ht="15.75" customHeight="1" x14ac:dyDescent="0.25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25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25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25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25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25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s="915" customFormat="1" ht="15.75" customHeight="1" x14ac:dyDescent="0.25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s="915" customFormat="1" ht="15.75" customHeight="1" x14ac:dyDescent="0.25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s="915" customFormat="1" ht="15.75" customHeight="1" x14ac:dyDescent="0.25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s="915" customFormat="1" ht="15.75" customHeight="1" x14ac:dyDescent="0.25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s="915" customFormat="1" ht="15.75" customHeight="1" x14ac:dyDescent="0.25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s="915" customFormat="1" ht="15.75" customHeight="1" x14ac:dyDescent="0.25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25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25">
      <c r="N159" s="927" t="s">
        <v>466</v>
      </c>
      <c r="O159" s="921" t="s">
        <v>1744</v>
      </c>
      <c r="P159" s="921" t="s">
        <v>59</v>
      </c>
      <c r="Q159" s="921" t="s">
        <v>288</v>
      </c>
    </row>
    <row r="160" spans="13:20" s="915" customFormat="1" ht="15.75" customHeight="1" x14ac:dyDescent="0.25">
      <c r="N160" s="928" t="s">
        <v>1742</v>
      </c>
      <c r="O160" s="925" t="s">
        <v>467</v>
      </c>
      <c r="P160" s="925" t="s">
        <v>59</v>
      </c>
      <c r="Q160" s="925" t="s">
        <v>288</v>
      </c>
    </row>
    <row r="161" spans="14:17" s="915" customFormat="1" ht="15.75" customHeight="1" x14ac:dyDescent="0.25">
      <c r="N161" s="928" t="s">
        <v>1743</v>
      </c>
      <c r="O161" s="925" t="s">
        <v>1745</v>
      </c>
      <c r="P161" s="925" t="s">
        <v>59</v>
      </c>
      <c r="Q161" s="925" t="s">
        <v>288</v>
      </c>
    </row>
    <row r="162" spans="14:17" ht="15.75" customHeight="1" x14ac:dyDescent="0.25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25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25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25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25">
      <c r="N166" s="926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25">
      <c r="N167" s="929" t="s">
        <v>310</v>
      </c>
      <c r="O167" s="930" t="s">
        <v>311</v>
      </c>
      <c r="P167" s="814" t="s">
        <v>59</v>
      </c>
      <c r="Q167" s="814" t="s">
        <v>288</v>
      </c>
    </row>
    <row r="168" spans="14:17" s="915" customFormat="1" ht="15.75" customHeight="1" x14ac:dyDescent="0.25">
      <c r="N168" s="931" t="s">
        <v>1746</v>
      </c>
      <c r="O168" s="932" t="s">
        <v>1748</v>
      </c>
      <c r="P168" s="848" t="s">
        <v>59</v>
      </c>
      <c r="Q168" s="848" t="s">
        <v>288</v>
      </c>
    </row>
    <row r="169" spans="14:17" s="915" customFormat="1" ht="15.75" customHeight="1" x14ac:dyDescent="0.25">
      <c r="N169" s="931" t="s">
        <v>1747</v>
      </c>
      <c r="O169" s="932" t="s">
        <v>1749</v>
      </c>
      <c r="P169" s="848" t="s">
        <v>59</v>
      </c>
      <c r="Q169" s="848" t="s">
        <v>288</v>
      </c>
    </row>
    <row r="170" spans="14:17" ht="15.75" customHeight="1" x14ac:dyDescent="0.25">
      <c r="N170" s="926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25">
      <c r="N171" s="926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25">
      <c r="N172" s="926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25">
      <c r="N173" s="926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25">
      <c r="N174" s="926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25">
      <c r="N175" s="929" t="s">
        <v>322</v>
      </c>
      <c r="O175" s="930" t="s">
        <v>323</v>
      </c>
      <c r="P175" s="814" t="s">
        <v>59</v>
      </c>
      <c r="Q175" s="814" t="s">
        <v>288</v>
      </c>
    </row>
    <row r="176" spans="14:17" s="915" customFormat="1" ht="15.75" customHeight="1" x14ac:dyDescent="0.25">
      <c r="N176" s="931" t="s">
        <v>1750</v>
      </c>
      <c r="O176" s="933" t="s">
        <v>1752</v>
      </c>
      <c r="P176" s="848" t="s">
        <v>59</v>
      </c>
      <c r="Q176" s="848" t="s">
        <v>288</v>
      </c>
    </row>
    <row r="177" spans="14:17" s="915" customFormat="1" ht="15.75" customHeight="1" x14ac:dyDescent="0.25">
      <c r="N177" s="931" t="s">
        <v>1751</v>
      </c>
      <c r="O177" s="933" t="s">
        <v>1753</v>
      </c>
      <c r="P177" s="848" t="s">
        <v>59</v>
      </c>
      <c r="Q177" s="848" t="s">
        <v>288</v>
      </c>
    </row>
    <row r="178" spans="14:17" ht="15.75" customHeight="1" x14ac:dyDescent="0.25">
      <c r="N178" s="926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25">
      <c r="N179" s="926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25">
      <c r="N180" s="926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25">
      <c r="N181" s="926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25">
      <c r="P182" s="18"/>
      <c r="Q182" s="18"/>
    </row>
    <row r="183" spans="14:17" ht="15.75" customHeight="1" x14ac:dyDescent="0.25">
      <c r="P183" s="18"/>
      <c r="Q183" s="18"/>
    </row>
    <row r="184" spans="14:17" ht="15.75" customHeight="1" x14ac:dyDescent="0.25">
      <c r="P184" s="18"/>
      <c r="Q184" s="18"/>
    </row>
    <row r="185" spans="14:17" ht="15.75" customHeight="1" x14ac:dyDescent="0.25">
      <c r="P185" s="18"/>
      <c r="Q185" s="18"/>
    </row>
    <row r="186" spans="14:17" ht="15.75" customHeight="1" x14ac:dyDescent="0.25">
      <c r="P186" s="18"/>
      <c r="Q186" s="18"/>
    </row>
    <row r="187" spans="14:17" ht="15.75" customHeight="1" x14ac:dyDescent="0.25">
      <c r="P187" s="18"/>
      <c r="Q187" s="18"/>
    </row>
    <row r="188" spans="14:17" ht="15.75" customHeight="1" x14ac:dyDescent="0.25">
      <c r="P188" s="18"/>
      <c r="Q188" s="18"/>
    </row>
    <row r="189" spans="14:17" ht="15.75" customHeight="1" x14ac:dyDescent="0.25">
      <c r="P189" s="18"/>
      <c r="Q189" s="18"/>
    </row>
    <row r="190" spans="14:17" ht="15.75" customHeight="1" x14ac:dyDescent="0.25"/>
    <row r="191" spans="14:17" ht="15.75" customHeight="1" x14ac:dyDescent="0.25"/>
    <row r="192" spans="14:17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1689</v>
      </c>
      <c r="P1" s="20">
        <v>2020</v>
      </c>
      <c r="Q1" s="20" t="s">
        <v>1692</v>
      </c>
      <c r="R1" s="20"/>
      <c r="S1" s="20" t="s">
        <v>1689</v>
      </c>
      <c r="T1" s="20">
        <v>2020</v>
      </c>
      <c r="U1" s="20" t="s">
        <v>1692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93" t="s">
        <v>476</v>
      </c>
      <c r="G2" s="994"/>
      <c r="H2" s="20"/>
      <c r="I2" s="20"/>
      <c r="J2" s="21"/>
      <c r="K2" s="21"/>
      <c r="L2" s="21"/>
      <c r="M2" s="21"/>
      <c r="N2" s="22"/>
      <c r="O2" s="20" t="s">
        <v>1690</v>
      </c>
      <c r="P2" s="20">
        <v>3685</v>
      </c>
      <c r="Q2" s="20" t="s">
        <v>1693</v>
      </c>
      <c r="R2" s="20"/>
      <c r="S2" s="20" t="s">
        <v>1690</v>
      </c>
      <c r="T2" s="20">
        <v>3700</v>
      </c>
      <c r="U2" s="20" t="s">
        <v>1693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72" t="s">
        <v>1685</v>
      </c>
      <c r="P5" s="972"/>
      <c r="Q5" s="972"/>
      <c r="R5" s="20"/>
      <c r="S5" s="972" t="s">
        <v>1685</v>
      </c>
      <c r="T5" s="972"/>
      <c r="U5" s="972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1686</v>
      </c>
      <c r="P6" s="20" t="s">
        <v>784</v>
      </c>
      <c r="Q6" s="20"/>
      <c r="R6" s="20"/>
      <c r="S6" s="20" t="s">
        <v>1686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490</v>
      </c>
      <c r="C7" s="38" t="s">
        <v>491</v>
      </c>
      <c r="D7" s="995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7">
        <f>F15/1000000</f>
        <v>2.933593489850151E-6</v>
      </c>
      <c r="Q7" s="20" t="s">
        <v>1695</v>
      </c>
      <c r="R7" s="20"/>
      <c r="S7" s="20" t="s">
        <v>477</v>
      </c>
      <c r="T7" s="906">
        <f>F16/1000000</f>
        <v>5.274111587340502E-6</v>
      </c>
      <c r="U7" s="20" t="s">
        <v>1695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493</v>
      </c>
      <c r="C8" s="44" t="s">
        <v>494</v>
      </c>
      <c r="D8" s="987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1687</v>
      </c>
      <c r="P8" s="20">
        <v>8850</v>
      </c>
      <c r="Q8" s="20" t="s">
        <v>1688</v>
      </c>
      <c r="R8" s="20"/>
      <c r="S8" s="20" t="s">
        <v>1687</v>
      </c>
      <c r="T8" s="20">
        <v>14816</v>
      </c>
      <c r="U8" s="20" t="s">
        <v>1688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495</v>
      </c>
      <c r="C9" s="48" t="s">
        <v>494</v>
      </c>
      <c r="D9" s="988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1691</v>
      </c>
      <c r="R9" s="20"/>
      <c r="S9" s="20"/>
      <c r="T9" s="20">
        <f>T8*42</f>
        <v>622272</v>
      </c>
      <c r="U9" s="20" t="s">
        <v>1691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4">
        <f>P9/P2</f>
        <v>100.86838534599728</v>
      </c>
      <c r="Q10" s="20" t="s">
        <v>1694</v>
      </c>
      <c r="R10" s="20"/>
      <c r="S10" s="837"/>
      <c r="T10" s="904">
        <f>T9/T2</f>
        <v>168.18162162162162</v>
      </c>
      <c r="U10" s="20" t="s">
        <v>1694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5" t="s">
        <v>819</v>
      </c>
      <c r="R11" s="20"/>
      <c r="S11" s="20"/>
      <c r="T11" s="847">
        <f>(T10/1000000)/T7</f>
        <v>31.888142455178514</v>
      </c>
      <c r="U11" s="905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1696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1697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1698</v>
      </c>
      <c r="P16" s="248">
        <f>'1. EXP_IMP'!L42</f>
        <v>20.996445954041999</v>
      </c>
      <c r="Q16" s="20" t="s">
        <v>1699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2">
        <f>F10/1000000</f>
        <v>5.3308987344700312E-6</v>
      </c>
      <c r="Q17" s="20" t="s">
        <v>1695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1700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1694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8" t="s">
        <v>796</v>
      </c>
      <c r="P22" s="908"/>
      <c r="Q22" s="908">
        <v>3299</v>
      </c>
      <c r="R22" s="908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2">
        <f>P20*3299</f>
        <v>8791.82927896617</v>
      </c>
      <c r="Q24" s="20" t="s">
        <v>1713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25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96" t="s">
        <v>476</v>
      </c>
      <c r="F41" s="988"/>
      <c r="G41" s="996" t="s">
        <v>542</v>
      </c>
      <c r="H41" s="991"/>
      <c r="I41" s="991"/>
      <c r="J41" s="991"/>
      <c r="K41" s="991"/>
      <c r="L41" s="991"/>
      <c r="M41" s="991"/>
      <c r="N41" s="988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477</v>
      </c>
      <c r="F42" s="95" t="s">
        <v>478</v>
      </c>
      <c r="G42" s="96"/>
      <c r="H42" s="20"/>
      <c r="I42" s="20"/>
      <c r="J42" s="21"/>
      <c r="K42" s="997" t="s">
        <v>543</v>
      </c>
      <c r="L42" s="971"/>
      <c r="M42" s="971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490</v>
      </c>
      <c r="C46" s="112" t="s">
        <v>554</v>
      </c>
      <c r="D46" s="40" t="s">
        <v>13</v>
      </c>
      <c r="E46" s="983">
        <f>+G114</f>
        <v>6.0871741676095334</v>
      </c>
      <c r="F46" s="986">
        <f>+L114*1000</f>
        <v>77.841777688967127</v>
      </c>
      <c r="G46" s="989">
        <v>6.0871741676095334</v>
      </c>
      <c r="H46" s="990" t="s">
        <v>552</v>
      </c>
      <c r="I46" s="990">
        <v>40670.462586675276</v>
      </c>
      <c r="J46" s="992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493</v>
      </c>
      <c r="C47" s="12" t="s">
        <v>554</v>
      </c>
      <c r="D47" s="14" t="s">
        <v>17</v>
      </c>
      <c r="E47" s="984"/>
      <c r="F47" s="987"/>
      <c r="G47" s="984"/>
      <c r="H47" s="971"/>
      <c r="I47" s="971"/>
      <c r="J47" s="987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495</v>
      </c>
      <c r="C48" s="118" t="s">
        <v>554</v>
      </c>
      <c r="D48" s="49" t="s">
        <v>21</v>
      </c>
      <c r="E48" s="985"/>
      <c r="F48" s="988"/>
      <c r="G48" s="985"/>
      <c r="H48" s="991"/>
      <c r="I48" s="991"/>
      <c r="J48" s="988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76" t="s">
        <v>582</v>
      </c>
      <c r="C106" s="974"/>
      <c r="D106" s="974"/>
      <c r="E106" s="974"/>
      <c r="F106" s="974"/>
      <c r="G106" s="974"/>
      <c r="H106" s="974"/>
      <c r="I106" s="974"/>
      <c r="J106" s="974"/>
      <c r="K106" s="974"/>
      <c r="L106" s="975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583</v>
      </c>
      <c r="C107" s="151" t="s">
        <v>481</v>
      </c>
      <c r="D107" s="973" t="s">
        <v>584</v>
      </c>
      <c r="E107" s="974"/>
      <c r="F107" s="974"/>
      <c r="G107" s="974"/>
      <c r="H107" s="974"/>
      <c r="I107" s="974"/>
      <c r="J107" s="975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76" t="s">
        <v>625</v>
      </c>
      <c r="C123" s="974"/>
      <c r="D123" s="974"/>
      <c r="E123" s="974"/>
      <c r="F123" s="974"/>
      <c r="G123" s="974"/>
      <c r="H123" s="974"/>
      <c r="I123" s="974"/>
      <c r="J123" s="974"/>
      <c r="K123" s="974"/>
      <c r="L123" s="975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77"/>
      <c r="C140" s="978"/>
      <c r="D140" s="978"/>
      <c r="E140" s="979"/>
      <c r="F140" s="20"/>
      <c r="G140" s="980" t="s">
        <v>660</v>
      </c>
      <c r="H140" s="981"/>
      <c r="I140" s="982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F2:G2"/>
    <mergeCell ref="D7:D9"/>
    <mergeCell ref="E41:F41"/>
    <mergeCell ref="G41:N41"/>
    <mergeCell ref="K42:M42"/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1"/>
  <sheetViews>
    <sheetView showGridLines="0" topLeftCell="A43" zoomScale="85" zoomScaleNormal="85" workbookViewId="0">
      <selection activeCell="I66" sqref="I66:P66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x14ac:dyDescent="0.25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x14ac:dyDescent="0.25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25">
      <c r="B32" s="1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25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s="901" customFormat="1" ht="15.75" customHeight="1" x14ac:dyDescent="0.25">
      <c r="J34" s="903" t="s">
        <v>1702</v>
      </c>
      <c r="K34" s="903" t="s">
        <v>1704</v>
      </c>
      <c r="L34" s="12" t="s">
        <v>59</v>
      </c>
      <c r="M34" s="12" t="s">
        <v>288</v>
      </c>
    </row>
    <row r="35" spans="2:23" s="901" customFormat="1" ht="15.75" customHeight="1" x14ac:dyDescent="0.25">
      <c r="J35" s="903" t="s">
        <v>1703</v>
      </c>
      <c r="K35" s="903" t="s">
        <v>1705</v>
      </c>
      <c r="L35" s="12" t="s">
        <v>59</v>
      </c>
      <c r="M35" s="12" t="s">
        <v>288</v>
      </c>
    </row>
    <row r="36" spans="2:23" ht="15.75" customHeight="1" x14ac:dyDescent="0.25"/>
    <row r="37" spans="2:23" ht="15.75" customHeight="1" x14ac:dyDescent="0.25">
      <c r="D37" s="12">
        <v>287</v>
      </c>
      <c r="E37" s="12" t="s">
        <v>802</v>
      </c>
    </row>
    <row r="38" spans="2:23" ht="15.75" customHeight="1" x14ac:dyDescent="0.25">
      <c r="D38" s="205">
        <f>+D37/D32</f>
        <v>8.6996059411943008E-2</v>
      </c>
      <c r="E38" s="12" t="s">
        <v>803</v>
      </c>
      <c r="I38" s="206" t="s">
        <v>804</v>
      </c>
      <c r="J38" s="207"/>
      <c r="K38" s="207"/>
      <c r="L38" s="207"/>
      <c r="M38" s="206"/>
    </row>
    <row r="39" spans="2:23" ht="15.75" customHeight="1" x14ac:dyDescent="0.25">
      <c r="I39" s="208" t="s">
        <v>272</v>
      </c>
      <c r="J39" s="209" t="s">
        <v>805</v>
      </c>
      <c r="K39" s="208" t="s">
        <v>806</v>
      </c>
      <c r="L39" s="210" t="s">
        <v>807</v>
      </c>
      <c r="M39" s="210" t="s">
        <v>808</v>
      </c>
      <c r="N39" s="210" t="s">
        <v>809</v>
      </c>
      <c r="O39" s="210" t="s">
        <v>810</v>
      </c>
      <c r="P39" s="210" t="s">
        <v>811</v>
      </c>
      <c r="Q39" s="210" t="s">
        <v>812</v>
      </c>
      <c r="R39" s="210" t="s">
        <v>813</v>
      </c>
      <c r="S39" s="210" t="s">
        <v>814</v>
      </c>
    </row>
    <row r="40" spans="2:23" ht="15.75" customHeight="1" x14ac:dyDescent="0.25">
      <c r="I40" s="211" t="s">
        <v>815</v>
      </c>
      <c r="J40" s="211" t="s">
        <v>816</v>
      </c>
      <c r="K40" s="211" t="s">
        <v>817</v>
      </c>
      <c r="L40" s="212" t="s">
        <v>818</v>
      </c>
      <c r="M40" s="212" t="s">
        <v>818</v>
      </c>
      <c r="N40" s="212" t="s">
        <v>818</v>
      </c>
      <c r="O40" s="212" t="s">
        <v>818</v>
      </c>
      <c r="P40" s="212" t="s">
        <v>818</v>
      </c>
      <c r="Q40" s="212" t="s">
        <v>818</v>
      </c>
      <c r="R40" s="212" t="s">
        <v>818</v>
      </c>
      <c r="S40" s="212" t="s">
        <v>818</v>
      </c>
    </row>
    <row r="41" spans="2:23" ht="15.75" customHeight="1" x14ac:dyDescent="0.25">
      <c r="I41" s="211"/>
      <c r="J41" s="213"/>
      <c r="K41" s="213"/>
      <c r="L41" s="213" t="s">
        <v>819</v>
      </c>
      <c r="M41" s="213" t="s">
        <v>819</v>
      </c>
      <c r="N41" s="213" t="s">
        <v>819</v>
      </c>
      <c r="O41" s="213" t="s">
        <v>819</v>
      </c>
      <c r="P41" s="213" t="s">
        <v>819</v>
      </c>
      <c r="Q41" s="213" t="s">
        <v>819</v>
      </c>
      <c r="R41" s="213" t="s">
        <v>819</v>
      </c>
      <c r="S41" s="213" t="s">
        <v>819</v>
      </c>
    </row>
    <row r="42" spans="2:23" ht="15.75" customHeight="1" x14ac:dyDescent="0.25">
      <c r="I42" s="12" t="str">
        <f t="shared" ref="I42:I53" si="2">+J8</f>
        <v>EXP-GSL</v>
      </c>
      <c r="J42" s="214" t="str">
        <f t="shared" ref="J42:J47" si="3">+RIGHT(I42,3)</f>
        <v>GSL</v>
      </c>
      <c r="K42" s="214"/>
      <c r="L42" s="215">
        <f t="shared" ref="L42:S42" si="4">+J126</f>
        <v>20.996445954041999</v>
      </c>
      <c r="M42" s="215">
        <f t="shared" si="4"/>
        <v>20.795929580790002</v>
      </c>
      <c r="N42" s="215">
        <f t="shared" si="4"/>
        <v>20.716882590807003</v>
      </c>
      <c r="O42" s="215">
        <f t="shared" si="4"/>
        <v>22.202066334591002</v>
      </c>
      <c r="P42" s="215">
        <f t="shared" si="4"/>
        <v>23.568165402677998</v>
      </c>
      <c r="Q42" s="215">
        <f t="shared" si="4"/>
        <v>24.597135442035</v>
      </c>
      <c r="R42" s="215">
        <f t="shared" si="4"/>
        <v>25.886116327734001</v>
      </c>
      <c r="S42" s="215">
        <f t="shared" si="4"/>
        <v>27.153960894333</v>
      </c>
      <c r="T42" s="215"/>
      <c r="U42" s="215">
        <v>14.26</v>
      </c>
      <c r="V42" s="215"/>
      <c r="W42" s="215"/>
    </row>
    <row r="43" spans="2:23" ht="15.75" customHeight="1" x14ac:dyDescent="0.25">
      <c r="B43" s="216" t="s">
        <v>820</v>
      </c>
      <c r="C43" s="216"/>
      <c r="D43" s="216"/>
      <c r="E43" s="216">
        <v>0.125</v>
      </c>
      <c r="F43" s="216" t="s">
        <v>821</v>
      </c>
      <c r="I43" s="12" t="str">
        <f t="shared" si="2"/>
        <v>EXP-DSL</v>
      </c>
      <c r="J43" s="214" t="str">
        <f t="shared" si="3"/>
        <v>DSL</v>
      </c>
      <c r="K43" s="214"/>
      <c r="L43" s="215">
        <f t="shared" ref="L43:S43" si="5">+J127</f>
        <v>20.905026160941002</v>
      </c>
      <c r="M43" s="215">
        <f t="shared" si="5"/>
        <v>20.219447377232999</v>
      </c>
      <c r="N43" s="215">
        <f t="shared" si="5"/>
        <v>20.630671999937999</v>
      </c>
      <c r="O43" s="215">
        <f t="shared" si="5"/>
        <v>21.930071290101001</v>
      </c>
      <c r="P43" s="215">
        <f t="shared" si="5"/>
        <v>23.082531458571001</v>
      </c>
      <c r="Q43" s="215">
        <f t="shared" si="5"/>
        <v>23.875429665555</v>
      </c>
      <c r="R43" s="215">
        <f t="shared" si="5"/>
        <v>25.090517790116998</v>
      </c>
      <c r="S43" s="215">
        <f t="shared" si="5"/>
        <v>25.880965890156002</v>
      </c>
      <c r="T43" s="215"/>
      <c r="U43" s="215">
        <v>16.96</v>
      </c>
      <c r="V43" s="215"/>
      <c r="W43" s="215"/>
    </row>
    <row r="44" spans="2:23" ht="15.75" customHeight="1" x14ac:dyDescent="0.25">
      <c r="E44" s="12">
        <f>+E43*1000000</f>
        <v>125000</v>
      </c>
      <c r="F44" s="12" t="s">
        <v>822</v>
      </c>
      <c r="I44" s="12" t="str">
        <f t="shared" si="2"/>
        <v>EXP-KER</v>
      </c>
      <c r="J44" s="214" t="str">
        <f t="shared" si="3"/>
        <v>KER</v>
      </c>
      <c r="K44" s="214"/>
      <c r="L44" s="215">
        <f t="shared" ref="L44:S44" si="6">+J128</f>
        <v>13.877034192216</v>
      </c>
      <c r="M44" s="215">
        <f t="shared" si="6"/>
        <v>13.695434350650002</v>
      </c>
      <c r="N44" s="215">
        <f t="shared" si="6"/>
        <v>14.458260219857999</v>
      </c>
      <c r="O44" s="215">
        <f t="shared" si="6"/>
        <v>15.795199697939999</v>
      </c>
      <c r="P44" s="215">
        <f t="shared" si="6"/>
        <v>17.191836481949998</v>
      </c>
      <c r="Q44" s="215">
        <f t="shared" si="6"/>
        <v>18.196136740431001</v>
      </c>
      <c r="R44" s="215">
        <f t="shared" si="6"/>
        <v>19.62033319935</v>
      </c>
      <c r="S44" s="215">
        <f t="shared" si="6"/>
        <v>20.718097692200999</v>
      </c>
      <c r="T44" s="215"/>
      <c r="U44" s="215">
        <v>11.91</v>
      </c>
      <c r="V44" s="215"/>
      <c r="W44" s="215"/>
    </row>
    <row r="45" spans="2:23" ht="15.75" customHeight="1" x14ac:dyDescent="0.25">
      <c r="E45" s="12">
        <f>+E44/(1000000)</f>
        <v>0.125</v>
      </c>
      <c r="F45" s="12" t="s">
        <v>823</v>
      </c>
      <c r="I45" s="12" t="str">
        <f t="shared" si="2"/>
        <v>EXP-LPG</v>
      </c>
      <c r="J45" s="214" t="str">
        <f t="shared" si="3"/>
        <v>LPG</v>
      </c>
      <c r="K45" s="214"/>
      <c r="L45" s="215">
        <f t="shared" ref="L45:S45" si="7">+J129</f>
        <v>17.551047751146001</v>
      </c>
      <c r="M45" s="215">
        <f t="shared" si="7"/>
        <v>16.867144707893999</v>
      </c>
      <c r="N45" s="215">
        <f t="shared" si="7"/>
        <v>19.872932116751997</v>
      </c>
      <c r="O45" s="215">
        <f t="shared" si="7"/>
        <v>22.022557377326997</v>
      </c>
      <c r="P45" s="215">
        <f t="shared" si="7"/>
        <v>22.891725470484001</v>
      </c>
      <c r="Q45" s="215">
        <f t="shared" si="7"/>
        <v>24.412499742618003</v>
      </c>
      <c r="R45" s="215">
        <f t="shared" si="7"/>
        <v>25.877700660591003</v>
      </c>
      <c r="S45" s="215">
        <f t="shared" si="7"/>
        <v>27.425805235919999</v>
      </c>
      <c r="T45" s="215"/>
      <c r="U45" s="215">
        <v>6.34</v>
      </c>
      <c r="V45" s="215"/>
      <c r="W45" s="215"/>
    </row>
    <row r="46" spans="2:23" ht="15.75" customHeight="1" x14ac:dyDescent="0.25">
      <c r="E46" s="12">
        <f>+E45/0.0036</f>
        <v>34.722222222222221</v>
      </c>
      <c r="F46" s="12" t="s">
        <v>773</v>
      </c>
      <c r="I46" s="12" t="str">
        <f t="shared" si="2"/>
        <v>EXP-HFO</v>
      </c>
      <c r="J46" s="214" t="str">
        <f t="shared" si="3"/>
        <v>HFO</v>
      </c>
      <c r="K46" s="214"/>
      <c r="L46" s="215">
        <f t="shared" ref="L46:S46" si="8">+J130</f>
        <v>9.2415067298189992</v>
      </c>
      <c r="M46" s="215">
        <f t="shared" si="8"/>
        <v>9.6605963379900004</v>
      </c>
      <c r="N46" s="215">
        <f t="shared" si="8"/>
        <v>9.3615136314569991</v>
      </c>
      <c r="O46" s="215">
        <f t="shared" si="8"/>
        <v>10.777456499940001</v>
      </c>
      <c r="P46" s="215">
        <f t="shared" si="8"/>
        <v>12.03505800822</v>
      </c>
      <c r="Q46" s="215">
        <f t="shared" si="8"/>
        <v>13.376972577735</v>
      </c>
      <c r="R46" s="215">
        <f t="shared" si="8"/>
        <v>14.299692331392</v>
      </c>
      <c r="S46" s="215">
        <f t="shared" si="8"/>
        <v>15.089726235401999</v>
      </c>
      <c r="T46" s="215"/>
      <c r="U46" s="215">
        <v>8.2100000000000009</v>
      </c>
      <c r="V46" s="215"/>
      <c r="W46" s="215"/>
    </row>
    <row r="47" spans="2:23" ht="15.75" customHeight="1" x14ac:dyDescent="0.25">
      <c r="I47" s="12" t="str">
        <f t="shared" si="2"/>
        <v>EXP-ETH</v>
      </c>
      <c r="J47" s="214" t="str">
        <f t="shared" si="3"/>
        <v>ETH</v>
      </c>
      <c r="K47" s="214"/>
      <c r="L47" s="215">
        <f t="shared" ref="L47:S47" si="9">+J131</f>
        <v>15.484369752577541</v>
      </c>
      <c r="M47" s="215">
        <f t="shared" si="9"/>
        <v>15.076841521470868</v>
      </c>
      <c r="N47" s="215">
        <f t="shared" si="9"/>
        <v>16.842423718223472</v>
      </c>
      <c r="O47" s="215">
        <f t="shared" si="9"/>
        <v>19.600166238545455</v>
      </c>
      <c r="P47" s="215">
        <f t="shared" si="9"/>
        <v>19.747825616593868</v>
      </c>
      <c r="Q47" s="215">
        <f t="shared" si="9"/>
        <v>20.304548193105546</v>
      </c>
      <c r="R47" s="215">
        <f t="shared" si="9"/>
        <v>21.409220503499576</v>
      </c>
      <c r="S47" s="215">
        <f t="shared" si="9"/>
        <v>24.151142776321418</v>
      </c>
      <c r="T47" s="215"/>
      <c r="U47" s="215">
        <v>26</v>
      </c>
      <c r="V47" s="215"/>
      <c r="W47" s="215"/>
    </row>
    <row r="48" spans="2:23" ht="15.75" customHeight="1" x14ac:dyDescent="0.25">
      <c r="I48" s="12" t="str">
        <f t="shared" si="2"/>
        <v>EXP-BDSL</v>
      </c>
      <c r="J48" s="214" t="str">
        <f>+RIGHT(I48,4)</f>
        <v>BDSL</v>
      </c>
      <c r="K48" s="214"/>
      <c r="L48" s="215">
        <f t="shared" ref="L48:S48" si="10">+J132</f>
        <v>27.015813128159731</v>
      </c>
      <c r="M48" s="215">
        <f t="shared" si="10"/>
        <v>26.129831538723028</v>
      </c>
      <c r="N48" s="215">
        <f t="shared" si="10"/>
        <v>26.661261993541277</v>
      </c>
      <c r="O48" s="215">
        <f t="shared" si="10"/>
        <v>28.340491100056148</v>
      </c>
      <c r="P48" s="215">
        <f t="shared" si="10"/>
        <v>29.829829037705093</v>
      </c>
      <c r="Q48" s="215">
        <f t="shared" si="10"/>
        <v>30.854500790068418</v>
      </c>
      <c r="R48" s="215">
        <f t="shared" si="10"/>
        <v>32.424773577803386</v>
      </c>
      <c r="S48" s="215">
        <f t="shared" si="10"/>
        <v>33.446279027916688</v>
      </c>
      <c r="T48" s="215"/>
      <c r="U48" s="215">
        <v>29</v>
      </c>
      <c r="V48" s="215"/>
      <c r="W48" s="215"/>
    </row>
    <row r="49" spans="2:23" ht="15.75" customHeight="1" x14ac:dyDescent="0.25">
      <c r="B49" s="217" t="s">
        <v>824</v>
      </c>
      <c r="C49" s="217"/>
      <c r="D49" s="217"/>
      <c r="E49" s="218">
        <v>0.25</v>
      </c>
      <c r="I49" s="12" t="str">
        <f t="shared" si="2"/>
        <v>EXP-GAS</v>
      </c>
      <c r="J49" s="214" t="str">
        <f>+RIGHT(I49,3)</f>
        <v>GAS</v>
      </c>
      <c r="K49" s="214"/>
      <c r="L49" s="215">
        <f t="shared" ref="L49:S49" si="11">+J133</f>
        <v>4.769127007632</v>
      </c>
      <c r="M49" s="215">
        <f t="shared" si="11"/>
        <v>4.5122894526059998</v>
      </c>
      <c r="N49" s="215">
        <f t="shared" si="11"/>
        <v>4.9274484636779992</v>
      </c>
      <c r="O49" s="215">
        <f t="shared" si="11"/>
        <v>5.3827086642029993</v>
      </c>
      <c r="P49" s="215">
        <f t="shared" si="11"/>
        <v>5.4401245746119997</v>
      </c>
      <c r="Q49" s="215">
        <f t="shared" si="11"/>
        <v>5.4800854871490001</v>
      </c>
      <c r="R49" s="215">
        <f t="shared" si="11"/>
        <v>5.5431115263809998</v>
      </c>
      <c r="S49" s="215">
        <f t="shared" si="11"/>
        <v>5.7037579775280003</v>
      </c>
      <c r="T49" s="215"/>
      <c r="U49" s="215">
        <v>5.6</v>
      </c>
      <c r="V49" s="215"/>
      <c r="W49" s="215"/>
    </row>
    <row r="50" spans="2:23" ht="15.75" customHeight="1" x14ac:dyDescent="0.25">
      <c r="I50" s="12" t="str">
        <f t="shared" si="2"/>
        <v>EXP-LOIL</v>
      </c>
      <c r="J50" s="214" t="str">
        <f t="shared" ref="J50:J52" si="12">+RIGHT(I50,4)</f>
        <v>LOIL</v>
      </c>
      <c r="K50" s="214"/>
      <c r="L50" s="215">
        <f t="shared" ref="L50:S50" si="13">+J137</f>
        <v>9.4202649837693002</v>
      </c>
      <c r="M50" s="215">
        <f t="shared" si="13"/>
        <v>8.8971488688237894</v>
      </c>
      <c r="N50" s="215">
        <f t="shared" si="13"/>
        <v>10.809495075642701</v>
      </c>
      <c r="O50" s="215">
        <f t="shared" si="13"/>
        <v>11.944874310089356</v>
      </c>
      <c r="P50" s="215">
        <f t="shared" si="13"/>
        <v>13.287214218828185</v>
      </c>
      <c r="Q50" s="215">
        <f t="shared" si="13"/>
        <v>14.355702223711937</v>
      </c>
      <c r="R50" s="215">
        <f t="shared" si="13"/>
        <v>15.630732976072419</v>
      </c>
      <c r="S50" s="215">
        <f t="shared" si="13"/>
        <v>16.864994934098721</v>
      </c>
      <c r="T50" s="215"/>
      <c r="U50" s="215">
        <v>7.26</v>
      </c>
      <c r="V50" s="215"/>
      <c r="W50" s="215"/>
    </row>
    <row r="51" spans="2:23" ht="15.75" customHeight="1" x14ac:dyDescent="0.25">
      <c r="I51" s="12" t="str">
        <f t="shared" si="2"/>
        <v>EXP-MOIL</v>
      </c>
      <c r="J51" s="214" t="str">
        <f t="shared" si="12"/>
        <v>MOIL</v>
      </c>
      <c r="K51" s="214"/>
      <c r="L51" s="215">
        <f t="shared" ref="L51:S51" si="14">+J135</f>
        <v>8.6667911578505592</v>
      </c>
      <c r="M51" s="215">
        <f t="shared" si="14"/>
        <v>8.1855161483523844</v>
      </c>
      <c r="N51" s="215">
        <f t="shared" si="14"/>
        <v>9.9449045758078007</v>
      </c>
      <c r="O51" s="215">
        <f t="shared" si="14"/>
        <v>10.989471233631489</v>
      </c>
      <c r="P51" s="215">
        <f t="shared" si="14"/>
        <v>12.224444949544161</v>
      </c>
      <c r="Q51" s="215">
        <f t="shared" si="14"/>
        <v>13.207470629708267</v>
      </c>
      <c r="R51" s="215">
        <f t="shared" si="14"/>
        <v>14.380518868753001</v>
      </c>
      <c r="S51" s="215">
        <f t="shared" si="14"/>
        <v>15.516059179213938</v>
      </c>
      <c r="T51" s="215"/>
      <c r="U51" s="215">
        <v>7.01</v>
      </c>
      <c r="V51" s="215"/>
      <c r="W51" s="215"/>
    </row>
    <row r="52" spans="2:23" ht="15.75" customHeight="1" x14ac:dyDescent="0.25">
      <c r="I52" s="12" t="str">
        <f t="shared" si="2"/>
        <v>EXP-HOIL</v>
      </c>
      <c r="J52" s="214" t="str">
        <f t="shared" si="12"/>
        <v>HOIL</v>
      </c>
      <c r="K52" s="214"/>
      <c r="L52" s="215">
        <f t="shared" ref="L52:S52" si="15">+J136</f>
        <v>7.1598435060130816</v>
      </c>
      <c r="M52" s="215">
        <f t="shared" si="15"/>
        <v>6.7622507074095797</v>
      </c>
      <c r="N52" s="215">
        <f t="shared" si="15"/>
        <v>8.215723576138009</v>
      </c>
      <c r="O52" s="215">
        <f t="shared" si="15"/>
        <v>9.0786650807157603</v>
      </c>
      <c r="P52" s="215">
        <f t="shared" si="15"/>
        <v>10.098906410976124</v>
      </c>
      <c r="Q52" s="215">
        <f t="shared" si="15"/>
        <v>10.911007441700926</v>
      </c>
      <c r="R52" s="215">
        <f t="shared" si="15"/>
        <v>11.88009065411417</v>
      </c>
      <c r="S52" s="215">
        <f t="shared" si="15"/>
        <v>12.818187669444375</v>
      </c>
      <c r="T52" s="215"/>
      <c r="U52" s="215">
        <v>6.76</v>
      </c>
      <c r="V52" s="215"/>
      <c r="W52" s="215"/>
    </row>
    <row r="53" spans="2:23" ht="15.75" customHeight="1" x14ac:dyDescent="0.25">
      <c r="I53" s="12" t="str">
        <f t="shared" si="2"/>
        <v>EXP-SIN</v>
      </c>
      <c r="J53" s="219" t="s">
        <v>825</v>
      </c>
      <c r="K53" s="214"/>
      <c r="L53" s="220">
        <f>+E46</f>
        <v>34.722222222222221</v>
      </c>
      <c r="M53" s="220">
        <f t="shared" ref="M53:S53" si="16">+L53</f>
        <v>34.722222222222221</v>
      </c>
      <c r="N53" s="220">
        <f t="shared" si="16"/>
        <v>34.722222222222221</v>
      </c>
      <c r="O53" s="220">
        <f t="shared" si="16"/>
        <v>34.722222222222221</v>
      </c>
      <c r="P53" s="220">
        <f t="shared" si="16"/>
        <v>34.722222222222221</v>
      </c>
      <c r="Q53" s="220">
        <f t="shared" si="16"/>
        <v>34.722222222222221</v>
      </c>
      <c r="R53" s="220">
        <f t="shared" si="16"/>
        <v>34.722222222222221</v>
      </c>
      <c r="S53" s="220">
        <f t="shared" si="16"/>
        <v>34.722222222222221</v>
      </c>
    </row>
    <row r="54" spans="2:23" ht="15.75" customHeight="1" x14ac:dyDescent="0.25">
      <c r="I54" s="12" t="s">
        <v>794</v>
      </c>
      <c r="J54" s="221" t="str">
        <f>+RIGHT(I54,3)</f>
        <v>AVG</v>
      </c>
      <c r="L54" s="222">
        <v>21.450884058013838</v>
      </c>
      <c r="M54" s="222">
        <v>21.173796174722664</v>
      </c>
      <c r="N54" s="222">
        <v>22.060639953463127</v>
      </c>
      <c r="O54" s="222">
        <v>24.100563154252466</v>
      </c>
      <c r="P54" s="222">
        <v>26.231573439673227</v>
      </c>
      <c r="Q54" s="222">
        <v>27.763950507910614</v>
      </c>
      <c r="R54" s="222">
        <v>29.937011777070548</v>
      </c>
      <c r="S54" s="222">
        <v>31.611998038364984</v>
      </c>
    </row>
    <row r="55" spans="2:23" ht="15.75" customHeight="1" x14ac:dyDescent="0.25">
      <c r="I55" s="12" t="str">
        <f t="shared" ref="I55:I66" si="17">+J21</f>
        <v>IMP-GSL</v>
      </c>
      <c r="J55" s="214"/>
      <c r="K55" s="214" t="str">
        <f t="shared" ref="K55:K60" si="18">+RIGHT(I55,3)</f>
        <v>GSL</v>
      </c>
      <c r="L55" s="223">
        <f t="shared" ref="L55:S55" si="19">+L42+($E$49*L42)</f>
        <v>26.245557442552499</v>
      </c>
      <c r="M55" s="224">
        <f t="shared" si="19"/>
        <v>25.994911975987502</v>
      </c>
      <c r="N55" s="224">
        <f t="shared" si="19"/>
        <v>25.896103238508754</v>
      </c>
      <c r="O55" s="224">
        <f t="shared" si="19"/>
        <v>27.752582918238751</v>
      </c>
      <c r="P55" s="224">
        <f t="shared" si="19"/>
        <v>29.460206753347499</v>
      </c>
      <c r="Q55" s="224">
        <f t="shared" si="19"/>
        <v>30.74641930254375</v>
      </c>
      <c r="R55" s="224">
        <f t="shared" si="19"/>
        <v>32.357645409667498</v>
      </c>
      <c r="S55" s="224">
        <f t="shared" si="19"/>
        <v>33.942451117916249</v>
      </c>
    </row>
    <row r="56" spans="2:23" ht="15.75" customHeight="1" x14ac:dyDescent="0.25">
      <c r="I56" s="12" t="str">
        <f t="shared" si="17"/>
        <v>IMP-DSL</v>
      </c>
      <c r="J56" s="214"/>
      <c r="K56" s="214" t="str">
        <f t="shared" si="18"/>
        <v>DSL</v>
      </c>
      <c r="L56" s="225">
        <f t="shared" ref="L56:S56" si="20">+L43+($E$49*L43)</f>
        <v>26.131282701176254</v>
      </c>
      <c r="M56" s="224">
        <f t="shared" si="20"/>
        <v>25.274309221541248</v>
      </c>
      <c r="N56" s="224">
        <f t="shared" si="20"/>
        <v>25.788339999922499</v>
      </c>
      <c r="O56" s="224">
        <f t="shared" si="20"/>
        <v>27.41258911262625</v>
      </c>
      <c r="P56" s="224">
        <f t="shared" si="20"/>
        <v>28.85316432321375</v>
      </c>
      <c r="Q56" s="224">
        <f t="shared" si="20"/>
        <v>29.844287081943751</v>
      </c>
      <c r="R56" s="224">
        <f t="shared" si="20"/>
        <v>31.363147237646245</v>
      </c>
      <c r="S56" s="224">
        <f t="shared" si="20"/>
        <v>32.351207362695</v>
      </c>
    </row>
    <row r="57" spans="2:23" ht="15.75" customHeight="1" x14ac:dyDescent="0.25">
      <c r="E57">
        <f>64.7*L49</f>
        <v>308.56251739379042</v>
      </c>
      <c r="F57" s="803" t="s">
        <v>59</v>
      </c>
      <c r="I57" s="12" t="str">
        <f t="shared" si="17"/>
        <v>IMP-KER</v>
      </c>
      <c r="J57" s="214"/>
      <c r="K57" s="214" t="str">
        <f t="shared" si="18"/>
        <v>KER</v>
      </c>
      <c r="L57" s="224">
        <f t="shared" ref="L57:S57" si="21">+L44+($E$49*L44)</f>
        <v>17.346292740269998</v>
      </c>
      <c r="M57" s="224">
        <f t="shared" si="21"/>
        <v>17.119292938312501</v>
      </c>
      <c r="N57" s="224">
        <f t="shared" si="21"/>
        <v>18.072825274822499</v>
      </c>
      <c r="O57" s="224">
        <f t="shared" si="21"/>
        <v>19.743999622425001</v>
      </c>
      <c r="P57" s="224">
        <f t="shared" si="21"/>
        <v>21.489795602437496</v>
      </c>
      <c r="Q57" s="224">
        <f t="shared" si="21"/>
        <v>22.745170925538751</v>
      </c>
      <c r="R57" s="224">
        <f t="shared" si="21"/>
        <v>24.5254164991875</v>
      </c>
      <c r="S57" s="224">
        <f t="shared" si="21"/>
        <v>25.897622115251249</v>
      </c>
    </row>
    <row r="58" spans="2:23" ht="15.75" customHeight="1" x14ac:dyDescent="0.25">
      <c r="E58">
        <f>+E57*2.7</f>
        <v>833.11879696323422</v>
      </c>
      <c r="F58" s="803" t="s">
        <v>670</v>
      </c>
      <c r="I58" s="12" t="str">
        <f t="shared" si="17"/>
        <v>IMP-LPG</v>
      </c>
      <c r="J58" s="214"/>
      <c r="K58" s="214" t="str">
        <f t="shared" si="18"/>
        <v>LPG</v>
      </c>
      <c r="L58" s="224">
        <f t="shared" ref="L58:S58" si="22">+L45+($E$49*L45)</f>
        <v>21.938809688932501</v>
      </c>
      <c r="M58" s="224">
        <f t="shared" si="22"/>
        <v>21.083930884867499</v>
      </c>
      <c r="N58" s="224">
        <f t="shared" si="22"/>
        <v>24.841165145939996</v>
      </c>
      <c r="O58" s="224">
        <f t="shared" si="22"/>
        <v>27.528196721658745</v>
      </c>
      <c r="P58" s="224">
        <f t="shared" si="22"/>
        <v>28.614656838105002</v>
      </c>
      <c r="Q58" s="224">
        <f t="shared" si="22"/>
        <v>30.515624678272502</v>
      </c>
      <c r="R58" s="224">
        <f t="shared" si="22"/>
        <v>32.347125825738757</v>
      </c>
      <c r="S58" s="224">
        <f t="shared" si="22"/>
        <v>34.282256544900001</v>
      </c>
    </row>
    <row r="59" spans="2:23" ht="15.75" customHeight="1" x14ac:dyDescent="0.25">
      <c r="E59">
        <f>+E58/365</f>
        <v>2.2825172519540664</v>
      </c>
      <c r="F59" s="803" t="s">
        <v>1565</v>
      </c>
      <c r="I59" s="12" t="str">
        <f t="shared" si="17"/>
        <v>IMP-HFO</v>
      </c>
      <c r="J59" s="214"/>
      <c r="K59" s="214" t="str">
        <f t="shared" si="18"/>
        <v>HFO</v>
      </c>
      <c r="L59" s="224">
        <f t="shared" ref="L59:S59" si="23">+L46+($E$49*L46)</f>
        <v>11.551883412273749</v>
      </c>
      <c r="M59" s="224">
        <f t="shared" si="23"/>
        <v>12.0757454224875</v>
      </c>
      <c r="N59" s="224">
        <f t="shared" si="23"/>
        <v>11.701892039321249</v>
      </c>
      <c r="O59" s="224">
        <f t="shared" si="23"/>
        <v>13.471820624925002</v>
      </c>
      <c r="P59" s="224">
        <f t="shared" si="23"/>
        <v>15.043822510275</v>
      </c>
      <c r="Q59" s="224">
        <f t="shared" si="23"/>
        <v>16.721215722168751</v>
      </c>
      <c r="R59" s="224">
        <f t="shared" si="23"/>
        <v>17.874615414240001</v>
      </c>
      <c r="S59" s="224">
        <f t="shared" si="23"/>
        <v>18.8621577942525</v>
      </c>
    </row>
    <row r="60" spans="2:23" ht="15.75" customHeight="1" x14ac:dyDescent="0.25">
      <c r="I60" s="12" t="str">
        <f t="shared" si="17"/>
        <v>IMP-ETH</v>
      </c>
      <c r="J60" s="214"/>
      <c r="K60" s="214" t="str">
        <f t="shared" si="18"/>
        <v>ETH</v>
      </c>
      <c r="L60" s="224">
        <f>+L47+($E$49*L47)</f>
        <v>19.355462190721926</v>
      </c>
      <c r="M60" s="224">
        <f t="shared" ref="M60:S60" si="24">+M47+($E$49*M47)</f>
        <v>18.846051901838585</v>
      </c>
      <c r="N60" s="224">
        <f t="shared" si="24"/>
        <v>21.05302964777934</v>
      </c>
      <c r="O60" s="224">
        <f t="shared" si="24"/>
        <v>24.500207798181819</v>
      </c>
      <c r="P60" s="224">
        <f t="shared" si="24"/>
        <v>24.684782020742336</v>
      </c>
      <c r="Q60" s="224">
        <f t="shared" si="24"/>
        <v>25.380685241381933</v>
      </c>
      <c r="R60" s="224">
        <f t="shared" si="24"/>
        <v>26.761525629374468</v>
      </c>
      <c r="S60" s="224">
        <f t="shared" si="24"/>
        <v>30.188928470401773</v>
      </c>
    </row>
    <row r="61" spans="2:23" ht="15.75" customHeight="1" x14ac:dyDescent="0.25">
      <c r="I61" s="12" t="str">
        <f t="shared" si="17"/>
        <v>IMP-BDSL</v>
      </c>
      <c r="J61" s="214"/>
      <c r="K61" s="214" t="str">
        <f>+RIGHT(I61,4)</f>
        <v>BDSL</v>
      </c>
      <c r="L61" s="224">
        <f t="shared" ref="L61:S61" si="25">+L48+($E$49*L48)</f>
        <v>33.769766410199665</v>
      </c>
      <c r="M61" s="224">
        <f t="shared" si="25"/>
        <v>32.662289423403784</v>
      </c>
      <c r="N61" s="224">
        <f t="shared" si="25"/>
        <v>33.326577491926599</v>
      </c>
      <c r="O61" s="224">
        <f t="shared" si="25"/>
        <v>35.425613875070184</v>
      </c>
      <c r="P61" s="224">
        <f t="shared" si="25"/>
        <v>37.287286297131367</v>
      </c>
      <c r="Q61" s="224">
        <f t="shared" si="25"/>
        <v>38.568125987585525</v>
      </c>
      <c r="R61" s="224">
        <f t="shared" si="25"/>
        <v>40.530966972254234</v>
      </c>
      <c r="S61" s="224">
        <f t="shared" si="25"/>
        <v>41.80784878489586</v>
      </c>
    </row>
    <row r="62" spans="2:23" ht="15.75" customHeight="1" x14ac:dyDescent="0.25">
      <c r="I62" s="12" t="str">
        <f t="shared" si="17"/>
        <v>IMP-GAS</v>
      </c>
      <c r="J62" s="214"/>
      <c r="K62" s="214" t="str">
        <f>+RIGHT(I62,3)</f>
        <v>GAS</v>
      </c>
      <c r="L62" s="224">
        <f t="shared" ref="L62:S62" si="26">+L49+($E$49*L49)</f>
        <v>5.9614087595400003</v>
      </c>
      <c r="M62" s="224">
        <f t="shared" si="26"/>
        <v>5.6403618157574993</v>
      </c>
      <c r="N62" s="224">
        <f t="shared" si="26"/>
        <v>6.1593105795974985</v>
      </c>
      <c r="O62" s="224">
        <f t="shared" si="26"/>
        <v>6.7283858302537496</v>
      </c>
      <c r="P62" s="224">
        <f t="shared" si="26"/>
        <v>6.8001557182649996</v>
      </c>
      <c r="Q62" s="224">
        <f t="shared" si="26"/>
        <v>6.8501068589362504</v>
      </c>
      <c r="R62" s="224">
        <f t="shared" si="26"/>
        <v>6.92888940797625</v>
      </c>
      <c r="S62" s="224">
        <f t="shared" si="26"/>
        <v>7.1296974719100001</v>
      </c>
    </row>
    <row r="63" spans="2:23" ht="15.75" customHeight="1" x14ac:dyDescent="0.25">
      <c r="I63" s="12" t="str">
        <f t="shared" si="17"/>
        <v>IMP-LOIL</v>
      </c>
      <c r="J63" s="214"/>
      <c r="K63" s="214" t="str">
        <f t="shared" ref="K63:K65" si="27">+RIGHT(I63,4)</f>
        <v>LOIL</v>
      </c>
      <c r="L63" s="224">
        <f t="shared" ref="L63:S63" si="28">+L50+($E$49*L50)</f>
        <v>11.775331229711625</v>
      </c>
      <c r="M63" s="224">
        <f t="shared" si="28"/>
        <v>11.121436086029737</v>
      </c>
      <c r="N63" s="224">
        <f t="shared" si="28"/>
        <v>13.511868844553376</v>
      </c>
      <c r="O63" s="224">
        <f t="shared" si="28"/>
        <v>14.931092887611694</v>
      </c>
      <c r="P63" s="224">
        <f t="shared" si="28"/>
        <v>16.609017773535232</v>
      </c>
      <c r="Q63" s="224">
        <f t="shared" si="28"/>
        <v>17.944627779639923</v>
      </c>
      <c r="R63" s="224">
        <f t="shared" si="28"/>
        <v>19.538416220090525</v>
      </c>
      <c r="S63" s="224">
        <f t="shared" si="28"/>
        <v>21.081243667623401</v>
      </c>
    </row>
    <row r="64" spans="2:23" ht="15.75" customHeight="1" x14ac:dyDescent="0.25">
      <c r="I64" s="12" t="str">
        <f t="shared" si="17"/>
        <v>IMP-MOIL</v>
      </c>
      <c r="J64" s="214"/>
      <c r="K64" s="214" t="str">
        <f t="shared" si="27"/>
        <v>MOIL</v>
      </c>
      <c r="L64" s="224">
        <f t="shared" ref="L64:S64" si="29">+L51+($E$49*L51)</f>
        <v>10.833488947313199</v>
      </c>
      <c r="M64" s="224">
        <f t="shared" si="29"/>
        <v>10.23189518544048</v>
      </c>
      <c r="N64" s="224">
        <f t="shared" si="29"/>
        <v>12.43113071975975</v>
      </c>
      <c r="O64" s="224">
        <f t="shared" si="29"/>
        <v>13.736839042039362</v>
      </c>
      <c r="P64" s="224">
        <f t="shared" si="29"/>
        <v>15.280556186930202</v>
      </c>
      <c r="Q64" s="224">
        <f t="shared" si="29"/>
        <v>16.509338287135332</v>
      </c>
      <c r="R64" s="224">
        <f t="shared" si="29"/>
        <v>17.975648585941251</v>
      </c>
      <c r="S64" s="224">
        <f t="shared" si="29"/>
        <v>19.395073974017421</v>
      </c>
    </row>
    <row r="65" spans="2:21" ht="15.75" customHeight="1" x14ac:dyDescent="0.25">
      <c r="I65" s="12" t="str">
        <f t="shared" si="17"/>
        <v>IMP-HOIL</v>
      </c>
      <c r="J65" s="214"/>
      <c r="K65" s="214" t="str">
        <f t="shared" si="27"/>
        <v>HOIL</v>
      </c>
      <c r="L65" s="224">
        <f t="shared" ref="L65:S65" si="30">+L52+($E$49*L52)</f>
        <v>8.9498043825163514</v>
      </c>
      <c r="M65" s="224">
        <f t="shared" si="30"/>
        <v>8.4528133842619742</v>
      </c>
      <c r="N65" s="224">
        <f t="shared" si="30"/>
        <v>10.269654470172512</v>
      </c>
      <c r="O65" s="224">
        <f t="shared" si="30"/>
        <v>11.3483313508947</v>
      </c>
      <c r="P65" s="224">
        <f t="shared" si="30"/>
        <v>12.623633013720156</v>
      </c>
      <c r="Q65" s="224">
        <f t="shared" si="30"/>
        <v>13.638759302126157</v>
      </c>
      <c r="R65" s="224">
        <f t="shared" si="30"/>
        <v>14.850113317642712</v>
      </c>
      <c r="S65" s="224">
        <f t="shared" si="30"/>
        <v>16.02273458680547</v>
      </c>
    </row>
    <row r="66" spans="2:21" ht="15.75" customHeight="1" x14ac:dyDescent="0.25">
      <c r="I66" s="12" t="str">
        <f t="shared" si="17"/>
        <v>IMP-SIN</v>
      </c>
      <c r="J66" s="214"/>
      <c r="K66" s="219" t="s">
        <v>825</v>
      </c>
      <c r="L66" s="226">
        <f>+L53+($E$49*L53)</f>
        <v>43.402777777777779</v>
      </c>
      <c r="M66" s="226">
        <f t="shared" ref="M66:S66" si="31">+L66</f>
        <v>43.402777777777779</v>
      </c>
      <c r="N66" s="226">
        <f t="shared" si="31"/>
        <v>43.402777777777779</v>
      </c>
      <c r="O66" s="226">
        <f t="shared" si="31"/>
        <v>43.402777777777779</v>
      </c>
      <c r="P66" s="226">
        <f t="shared" si="31"/>
        <v>43.402777777777779</v>
      </c>
      <c r="Q66" s="226">
        <f t="shared" si="31"/>
        <v>43.402777777777779</v>
      </c>
      <c r="R66" s="226">
        <f t="shared" si="31"/>
        <v>43.402777777777779</v>
      </c>
      <c r="S66" s="226">
        <f t="shared" si="31"/>
        <v>43.402777777777779</v>
      </c>
    </row>
    <row r="67" spans="2:21" ht="15.75" customHeight="1" x14ac:dyDescent="0.25">
      <c r="I67" s="12" t="s">
        <v>800</v>
      </c>
      <c r="K67" s="227" t="str">
        <f>+J54</f>
        <v>AVG</v>
      </c>
      <c r="L67" s="224">
        <f t="shared" ref="L67:S67" si="32">+L54*(100%+$E$49)</f>
        <v>26.813605072517298</v>
      </c>
      <c r="M67" s="224">
        <f t="shared" si="32"/>
        <v>26.467245218403331</v>
      </c>
      <c r="N67" s="224">
        <f t="shared" si="32"/>
        <v>27.575799941828908</v>
      </c>
      <c r="O67" s="224">
        <f t="shared" si="32"/>
        <v>30.125703942815584</v>
      </c>
      <c r="P67" s="224">
        <f t="shared" si="32"/>
        <v>32.789466799591537</v>
      </c>
      <c r="Q67" s="224">
        <f t="shared" si="32"/>
        <v>34.704938134888266</v>
      </c>
      <c r="R67" s="224">
        <f t="shared" si="32"/>
        <v>37.421264721338183</v>
      </c>
      <c r="S67" s="224">
        <f t="shared" si="32"/>
        <v>39.514997547956227</v>
      </c>
    </row>
    <row r="68" spans="2:21" ht="15.75" customHeight="1" x14ac:dyDescent="0.25"/>
    <row r="69" spans="2:21" s="901" customFormat="1" ht="15.75" customHeight="1" x14ac:dyDescent="0.25">
      <c r="C69" s="20" t="s">
        <v>1690</v>
      </c>
      <c r="D69" s="20">
        <v>3685</v>
      </c>
      <c r="E69" s="20" t="s">
        <v>1693</v>
      </c>
    </row>
    <row r="70" spans="2:21" s="901" customFormat="1" ht="15.75" customHeight="1" x14ac:dyDescent="0.25">
      <c r="I70" s="903" t="s">
        <v>1701</v>
      </c>
    </row>
    <row r="71" spans="2:21" s="901" customFormat="1" ht="15.75" customHeight="1" x14ac:dyDescent="0.25">
      <c r="C71" s="912" t="s">
        <v>1710</v>
      </c>
    </row>
    <row r="72" spans="2:21" s="901" customFormat="1" ht="15.75" customHeight="1" x14ac:dyDescent="0.25">
      <c r="B72" s="903" t="s">
        <v>477</v>
      </c>
      <c r="C72" s="903" t="s">
        <v>1709</v>
      </c>
      <c r="D72" s="901">
        <v>7679</v>
      </c>
      <c r="E72" s="903" t="s">
        <v>1688</v>
      </c>
      <c r="I72" s="206"/>
      <c r="J72" s="207"/>
      <c r="K72" s="207"/>
      <c r="L72" s="207"/>
      <c r="M72" s="206"/>
    </row>
    <row r="73" spans="2:21" s="901" customFormat="1" ht="15.75" customHeight="1" x14ac:dyDescent="0.25">
      <c r="B73" s="901">
        <f>'Bases de Cálculo'!F15/1000000</f>
        <v>2.933593489850151E-6</v>
      </c>
      <c r="C73" s="903" t="s">
        <v>1712</v>
      </c>
      <c r="D73" s="836">
        <f>D72*42/$D$69</f>
        <v>87.521845318860244</v>
      </c>
      <c r="E73" s="903" t="s">
        <v>1453</v>
      </c>
      <c r="I73" s="208" t="s">
        <v>272</v>
      </c>
      <c r="J73" s="209" t="s">
        <v>805</v>
      </c>
      <c r="K73" s="208" t="s">
        <v>806</v>
      </c>
      <c r="L73" s="210" t="s">
        <v>807</v>
      </c>
      <c r="M73" s="210" t="s">
        <v>808</v>
      </c>
      <c r="N73" s="210" t="s">
        <v>809</v>
      </c>
      <c r="O73" s="210" t="s">
        <v>810</v>
      </c>
      <c r="P73" s="210" t="s">
        <v>811</v>
      </c>
      <c r="Q73" s="210" t="s">
        <v>812</v>
      </c>
      <c r="R73" s="210" t="s">
        <v>813</v>
      </c>
      <c r="S73" s="210" t="s">
        <v>814</v>
      </c>
      <c r="T73" s="909" t="s">
        <v>1707</v>
      </c>
      <c r="U73" s="909" t="s">
        <v>1708</v>
      </c>
    </row>
    <row r="74" spans="2:21" s="901" customFormat="1" ht="15.75" customHeight="1" thickBot="1" x14ac:dyDescent="0.3">
      <c r="D74" s="809">
        <f>(D73/1000000)/B73</f>
        <v>29.834346722432525</v>
      </c>
      <c r="E74" s="903" t="s">
        <v>773</v>
      </c>
      <c r="I74" s="211" t="s">
        <v>815</v>
      </c>
      <c r="J74" s="211" t="s">
        <v>816</v>
      </c>
      <c r="K74" s="211" t="s">
        <v>817</v>
      </c>
      <c r="L74" s="212" t="s">
        <v>818</v>
      </c>
      <c r="M74" s="212" t="s">
        <v>818</v>
      </c>
      <c r="N74" s="212" t="s">
        <v>818</v>
      </c>
      <c r="O74" s="212" t="s">
        <v>818</v>
      </c>
      <c r="P74" s="212" t="s">
        <v>818</v>
      </c>
      <c r="Q74" s="212" t="s">
        <v>818</v>
      </c>
      <c r="R74" s="212" t="s">
        <v>818</v>
      </c>
      <c r="S74" s="212" t="s">
        <v>818</v>
      </c>
      <c r="T74" s="911" t="s">
        <v>1706</v>
      </c>
      <c r="U74" s="911" t="s">
        <v>1706</v>
      </c>
    </row>
    <row r="75" spans="2:21" ht="15.75" customHeight="1" thickBot="1" x14ac:dyDescent="0.3">
      <c r="I75" s="211"/>
      <c r="J75" s="213"/>
      <c r="K75" s="213"/>
      <c r="L75" s="213" t="s">
        <v>819</v>
      </c>
      <c r="M75" s="213" t="s">
        <v>819</v>
      </c>
      <c r="N75" s="213" t="s">
        <v>819</v>
      </c>
      <c r="O75" s="213" t="s">
        <v>819</v>
      </c>
      <c r="P75" s="213" t="s">
        <v>819</v>
      </c>
      <c r="Q75" s="213" t="s">
        <v>819</v>
      </c>
      <c r="R75" s="213" t="s">
        <v>819</v>
      </c>
      <c r="S75" s="213" t="s">
        <v>819</v>
      </c>
      <c r="T75" s="910"/>
      <c r="U75" s="910"/>
    </row>
    <row r="76" spans="2:21" ht="15.75" customHeight="1" x14ac:dyDescent="0.25">
      <c r="I76" t="str">
        <f>J34</f>
        <v>BUY-ETH</v>
      </c>
      <c r="K76" t="str">
        <f>K60</f>
        <v>ETH</v>
      </c>
    </row>
    <row r="77" spans="2:21" ht="15.75" customHeight="1" x14ac:dyDescent="0.25">
      <c r="B77" s="903" t="s">
        <v>477</v>
      </c>
      <c r="C77" s="903" t="s">
        <v>1711</v>
      </c>
      <c r="D77">
        <v>10627</v>
      </c>
      <c r="E77" s="903" t="s">
        <v>1688</v>
      </c>
      <c r="I77" s="901" t="str">
        <f>J35</f>
        <v>BUY-BDSL</v>
      </c>
      <c r="K77" s="901" t="str">
        <f>K61</f>
        <v>BDSL</v>
      </c>
    </row>
    <row r="78" spans="2:21" s="901" customFormat="1" ht="15.75" customHeight="1" x14ac:dyDescent="0.25">
      <c r="B78" s="901">
        <f>'Bases de Cálculo'!F16/1000000</f>
        <v>5.274111587340502E-6</v>
      </c>
      <c r="C78" s="903" t="s">
        <v>1712</v>
      </c>
      <c r="D78" s="836">
        <f>D77*42/$D$69</f>
        <v>121.12184531886024</v>
      </c>
      <c r="E78" s="903" t="s">
        <v>1453</v>
      </c>
    </row>
    <row r="79" spans="2:21" s="901" customFormat="1" ht="15.75" customHeight="1" x14ac:dyDescent="0.25">
      <c r="D79" s="809">
        <f>(D78/1000000)/B78</f>
        <v>22.9653550769745</v>
      </c>
      <c r="E79" s="903" t="s">
        <v>773</v>
      </c>
    </row>
    <row r="80" spans="2:21" s="901" customFormat="1" ht="15.75" customHeight="1" x14ac:dyDescent="0.25"/>
    <row r="81" spans="9:13" ht="15.75" customHeight="1" x14ac:dyDescent="0.25"/>
    <row r="82" spans="9:13" ht="15.75" customHeight="1" x14ac:dyDescent="0.25"/>
    <row r="83" spans="9:13" ht="15.75" customHeight="1" x14ac:dyDescent="0.25">
      <c r="I83" s="12" t="s">
        <v>826</v>
      </c>
    </row>
    <row r="84" spans="9:13" ht="15.75" customHeight="1" x14ac:dyDescent="0.25">
      <c r="J84" s="12" t="s">
        <v>827</v>
      </c>
      <c r="K84" s="18" t="s">
        <v>828</v>
      </c>
      <c r="L84" s="18" t="s">
        <v>829</v>
      </c>
      <c r="M84" s="12" t="s">
        <v>830</v>
      </c>
    </row>
    <row r="85" spans="9:13" ht="15.75" customHeight="1" x14ac:dyDescent="0.25">
      <c r="I85" s="12" t="s">
        <v>831</v>
      </c>
      <c r="J85" s="12" t="s">
        <v>832</v>
      </c>
      <c r="K85" s="18">
        <v>56.261001999999998</v>
      </c>
      <c r="L85" s="18">
        <f t="shared" ref="L85:L87" si="33">+K85/$J$91</f>
        <v>9.9388771706679382</v>
      </c>
    </row>
    <row r="86" spans="9:13" ht="15.75" customHeight="1" x14ac:dyDescent="0.25">
      <c r="I86" s="12" t="s">
        <v>833</v>
      </c>
      <c r="J86" s="12" t="s">
        <v>834</v>
      </c>
      <c r="K86" s="18">
        <f>+K85-4.5</f>
        <v>51.761001999999998</v>
      </c>
      <c r="L86" s="18">
        <f t="shared" si="33"/>
        <v>9.1439224830851291</v>
      </c>
      <c r="M86" s="228">
        <f>+(L86-L85)/L85</f>
        <v>-7.9984355770983381E-2</v>
      </c>
    </row>
    <row r="87" spans="9:13" ht="15.75" customHeight="1" x14ac:dyDescent="0.25">
      <c r="I87" s="12" t="s">
        <v>835</v>
      </c>
      <c r="J87" s="12" t="s">
        <v>836</v>
      </c>
      <c r="K87" s="18">
        <f>+K86-9</f>
        <v>42.761001999999998</v>
      </c>
      <c r="L87" s="18">
        <f t="shared" si="33"/>
        <v>7.5540131079195145</v>
      </c>
      <c r="M87" s="228">
        <f>+(L87-L85)/L85</f>
        <v>-0.2399530673129498</v>
      </c>
    </row>
    <row r="88" spans="9:13" ht="15.75" customHeight="1" x14ac:dyDescent="0.25"/>
    <row r="89" spans="9:13" ht="15.75" customHeight="1" x14ac:dyDescent="0.25"/>
    <row r="90" spans="9:13" ht="15.75" customHeight="1" x14ac:dyDescent="0.25"/>
    <row r="91" spans="9:13" ht="15.75" customHeight="1" x14ac:dyDescent="0.25">
      <c r="I91" s="12" t="s">
        <v>837</v>
      </c>
      <c r="J91" s="12">
        <v>5.6607000000000003</v>
      </c>
      <c r="K91" s="12" t="s">
        <v>829</v>
      </c>
    </row>
    <row r="92" spans="9:13" ht="15.75" customHeight="1" x14ac:dyDescent="0.25">
      <c r="J92" s="12" t="s">
        <v>832</v>
      </c>
      <c r="K92" s="12" t="s">
        <v>832</v>
      </c>
    </row>
    <row r="93" spans="9:13" ht="15.75" customHeight="1" x14ac:dyDescent="0.25">
      <c r="J93" s="12">
        <f>4.5/J91</f>
        <v>0.79495468758280774</v>
      </c>
      <c r="K93" s="12" t="s">
        <v>838</v>
      </c>
    </row>
    <row r="94" spans="9:13" ht="15.75" customHeight="1" x14ac:dyDescent="0.25">
      <c r="J94" s="12">
        <f>9/J91</f>
        <v>1.5899093751656155</v>
      </c>
      <c r="K94" s="12" t="s">
        <v>839</v>
      </c>
    </row>
    <row r="95" spans="9:13" ht="15.75" customHeight="1" x14ac:dyDescent="0.25"/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>
      <c r="I106" s="12" t="s">
        <v>840</v>
      </c>
    </row>
    <row r="107" spans="9:41" ht="15.75" customHeight="1" x14ac:dyDescent="0.25">
      <c r="J107" s="12">
        <v>2019</v>
      </c>
      <c r="K107" s="12">
        <v>2020</v>
      </c>
      <c r="L107" s="12">
        <v>2021</v>
      </c>
      <c r="M107" s="12">
        <v>2022</v>
      </c>
      <c r="N107" s="12">
        <v>2023</v>
      </c>
      <c r="O107" s="12">
        <v>2024</v>
      </c>
      <c r="P107" s="12">
        <v>2025</v>
      </c>
      <c r="Q107" s="12">
        <v>2026</v>
      </c>
      <c r="R107" s="12">
        <v>2027</v>
      </c>
      <c r="S107" s="12">
        <v>2028</v>
      </c>
      <c r="T107" s="12">
        <v>2029</v>
      </c>
      <c r="U107" s="12">
        <v>2030</v>
      </c>
      <c r="V107" s="12">
        <v>2031</v>
      </c>
      <c r="W107" s="12">
        <v>2032</v>
      </c>
      <c r="X107" s="12">
        <v>2033</v>
      </c>
      <c r="Y107" s="12">
        <v>2034</v>
      </c>
      <c r="Z107" s="12">
        <v>2035</v>
      </c>
      <c r="AA107" s="12">
        <v>2036</v>
      </c>
      <c r="AB107" s="12">
        <v>2037</v>
      </c>
      <c r="AC107" s="12">
        <v>2038</v>
      </c>
      <c r="AD107" s="12">
        <v>2039</v>
      </c>
      <c r="AE107" s="12">
        <v>2040</v>
      </c>
      <c r="AF107" s="12">
        <v>2041</v>
      </c>
      <c r="AG107" s="12">
        <v>2042</v>
      </c>
      <c r="AH107" s="12">
        <v>2043</v>
      </c>
      <c r="AI107" s="12">
        <v>2044</v>
      </c>
      <c r="AJ107" s="12">
        <v>2045</v>
      </c>
      <c r="AK107" s="12">
        <v>2046</v>
      </c>
      <c r="AL107" s="12">
        <v>2047</v>
      </c>
      <c r="AM107" s="12">
        <v>2048</v>
      </c>
      <c r="AN107" s="12">
        <v>2049</v>
      </c>
      <c r="AO107" s="12">
        <v>2050</v>
      </c>
    </row>
    <row r="108" spans="9:41" ht="15.75" customHeight="1" x14ac:dyDescent="0.25">
      <c r="I108" s="12" t="s">
        <v>8</v>
      </c>
      <c r="J108" s="229">
        <v>22.152425999999998</v>
      </c>
      <c r="K108" s="230">
        <v>21.94087</v>
      </c>
      <c r="L108" s="229">
        <v>21.968945999999999</v>
      </c>
      <c r="M108" s="230">
        <v>21.978165000000001</v>
      </c>
      <c r="N108" s="229">
        <v>21.894269999999999</v>
      </c>
      <c r="O108" s="230">
        <v>21.607965</v>
      </c>
      <c r="P108" s="229">
        <v>21.857471</v>
      </c>
      <c r="Q108" s="230">
        <v>22.043116000000001</v>
      </c>
      <c r="R108" s="229">
        <v>22.312280999999999</v>
      </c>
      <c r="S108" s="230">
        <v>22.424955000000001</v>
      </c>
      <c r="T108" s="229">
        <v>22.720831</v>
      </c>
      <c r="U108" s="230">
        <v>23.424423000000001</v>
      </c>
      <c r="V108" s="229">
        <v>23.588041</v>
      </c>
      <c r="W108" s="230">
        <v>23.796983999999998</v>
      </c>
      <c r="X108" s="229">
        <v>24.220589</v>
      </c>
      <c r="Y108" s="230">
        <v>24.608730000000001</v>
      </c>
      <c r="Z108" s="229">
        <v>24.865734</v>
      </c>
      <c r="AA108" s="230">
        <v>25.162941</v>
      </c>
      <c r="AB108" s="229">
        <v>25.240604000000001</v>
      </c>
      <c r="AC108" s="230">
        <v>25.517137999999999</v>
      </c>
      <c r="AD108" s="229">
        <v>25.858951999999999</v>
      </c>
      <c r="AE108" s="230">
        <v>25.951355</v>
      </c>
      <c r="AF108" s="229">
        <v>26.136623</v>
      </c>
      <c r="AG108" s="230">
        <v>26.539719000000002</v>
      </c>
      <c r="AH108" s="229">
        <v>26.75515</v>
      </c>
      <c r="AI108" s="230">
        <v>26.964805999999999</v>
      </c>
      <c r="AJ108" s="229">
        <v>27.311302000000001</v>
      </c>
      <c r="AK108" s="230">
        <v>27.396849</v>
      </c>
      <c r="AL108" s="229">
        <v>27.872745999999999</v>
      </c>
      <c r="AM108" s="230">
        <v>28.194441000000001</v>
      </c>
      <c r="AN108" s="229">
        <v>28.439672000000002</v>
      </c>
      <c r="AO108" s="230">
        <v>28.648949000000002</v>
      </c>
    </row>
    <row r="109" spans="9:41" ht="15.75" customHeight="1" x14ac:dyDescent="0.25">
      <c r="I109" s="12" t="s">
        <v>14</v>
      </c>
      <c r="J109" s="229">
        <v>22.055973000000002</v>
      </c>
      <c r="K109" s="230">
        <v>21.332649</v>
      </c>
      <c r="L109" s="229">
        <v>21.307634</v>
      </c>
      <c r="M109" s="230">
        <v>21.509706000000001</v>
      </c>
      <c r="N109" s="229">
        <v>21.507311000000001</v>
      </c>
      <c r="O109" s="230">
        <v>21.769124999999999</v>
      </c>
      <c r="P109" s="229">
        <v>21.766514000000001</v>
      </c>
      <c r="Q109" s="230">
        <v>22.167186999999998</v>
      </c>
      <c r="R109" s="229">
        <v>22.215661999999998</v>
      </c>
      <c r="S109" s="230">
        <v>22.559709999999999</v>
      </c>
      <c r="T109" s="229">
        <v>22.7668</v>
      </c>
      <c r="U109" s="230">
        <v>23.137453000000001</v>
      </c>
      <c r="V109" s="229">
        <v>23.400127000000001</v>
      </c>
      <c r="W109" s="230">
        <v>23.565245000000001</v>
      </c>
      <c r="X109" s="229">
        <v>23.939878</v>
      </c>
      <c r="Y109" s="230">
        <v>24.132757000000002</v>
      </c>
      <c r="Z109" s="229">
        <v>24.353363000000002</v>
      </c>
      <c r="AA109" s="230">
        <v>24.599989000000001</v>
      </c>
      <c r="AB109" s="229">
        <v>24.760366000000001</v>
      </c>
      <c r="AC109" s="230">
        <v>24.966681000000001</v>
      </c>
      <c r="AD109" s="229">
        <v>25.188585</v>
      </c>
      <c r="AE109" s="230">
        <v>25.189914999999999</v>
      </c>
      <c r="AF109" s="229">
        <v>25.361546000000001</v>
      </c>
      <c r="AG109" s="230">
        <v>25.739941000000002</v>
      </c>
      <c r="AH109" s="229">
        <v>25.903061000000001</v>
      </c>
      <c r="AI109" s="230">
        <v>26.101400000000002</v>
      </c>
      <c r="AJ109" s="229">
        <v>26.471900999999999</v>
      </c>
      <c r="AK109" s="230">
        <v>26.487107999999999</v>
      </c>
      <c r="AL109" s="229">
        <v>26.746400999999999</v>
      </c>
      <c r="AM109" s="230">
        <v>26.985009999999999</v>
      </c>
      <c r="AN109" s="229">
        <v>27.152633999999999</v>
      </c>
      <c r="AO109" s="230">
        <v>27.305868</v>
      </c>
    </row>
    <row r="110" spans="9:41" ht="15.75" customHeight="1" x14ac:dyDescent="0.25">
      <c r="I110" s="12" t="s">
        <v>18</v>
      </c>
      <c r="J110" s="229">
        <v>14.641048</v>
      </c>
      <c r="K110" s="230">
        <v>14.449450000000001</v>
      </c>
      <c r="L110" s="229">
        <v>14.469915</v>
      </c>
      <c r="M110" s="230">
        <v>14.677915</v>
      </c>
      <c r="N110" s="229">
        <v>14.784328</v>
      </c>
      <c r="O110" s="230">
        <v>15.181978000000001</v>
      </c>
      <c r="P110" s="229">
        <v>15.254274000000001</v>
      </c>
      <c r="Q110" s="230">
        <v>15.71048</v>
      </c>
      <c r="R110" s="229">
        <v>15.739540999999999</v>
      </c>
      <c r="S110" s="230">
        <v>16.214652999999998</v>
      </c>
      <c r="T110" s="229">
        <v>16.425370999999998</v>
      </c>
      <c r="U110" s="230">
        <v>16.664819999999999</v>
      </c>
      <c r="V110" s="229">
        <v>17.012841999999999</v>
      </c>
      <c r="W110" s="230">
        <v>17.187419999999999</v>
      </c>
      <c r="X110" s="229">
        <v>17.583839000000001</v>
      </c>
      <c r="Y110" s="230">
        <v>17.868292</v>
      </c>
      <c r="Z110" s="229">
        <v>18.138349999999999</v>
      </c>
      <c r="AA110" s="230">
        <v>18.383088999999998</v>
      </c>
      <c r="AB110" s="229">
        <v>18.624289999999998</v>
      </c>
      <c r="AC110" s="230">
        <v>18.83005</v>
      </c>
      <c r="AD110" s="229">
        <v>19.106794000000001</v>
      </c>
      <c r="AE110" s="230">
        <v>19.197942999999999</v>
      </c>
      <c r="AF110" s="229">
        <v>19.450199000000001</v>
      </c>
      <c r="AG110" s="230">
        <v>19.834574</v>
      </c>
      <c r="AH110" s="229">
        <v>20.040814999999998</v>
      </c>
      <c r="AI110" s="230">
        <v>20.276285000000001</v>
      </c>
      <c r="AJ110" s="229">
        <v>20.70055</v>
      </c>
      <c r="AK110" s="230">
        <v>20.752966000000001</v>
      </c>
      <c r="AL110" s="229">
        <v>21.175343999999999</v>
      </c>
      <c r="AM110" s="230">
        <v>21.518598999999998</v>
      </c>
      <c r="AN110" s="229">
        <v>21.766680000000001</v>
      </c>
      <c r="AO110" s="230">
        <v>21.858753</v>
      </c>
    </row>
    <row r="111" spans="9:41" ht="15.75" customHeight="1" x14ac:dyDescent="0.25">
      <c r="I111" s="12" t="s">
        <v>22</v>
      </c>
      <c r="J111" s="229">
        <v>18.517337999999999</v>
      </c>
      <c r="K111" s="230">
        <v>17.795781999999999</v>
      </c>
      <c r="L111" s="229">
        <v>18.164116</v>
      </c>
      <c r="M111" s="230">
        <v>18.891821</v>
      </c>
      <c r="N111" s="229">
        <v>19.477640000000001</v>
      </c>
      <c r="O111" s="230">
        <v>20.115549000000001</v>
      </c>
      <c r="P111" s="229">
        <v>20.967055999999999</v>
      </c>
      <c r="Q111" s="230">
        <v>21.841379</v>
      </c>
      <c r="R111" s="229">
        <v>22.424021</v>
      </c>
      <c r="S111" s="230">
        <v>22.825673999999999</v>
      </c>
      <c r="T111" s="229">
        <v>23.067326999999999</v>
      </c>
      <c r="U111" s="230">
        <v>23.235030999999999</v>
      </c>
      <c r="V111" s="229">
        <v>23.271035999999999</v>
      </c>
      <c r="W111" s="230">
        <v>23.351419</v>
      </c>
      <c r="X111" s="229">
        <v>23.62575</v>
      </c>
      <c r="Y111" s="230">
        <v>23.87743</v>
      </c>
      <c r="Z111" s="229">
        <v>24.152052000000001</v>
      </c>
      <c r="AA111" s="230">
        <v>24.470886</v>
      </c>
      <c r="AB111" s="229">
        <v>24.818118999999999</v>
      </c>
      <c r="AC111" s="230">
        <v>25.156732999999999</v>
      </c>
      <c r="AD111" s="229">
        <v>25.476082000000002</v>
      </c>
      <c r="AE111" s="230">
        <v>25.756554000000001</v>
      </c>
      <c r="AF111" s="229">
        <v>26.017603000000001</v>
      </c>
      <c r="AG111" s="230">
        <v>26.396612000000001</v>
      </c>
      <c r="AH111" s="229">
        <v>26.704369</v>
      </c>
      <c r="AI111" s="230">
        <v>27.004362</v>
      </c>
      <c r="AJ111" s="229">
        <v>27.302423000000001</v>
      </c>
      <c r="AK111" s="230">
        <v>27.590530000000001</v>
      </c>
      <c r="AL111" s="229">
        <v>27.952341000000001</v>
      </c>
      <c r="AM111" s="230">
        <v>28.331855999999998</v>
      </c>
      <c r="AN111" s="229">
        <v>28.642916</v>
      </c>
      <c r="AO111" s="230">
        <v>28.935759999999998</v>
      </c>
    </row>
    <row r="112" spans="9:41" ht="15.75" customHeight="1" x14ac:dyDescent="0.25">
      <c r="I112" s="12" t="s">
        <v>26</v>
      </c>
      <c r="J112" s="229">
        <v>9.7503069999999994</v>
      </c>
      <c r="K112" s="230">
        <v>10.19247</v>
      </c>
      <c r="L112" s="229">
        <v>10.271381</v>
      </c>
      <c r="M112" s="230">
        <v>10.173702</v>
      </c>
      <c r="N112" s="229">
        <v>9.1834290000000003</v>
      </c>
      <c r="O112" s="230">
        <v>9.5545159999999996</v>
      </c>
      <c r="P112" s="229">
        <v>9.8769209999999994</v>
      </c>
      <c r="Q112" s="230">
        <v>10.457724000000001</v>
      </c>
      <c r="R112" s="229">
        <v>11.210336</v>
      </c>
      <c r="S112" s="230">
        <v>11.536975999999999</v>
      </c>
      <c r="T112" s="229">
        <v>11.842731000000001</v>
      </c>
      <c r="U112" s="230">
        <v>11.37082</v>
      </c>
      <c r="V112" s="229">
        <v>11.605115</v>
      </c>
      <c r="W112" s="230">
        <v>11.676685000000001</v>
      </c>
      <c r="X112" s="229">
        <v>11.933399</v>
      </c>
      <c r="Y112" s="230">
        <v>12.064242</v>
      </c>
      <c r="Z112" s="229">
        <v>12.697660000000001</v>
      </c>
      <c r="AA112" s="230">
        <v>13.116432</v>
      </c>
      <c r="AB112" s="229">
        <v>13.224297</v>
      </c>
      <c r="AC112" s="230">
        <v>13.736769000000001</v>
      </c>
      <c r="AD112" s="229">
        <v>13.914393</v>
      </c>
      <c r="AE112" s="230">
        <v>14.113455</v>
      </c>
      <c r="AF112" s="229">
        <v>14.229108</v>
      </c>
      <c r="AG112" s="230">
        <v>14.283981000000001</v>
      </c>
      <c r="AH112" s="229">
        <v>14.843826</v>
      </c>
      <c r="AI112" s="230">
        <v>15.073577</v>
      </c>
      <c r="AJ112" s="229">
        <v>15.086976</v>
      </c>
      <c r="AK112" s="230">
        <v>15.677839000000001</v>
      </c>
      <c r="AL112" s="229">
        <v>15.942997</v>
      </c>
      <c r="AM112" s="230">
        <v>16.146730000000002</v>
      </c>
      <c r="AN112" s="229">
        <v>16.344221000000001</v>
      </c>
      <c r="AO112" s="230">
        <v>15.920506</v>
      </c>
    </row>
    <row r="113" spans="8:41" ht="15.75" customHeight="1" x14ac:dyDescent="0.25">
      <c r="I113" s="12" t="s">
        <v>30</v>
      </c>
      <c r="J113" s="12">
        <v>16.336877005347596</v>
      </c>
      <c r="K113" s="12">
        <v>15.906911905432029</v>
      </c>
      <c r="L113" s="12">
        <v>16.583545735997749</v>
      </c>
      <c r="M113" s="12">
        <v>17.425744441317196</v>
      </c>
      <c r="N113" s="12">
        <v>17.265841823810863</v>
      </c>
      <c r="O113" s="12">
        <v>17.183804109203489</v>
      </c>
      <c r="P113" s="12">
        <v>17.76969997185477</v>
      </c>
      <c r="Q113" s="12">
        <v>17.949379116239797</v>
      </c>
      <c r="R113" s="12">
        <v>18.489267661131436</v>
      </c>
      <c r="S113" s="12">
        <v>19.181316070925977</v>
      </c>
      <c r="T113" s="12">
        <v>19.59553560371517</v>
      </c>
      <c r="U113" s="12">
        <v>20.679272727272728</v>
      </c>
      <c r="V113" s="12">
        <v>20.745623979735434</v>
      </c>
      <c r="W113" s="12">
        <v>20.815344216155363</v>
      </c>
      <c r="X113" s="12">
        <v>20.860866873065014</v>
      </c>
      <c r="Y113" s="12">
        <v>20.756759358288768</v>
      </c>
      <c r="Z113" s="12">
        <v>20.835061638052352</v>
      </c>
      <c r="AA113" s="12">
        <v>20.885974669293553</v>
      </c>
      <c r="AB113" s="12">
        <v>20.979112299465239</v>
      </c>
      <c r="AC113" s="12">
        <v>21.052343371798479</v>
      </c>
      <c r="AD113" s="12">
        <v>21.330976076555025</v>
      </c>
      <c r="AE113" s="12">
        <v>21.42243512524627</v>
      </c>
      <c r="AF113" s="12">
        <v>21.491599774838164</v>
      </c>
      <c r="AG113" s="12">
        <v>21.928314663664509</v>
      </c>
      <c r="AH113" s="12">
        <v>22.202857303687022</v>
      </c>
      <c r="AI113" s="12">
        <v>22.659845201238387</v>
      </c>
      <c r="AJ113" s="12">
        <v>22.587926259499014</v>
      </c>
      <c r="AK113" s="12">
        <v>22.963514776245425</v>
      </c>
      <c r="AL113" s="12">
        <v>23.469701660568532</v>
      </c>
      <c r="AM113" s="12">
        <v>23.726725584013508</v>
      </c>
      <c r="AN113" s="12">
        <v>24.321664508865748</v>
      </c>
      <c r="AO113" s="12">
        <v>25.480807768083309</v>
      </c>
    </row>
    <row r="114" spans="8:41" ht="15.75" customHeight="1" x14ac:dyDescent="0.25">
      <c r="I114" s="12" t="s">
        <v>32</v>
      </c>
      <c r="J114" s="12">
        <v>28.503195372270948</v>
      </c>
      <c r="K114" s="12">
        <v>27.56843519236628</v>
      </c>
      <c r="L114" s="12">
        <v>27.536108011323876</v>
      </c>
      <c r="M114" s="12">
        <v>27.797248052403248</v>
      </c>
      <c r="N114" s="12">
        <v>27.794152965511518</v>
      </c>
      <c r="O114" s="12">
        <v>28.132498301407413</v>
      </c>
      <c r="P114" s="12">
        <v>28.129124075155097</v>
      </c>
      <c r="Q114" s="12">
        <v>28.646918542866576</v>
      </c>
      <c r="R114" s="12">
        <v>28.709563360017508</v>
      </c>
      <c r="S114" s="12">
        <v>29.154180668963214</v>
      </c>
      <c r="T114" s="12">
        <v>29.421805530928889</v>
      </c>
      <c r="U114" s="12">
        <v>29.90080479676578</v>
      </c>
      <c r="V114" s="12">
        <v>30.240261520856617</v>
      </c>
      <c r="W114" s="12">
        <v>30.453645469661708</v>
      </c>
      <c r="X114" s="12">
        <v>30.937788136679849</v>
      </c>
      <c r="Y114" s="12">
        <v>31.187047954880036</v>
      </c>
      <c r="Z114" s="12">
        <v>31.472139703872259</v>
      </c>
      <c r="AA114" s="12">
        <v>31.79085740732074</v>
      </c>
      <c r="AB114" s="12">
        <v>31.99811450562326</v>
      </c>
      <c r="AC114" s="12">
        <v>32.264737825901626</v>
      </c>
      <c r="AD114" s="12">
        <v>32.551506995681095</v>
      </c>
      <c r="AE114" s="12">
        <v>32.553225770447689</v>
      </c>
      <c r="AF114" s="12">
        <v>32.775026546361701</v>
      </c>
      <c r="AG114" s="12">
        <v>33.264030890576777</v>
      </c>
      <c r="AH114" s="12">
        <v>33.474832800296412</v>
      </c>
      <c r="AI114" s="12">
        <v>33.731148641222632</v>
      </c>
      <c r="AJ114" s="12">
        <v>34.209951475657626</v>
      </c>
      <c r="AK114" s="12">
        <v>34.229603662030271</v>
      </c>
      <c r="AL114" s="12">
        <v>34.564691079740761</v>
      </c>
      <c r="AM114" s="12">
        <v>34.873048319051037</v>
      </c>
      <c r="AN114" s="12">
        <v>35.089670801363731</v>
      </c>
      <c r="AO114" s="12">
        <v>35.287696916088954</v>
      </c>
    </row>
    <row r="115" spans="8:41" ht="15.75" customHeight="1" x14ac:dyDescent="0.25">
      <c r="I115" s="12" t="s">
        <v>7</v>
      </c>
      <c r="J115" s="229">
        <v>5.0316960000000002</v>
      </c>
      <c r="K115" s="230">
        <v>4.7607179999999998</v>
      </c>
      <c r="L115" s="229">
        <v>4.8476780000000002</v>
      </c>
      <c r="M115" s="230">
        <v>4.8332069999999998</v>
      </c>
      <c r="N115" s="229">
        <v>4.8686489999999996</v>
      </c>
      <c r="O115" s="230">
        <v>4.9797479999999998</v>
      </c>
      <c r="P115" s="229">
        <v>5.198734</v>
      </c>
      <c r="Q115" s="230">
        <v>5.4027200000000004</v>
      </c>
      <c r="R115" s="229">
        <v>5.5522840000000002</v>
      </c>
      <c r="S115" s="230">
        <v>5.6320800000000002</v>
      </c>
      <c r="T115" s="229">
        <v>5.6439170000000001</v>
      </c>
      <c r="U115" s="230">
        <v>5.6790589999999996</v>
      </c>
      <c r="V115" s="229">
        <v>5.6373389999999999</v>
      </c>
      <c r="W115" s="230">
        <v>5.6477459999999997</v>
      </c>
      <c r="X115" s="229">
        <v>5.7140750000000002</v>
      </c>
      <c r="Y115" s="230">
        <v>5.7420039999999997</v>
      </c>
      <c r="Z115" s="229">
        <v>5.739636</v>
      </c>
      <c r="AA115" s="230">
        <v>5.7297529999999997</v>
      </c>
      <c r="AB115" s="229">
        <v>5.7619749999999996</v>
      </c>
      <c r="AC115" s="230">
        <v>5.7804820000000001</v>
      </c>
      <c r="AD115" s="229">
        <v>5.7848649999999999</v>
      </c>
      <c r="AE115" s="230">
        <v>5.7817970000000001</v>
      </c>
      <c r="AF115" s="229">
        <v>5.7831630000000001</v>
      </c>
      <c r="AG115" s="230">
        <v>5.7969949999999999</v>
      </c>
      <c r="AH115" s="229">
        <v>5.8079429999999999</v>
      </c>
      <c r="AI115" s="230">
        <v>5.8250010000000003</v>
      </c>
      <c r="AJ115" s="229">
        <v>5.848293</v>
      </c>
      <c r="AK115" s="230">
        <v>5.8874190000000004</v>
      </c>
      <c r="AL115" s="229">
        <v>5.9310219999999996</v>
      </c>
      <c r="AM115" s="230">
        <v>5.9516270000000002</v>
      </c>
      <c r="AN115" s="229">
        <v>5.9727379999999997</v>
      </c>
      <c r="AO115" s="230">
        <v>6.0177839999999998</v>
      </c>
    </row>
    <row r="116" spans="8:41" ht="16.5" customHeight="1" x14ac:dyDescent="0.25">
      <c r="I116" s="12" t="s">
        <v>13</v>
      </c>
      <c r="J116" s="12">
        <f t="shared" ref="J116:AO116" si="34">+J119</f>
        <v>9.9389069659747609</v>
      </c>
      <c r="K116" s="12">
        <f t="shared" si="34"/>
        <v>9.3869901772428523</v>
      </c>
      <c r="L116" s="12">
        <f t="shared" si="34"/>
        <v>10.287079260646848</v>
      </c>
      <c r="M116" s="12">
        <f t="shared" si="34"/>
        <v>10.535673289409495</v>
      </c>
      <c r="N116" s="12">
        <f t="shared" si="34"/>
        <v>10.74174170797278</v>
      </c>
      <c r="O116" s="12">
        <f t="shared" si="34"/>
        <v>11.129993971580372</v>
      </c>
      <c r="P116" s="12">
        <f t="shared" si="34"/>
        <v>11.404622491095539</v>
      </c>
      <c r="Q116" s="12">
        <f t="shared" si="34"/>
        <v>11.693615001593368</v>
      </c>
      <c r="R116" s="12">
        <f t="shared" si="34"/>
        <v>11.97288183063062</v>
      </c>
      <c r="S116" s="12">
        <f t="shared" si="34"/>
        <v>12.106750658115047</v>
      </c>
      <c r="T116" s="12">
        <f t="shared" si="34"/>
        <v>12.377995487022886</v>
      </c>
      <c r="U116" s="12">
        <f t="shared" si="34"/>
        <v>12.602511149398413</v>
      </c>
      <c r="V116" s="12">
        <f t="shared" si="34"/>
        <v>12.89947849257279</v>
      </c>
      <c r="W116" s="12">
        <f t="shared" si="34"/>
        <v>13.05019617018589</v>
      </c>
      <c r="X116" s="12">
        <f t="shared" si="34"/>
        <v>13.528408425775462</v>
      </c>
      <c r="Y116" s="12">
        <f t="shared" si="34"/>
        <v>13.746138157938017</v>
      </c>
      <c r="Z116" s="12">
        <f t="shared" si="34"/>
        <v>14.018754906092827</v>
      </c>
      <c r="AA116" s="12">
        <f t="shared" si="34"/>
        <v>14.383410900612422</v>
      </c>
      <c r="AB116" s="12">
        <f t="shared" si="34"/>
        <v>14.451363477705129</v>
      </c>
      <c r="AC116" s="12">
        <f t="shared" si="34"/>
        <v>14.722348267322275</v>
      </c>
      <c r="AD116" s="12">
        <f t="shared" si="34"/>
        <v>14.97849385828558</v>
      </c>
      <c r="AE116" s="12">
        <f t="shared" si="34"/>
        <v>15.146069572197943</v>
      </c>
      <c r="AF116" s="12">
        <f t="shared" si="34"/>
        <v>15.324567642948036</v>
      </c>
      <c r="AG116" s="12">
        <f t="shared" si="34"/>
        <v>15.726956186501802</v>
      </c>
      <c r="AH116" s="12">
        <f t="shared" si="34"/>
        <v>15.920432485064548</v>
      </c>
      <c r="AI116" s="12">
        <f t="shared" si="34"/>
        <v>16.14669086999627</v>
      </c>
      <c r="AJ116" s="12">
        <f t="shared" si="34"/>
        <v>16.491298400506025</v>
      </c>
      <c r="AK116" s="12">
        <f t="shared" si="34"/>
        <v>16.614746224078669</v>
      </c>
      <c r="AL116" s="12">
        <f t="shared" si="34"/>
        <v>17.032564177747016</v>
      </c>
      <c r="AM116" s="12">
        <f t="shared" si="34"/>
        <v>17.354044993811897</v>
      </c>
      <c r="AN116" s="12">
        <f t="shared" si="34"/>
        <v>17.615031873336019</v>
      </c>
      <c r="AO116" s="12">
        <f t="shared" si="34"/>
        <v>17.793513868287572</v>
      </c>
    </row>
    <row r="117" spans="8:41" ht="15.75" customHeight="1" x14ac:dyDescent="0.25">
      <c r="I117" s="12" t="s">
        <v>17</v>
      </c>
      <c r="J117" s="12">
        <f t="shared" ref="J117:AO117" si="35">+J116*(100%+$M$86)</f>
        <v>9.143949895233531</v>
      </c>
      <c r="K117" s="12">
        <f t="shared" si="35"/>
        <v>8.6361778152875335</v>
      </c>
      <c r="L117" s="12">
        <f t="shared" si="35"/>
        <v>9.4642738532189661</v>
      </c>
      <c r="M117" s="12">
        <f t="shared" si="35"/>
        <v>9.6929842487425191</v>
      </c>
      <c r="N117" s="12">
        <f t="shared" si="35"/>
        <v>9.8825704176022739</v>
      </c>
      <c r="O117" s="12">
        <f t="shared" si="35"/>
        <v>10.239768574028588</v>
      </c>
      <c r="P117" s="12">
        <f t="shared" si="35"/>
        <v>10.492431108333994</v>
      </c>
      <c r="Q117" s="12">
        <f t="shared" si="35"/>
        <v>10.758308739057016</v>
      </c>
      <c r="R117" s="12">
        <f t="shared" si="35"/>
        <v>11.015238590685517</v>
      </c>
      <c r="S117" s="12">
        <f t="shared" si="35"/>
        <v>11.138400006245785</v>
      </c>
      <c r="T117" s="12">
        <f t="shared" si="35"/>
        <v>11.387949492257221</v>
      </c>
      <c r="U117" s="12">
        <f t="shared" si="35"/>
        <v>11.594507414017146</v>
      </c>
      <c r="V117" s="12">
        <f t="shared" si="35"/>
        <v>11.8677220155627</v>
      </c>
      <c r="W117" s="12">
        <f t="shared" si="35"/>
        <v>12.006384636828617</v>
      </c>
      <c r="X117" s="12">
        <f t="shared" si="35"/>
        <v>12.446347393233069</v>
      </c>
      <c r="Y117" s="12">
        <f t="shared" si="35"/>
        <v>12.646662153036411</v>
      </c>
      <c r="Z117" s="12">
        <f t="shared" si="35"/>
        <v>12.897473826217679</v>
      </c>
      <c r="AA117" s="12">
        <f t="shared" si="35"/>
        <v>13.232963045937597</v>
      </c>
      <c r="AB117" s="12">
        <f t="shared" si="35"/>
        <v>13.295480479928566</v>
      </c>
      <c r="AC117" s="12">
        <f t="shared" si="35"/>
        <v>13.544790725724448</v>
      </c>
      <c r="AD117" s="12">
        <f t="shared" si="35"/>
        <v>13.780448676610977</v>
      </c>
      <c r="AE117" s="12">
        <f t="shared" si="35"/>
        <v>13.934620955003197</v>
      </c>
      <c r="AF117" s="12">
        <f t="shared" si="35"/>
        <v>14.098841972557979</v>
      </c>
      <c r="AG117" s="12">
        <f t="shared" si="35"/>
        <v>14.469045727685973</v>
      </c>
      <c r="AH117" s="12">
        <f t="shared" si="35"/>
        <v>14.647046949151225</v>
      </c>
      <c r="AI117" s="12">
        <f t="shared" si="35"/>
        <v>14.855208202926399</v>
      </c>
      <c r="AJ117" s="12">
        <f t="shared" si="35"/>
        <v>15.172252522114501</v>
      </c>
      <c r="AK117" s="12">
        <f t="shared" si="35"/>
        <v>15.285826451047358</v>
      </c>
      <c r="AL117" s="12">
        <f t="shared" si="35"/>
        <v>15.670225504861991</v>
      </c>
      <c r="AM117" s="12">
        <f t="shared" si="35"/>
        <v>15.965992884961192</v>
      </c>
      <c r="AN117" s="12">
        <f t="shared" si="35"/>
        <v>16.206104897061898</v>
      </c>
      <c r="AO117" s="12">
        <f t="shared" si="35"/>
        <v>16.370311124630533</v>
      </c>
    </row>
    <row r="118" spans="8:41" ht="15.75" customHeight="1" x14ac:dyDescent="0.25">
      <c r="I118" s="12" t="s">
        <v>841</v>
      </c>
      <c r="J118" s="12">
        <f t="shared" ref="J118:AO118" si="36">+J116*(100%+$M$87)</f>
        <v>7.5540357537510738</v>
      </c>
      <c r="K118" s="12">
        <f t="shared" si="36"/>
        <v>7.1345530913769002</v>
      </c>
      <c r="L118" s="12">
        <f t="shared" si="36"/>
        <v>7.8186630383632059</v>
      </c>
      <c r="M118" s="12">
        <f t="shared" si="36"/>
        <v>8.0076061674085715</v>
      </c>
      <c r="N118" s="12">
        <f t="shared" si="36"/>
        <v>8.1642278368612686</v>
      </c>
      <c r="O118" s="12">
        <f t="shared" si="36"/>
        <v>8.4593177789250227</v>
      </c>
      <c r="P118" s="12">
        <f t="shared" si="36"/>
        <v>8.668048342810911</v>
      </c>
      <c r="Q118" s="12">
        <f t="shared" si="36"/>
        <v>8.8876962139843165</v>
      </c>
      <c r="R118" s="12">
        <f t="shared" si="36"/>
        <v>9.0999521107953179</v>
      </c>
      <c r="S118" s="12">
        <f t="shared" si="36"/>
        <v>9.2016987025072687</v>
      </c>
      <c r="T118" s="12">
        <f t="shared" si="36"/>
        <v>9.4078575027258964</v>
      </c>
      <c r="U118" s="12">
        <f t="shared" si="36"/>
        <v>9.5784999432546165</v>
      </c>
      <c r="V118" s="12">
        <f t="shared" si="36"/>
        <v>9.8042090615425241</v>
      </c>
      <c r="W118" s="12">
        <f t="shared" si="36"/>
        <v>9.9187615701140768</v>
      </c>
      <c r="X118" s="12">
        <f t="shared" si="36"/>
        <v>10.282225328148286</v>
      </c>
      <c r="Y118" s="12">
        <f t="shared" si="36"/>
        <v>10.447710143233209</v>
      </c>
      <c r="Z118" s="12">
        <f t="shared" si="36"/>
        <v>10.65491166646739</v>
      </c>
      <c r="AA118" s="12">
        <f t="shared" si="36"/>
        <v>10.932067336587954</v>
      </c>
      <c r="AB118" s="12">
        <f t="shared" si="36"/>
        <v>10.983714484375447</v>
      </c>
      <c r="AC118" s="12">
        <f t="shared" si="36"/>
        <v>11.189675642528805</v>
      </c>
      <c r="AD118" s="12">
        <f t="shared" si="36"/>
        <v>11.384358313261776</v>
      </c>
      <c r="AE118" s="12">
        <f t="shared" si="36"/>
        <v>11.511723720613711</v>
      </c>
      <c r="AF118" s="12">
        <f t="shared" si="36"/>
        <v>11.647390631777874</v>
      </c>
      <c r="AG118" s="12">
        <f t="shared" si="36"/>
        <v>11.953224810054323</v>
      </c>
      <c r="AH118" s="12">
        <f t="shared" si="36"/>
        <v>12.100275877324583</v>
      </c>
      <c r="AI118" s="12">
        <f t="shared" si="36"/>
        <v>12.272242868786664</v>
      </c>
      <c r="AJ118" s="12">
        <f t="shared" si="36"/>
        <v>12.534160765331462</v>
      </c>
      <c r="AK118" s="12">
        <f t="shared" si="36"/>
        <v>12.627986904984743</v>
      </c>
      <c r="AL118" s="12">
        <f t="shared" si="36"/>
        <v>12.945548159091949</v>
      </c>
      <c r="AM118" s="12">
        <f t="shared" si="36"/>
        <v>13.189888667259792</v>
      </c>
      <c r="AN118" s="12">
        <f t="shared" si="36"/>
        <v>13.388250944513667</v>
      </c>
      <c r="AO118" s="12">
        <f t="shared" si="36"/>
        <v>13.52390563731646</v>
      </c>
    </row>
    <row r="119" spans="8:41" ht="15.75" customHeight="1" x14ac:dyDescent="0.25">
      <c r="I119" s="12" t="s">
        <v>832</v>
      </c>
      <c r="J119" s="12">
        <v>9.9389069659747609</v>
      </c>
      <c r="K119" s="12">
        <v>9.3869901772428523</v>
      </c>
      <c r="L119" s="12">
        <v>10.287079260646848</v>
      </c>
      <c r="M119" s="12">
        <v>10.535673289409495</v>
      </c>
      <c r="N119" s="12">
        <v>10.74174170797278</v>
      </c>
      <c r="O119" s="12">
        <v>11.129993971580372</v>
      </c>
      <c r="P119" s="12">
        <v>11.404622491095539</v>
      </c>
      <c r="Q119" s="12">
        <v>11.693615001593368</v>
      </c>
      <c r="R119" s="12">
        <v>11.97288183063062</v>
      </c>
      <c r="S119" s="12">
        <v>12.106750658115047</v>
      </c>
      <c r="T119" s="12">
        <v>12.377995487022886</v>
      </c>
      <c r="U119" s="12">
        <v>12.602511149398413</v>
      </c>
      <c r="V119" s="12">
        <v>12.89947849257279</v>
      </c>
      <c r="W119" s="12">
        <v>13.05019617018589</v>
      </c>
      <c r="X119" s="12">
        <v>13.528408425775462</v>
      </c>
      <c r="Y119" s="12">
        <v>13.746138157938017</v>
      </c>
      <c r="Z119" s="12">
        <v>14.018754906092827</v>
      </c>
      <c r="AA119" s="12">
        <v>14.383410900612422</v>
      </c>
      <c r="AB119" s="12">
        <v>14.451363477705129</v>
      </c>
      <c r="AC119" s="12">
        <v>14.722348267322275</v>
      </c>
      <c r="AD119" s="12">
        <v>14.97849385828558</v>
      </c>
      <c r="AE119" s="12">
        <v>15.146069572197943</v>
      </c>
      <c r="AF119" s="12">
        <v>15.324567642948036</v>
      </c>
      <c r="AG119" s="12">
        <v>15.726956186501802</v>
      </c>
      <c r="AH119" s="12">
        <v>15.920432485064548</v>
      </c>
      <c r="AI119" s="12">
        <v>16.14669086999627</v>
      </c>
      <c r="AJ119" s="12">
        <v>16.491298400506025</v>
      </c>
      <c r="AK119" s="12">
        <v>16.614746224078669</v>
      </c>
      <c r="AL119" s="12">
        <v>17.032564177747016</v>
      </c>
      <c r="AM119" s="12">
        <v>17.354044993811897</v>
      </c>
      <c r="AN119" s="12">
        <v>17.615031873336019</v>
      </c>
      <c r="AO119" s="12">
        <v>17.793513868287572</v>
      </c>
    </row>
    <row r="120" spans="8:41" ht="15.75" customHeight="1" x14ac:dyDescent="0.25">
      <c r="I120" s="12" t="s">
        <v>102</v>
      </c>
      <c r="J120" s="12">
        <v>22.631883642110068</v>
      </c>
      <c r="K120" s="12">
        <v>22.339540412044375</v>
      </c>
      <c r="L120" s="12">
        <v>22.078422999593137</v>
      </c>
      <c r="M120" s="12">
        <v>22.39579265822039</v>
      </c>
      <c r="N120" s="12">
        <v>22.558159280737229</v>
      </c>
      <c r="O120" s="12">
        <v>23.164899880511875</v>
      </c>
      <c r="P120" s="12">
        <v>23.275210249935512</v>
      </c>
      <c r="Q120" s="12">
        <v>23.971296511876403</v>
      </c>
      <c r="R120" s="12">
        <v>24.015638240959891</v>
      </c>
      <c r="S120" s="12">
        <v>24.740571573891199</v>
      </c>
      <c r="T120" s="12">
        <v>25.062088399499931</v>
      </c>
      <c r="U120" s="12">
        <v>25.42744343502223</v>
      </c>
      <c r="V120" s="12">
        <v>25.958460854900952</v>
      </c>
      <c r="W120" s="12">
        <v>26.224834702323204</v>
      </c>
      <c r="X120" s="12">
        <v>26.829697023012422</v>
      </c>
      <c r="Y120" s="12">
        <v>27.263719866788854</v>
      </c>
      <c r="Z120" s="12">
        <v>27.675778594046346</v>
      </c>
      <c r="AA120" s="12">
        <v>28.049205194444301</v>
      </c>
      <c r="AB120" s="12">
        <v>28.417233459014266</v>
      </c>
      <c r="AC120" s="12">
        <v>28.731185290548609</v>
      </c>
      <c r="AD120" s="12">
        <v>29.153445621352176</v>
      </c>
      <c r="AE120" s="12">
        <v>29.292522193535898</v>
      </c>
      <c r="AF120" s="12">
        <v>29.677418350298769</v>
      </c>
      <c r="AG120" s="12">
        <v>30.263903747100933</v>
      </c>
      <c r="AH120" s="12">
        <v>30.578589495970853</v>
      </c>
      <c r="AI120" s="12">
        <v>30.937873310956238</v>
      </c>
      <c r="AJ120" s="12">
        <v>31.585223494694176</v>
      </c>
      <c r="AK120" s="12">
        <v>31.665200648668247</v>
      </c>
      <c r="AL120" s="12">
        <v>32.309671618243542</v>
      </c>
      <c r="AM120" s="12">
        <v>32.833415474840166</v>
      </c>
      <c r="AN120" s="12">
        <v>33.211941351195492</v>
      </c>
      <c r="AO120" s="12">
        <v>33.352427777055048</v>
      </c>
    </row>
    <row r="121" spans="8:41" ht="15.75" customHeight="1" x14ac:dyDescent="0.25"/>
    <row r="122" spans="8:41" ht="15.75" customHeight="1" x14ac:dyDescent="0.25"/>
    <row r="123" spans="8:41" ht="15.75" customHeight="1" x14ac:dyDescent="0.25"/>
    <row r="124" spans="8:41" ht="15.75" customHeight="1" x14ac:dyDescent="0.25">
      <c r="I124" s="12" t="s">
        <v>842</v>
      </c>
    </row>
    <row r="125" spans="8:41" ht="15.75" customHeight="1" x14ac:dyDescent="0.25">
      <c r="J125" s="12">
        <v>2019</v>
      </c>
      <c r="K125" s="12">
        <v>2020</v>
      </c>
      <c r="L125" s="12">
        <v>2025</v>
      </c>
      <c r="M125" s="12">
        <v>2030</v>
      </c>
      <c r="N125" s="12">
        <v>2035</v>
      </c>
      <c r="O125" s="12">
        <v>2040</v>
      </c>
      <c r="P125" s="12">
        <v>2045</v>
      </c>
      <c r="Q125" s="12">
        <v>2050</v>
      </c>
    </row>
    <row r="126" spans="8:41" ht="15.75" customHeight="1" x14ac:dyDescent="0.25">
      <c r="H126" s="12" t="s">
        <v>8</v>
      </c>
      <c r="I126" s="12" t="s">
        <v>843</v>
      </c>
      <c r="J126" s="229">
        <f t="shared" ref="J126:K126" si="37">+J108*$R$3/1000000</f>
        <v>20.996445954041999</v>
      </c>
      <c r="K126" s="229">
        <f t="shared" si="37"/>
        <v>20.795929580790002</v>
      </c>
      <c r="L126" s="229">
        <f t="shared" ref="L126:L138" si="38">+P108*$R$3/1000000</f>
        <v>20.716882590807003</v>
      </c>
      <c r="M126" s="229">
        <f t="shared" ref="M126:M138" si="39">+U108*$R$3/1000000</f>
        <v>22.202066334591002</v>
      </c>
      <c r="N126" s="229">
        <f t="shared" ref="N126:N138" si="40">+Z108*$R$3/1000000</f>
        <v>23.568165402677998</v>
      </c>
      <c r="O126" s="229">
        <f t="shared" ref="O126:O138" si="41">+AE108*$R$3/1000000</f>
        <v>24.597135442035</v>
      </c>
      <c r="P126" s="229">
        <f t="shared" ref="P126:P138" si="42">+AJ108*$R$3/1000000</f>
        <v>25.886116327734001</v>
      </c>
      <c r="Q126" s="229">
        <f t="shared" ref="Q126:Q138" si="43">+AO108*$R$3/1000000</f>
        <v>27.153960894333</v>
      </c>
    </row>
    <row r="127" spans="8:41" ht="15.75" customHeight="1" x14ac:dyDescent="0.25">
      <c r="H127" s="12" t="s">
        <v>14</v>
      </c>
      <c r="I127" s="12" t="s">
        <v>63</v>
      </c>
      <c r="J127" s="229">
        <f t="shared" ref="J127:K127" si="44">+J109*$R$3/1000000</f>
        <v>20.905026160941002</v>
      </c>
      <c r="K127" s="229">
        <f t="shared" si="44"/>
        <v>20.219447377232999</v>
      </c>
      <c r="L127" s="229">
        <f t="shared" si="38"/>
        <v>20.630671999937999</v>
      </c>
      <c r="M127" s="229">
        <f t="shared" si="39"/>
        <v>21.930071290101001</v>
      </c>
      <c r="N127" s="229">
        <f t="shared" si="40"/>
        <v>23.082531458571001</v>
      </c>
      <c r="O127" s="229">
        <f t="shared" si="41"/>
        <v>23.875429665555</v>
      </c>
      <c r="P127" s="229">
        <f t="shared" si="42"/>
        <v>25.090517790116998</v>
      </c>
      <c r="Q127" s="229">
        <f t="shared" si="43"/>
        <v>25.880965890156002</v>
      </c>
    </row>
    <row r="128" spans="8:41" ht="15.75" customHeight="1" x14ac:dyDescent="0.25">
      <c r="H128" s="12" t="s">
        <v>18</v>
      </c>
      <c r="I128" s="12" t="s">
        <v>844</v>
      </c>
      <c r="J128" s="229">
        <f t="shared" ref="J128:K128" si="45">+J110*$R$3/1000000</f>
        <v>13.877034192216</v>
      </c>
      <c r="K128" s="229">
        <f t="shared" si="45"/>
        <v>13.695434350650002</v>
      </c>
      <c r="L128" s="229">
        <f t="shared" si="38"/>
        <v>14.458260219857999</v>
      </c>
      <c r="M128" s="229">
        <f t="shared" si="39"/>
        <v>15.795199697939999</v>
      </c>
      <c r="N128" s="229">
        <f t="shared" si="40"/>
        <v>17.191836481949998</v>
      </c>
      <c r="O128" s="229">
        <f t="shared" si="41"/>
        <v>18.196136740431001</v>
      </c>
      <c r="P128" s="229">
        <f t="shared" si="42"/>
        <v>19.62033319935</v>
      </c>
      <c r="Q128" s="229">
        <f t="shared" si="43"/>
        <v>20.718097692200999</v>
      </c>
    </row>
    <row r="129" spans="8:17" ht="15.75" customHeight="1" x14ac:dyDescent="0.25">
      <c r="H129" s="12" t="s">
        <v>22</v>
      </c>
      <c r="I129" s="12" t="s">
        <v>22</v>
      </c>
      <c r="J129" s="229">
        <f t="shared" ref="J129:K129" si="46">+J111*$R$3/1000000</f>
        <v>17.551047751146001</v>
      </c>
      <c r="K129" s="229">
        <f t="shared" si="46"/>
        <v>16.867144707893999</v>
      </c>
      <c r="L129" s="229">
        <f t="shared" si="38"/>
        <v>19.872932116751997</v>
      </c>
      <c r="M129" s="229">
        <f t="shared" si="39"/>
        <v>22.022557377326997</v>
      </c>
      <c r="N129" s="229">
        <f t="shared" si="40"/>
        <v>22.891725470484001</v>
      </c>
      <c r="O129" s="229">
        <f t="shared" si="41"/>
        <v>24.412499742618003</v>
      </c>
      <c r="P129" s="229">
        <f t="shared" si="42"/>
        <v>25.877700660591003</v>
      </c>
      <c r="Q129" s="229">
        <f t="shared" si="43"/>
        <v>27.425805235919999</v>
      </c>
    </row>
    <row r="130" spans="8:17" ht="15.75" customHeight="1" x14ac:dyDescent="0.25">
      <c r="H130" s="12" t="s">
        <v>26</v>
      </c>
      <c r="I130" s="12" t="s">
        <v>782</v>
      </c>
      <c r="J130" s="229">
        <f t="shared" ref="J130:K130" si="47">+J112*$R$3/1000000</f>
        <v>9.2415067298189992</v>
      </c>
      <c r="K130" s="229">
        <f t="shared" si="47"/>
        <v>9.6605963379900004</v>
      </c>
      <c r="L130" s="229">
        <f t="shared" si="38"/>
        <v>9.3615136314569991</v>
      </c>
      <c r="M130" s="229">
        <f t="shared" si="39"/>
        <v>10.777456499940001</v>
      </c>
      <c r="N130" s="229">
        <f t="shared" si="40"/>
        <v>12.03505800822</v>
      </c>
      <c r="O130" s="229">
        <f t="shared" si="41"/>
        <v>13.376972577735</v>
      </c>
      <c r="P130" s="229">
        <f t="shared" si="42"/>
        <v>14.299692331392</v>
      </c>
      <c r="Q130" s="229">
        <f t="shared" si="43"/>
        <v>15.089726235401999</v>
      </c>
    </row>
    <row r="131" spans="8:17" ht="15.75" customHeight="1" x14ac:dyDescent="0.25">
      <c r="H131" s="12" t="s">
        <v>30</v>
      </c>
      <c r="I131" s="12" t="s">
        <v>784</v>
      </c>
      <c r="J131" s="229">
        <f t="shared" ref="J131:K131" si="48">+J113*$R$3/1000000</f>
        <v>15.484369752577541</v>
      </c>
      <c r="K131" s="229">
        <f t="shared" si="48"/>
        <v>15.076841521470868</v>
      </c>
      <c r="L131" s="229">
        <f t="shared" si="38"/>
        <v>16.842423718223472</v>
      </c>
      <c r="M131" s="229">
        <f t="shared" si="39"/>
        <v>19.600166238545455</v>
      </c>
      <c r="N131" s="229">
        <f t="shared" si="40"/>
        <v>19.747825616593868</v>
      </c>
      <c r="O131" s="229">
        <f t="shared" si="41"/>
        <v>20.304548193105546</v>
      </c>
      <c r="P131" s="229">
        <f t="shared" si="42"/>
        <v>21.409220503499576</v>
      </c>
      <c r="Q131" s="229">
        <f t="shared" si="43"/>
        <v>24.151142776321418</v>
      </c>
    </row>
    <row r="132" spans="8:17" ht="15.75" customHeight="1" x14ac:dyDescent="0.25">
      <c r="H132" s="12" t="s">
        <v>32</v>
      </c>
      <c r="I132" s="12" t="s">
        <v>74</v>
      </c>
      <c r="J132" s="229">
        <f t="shared" ref="J132:K132" si="49">+J114*$R$3/1000000</f>
        <v>27.015813128159731</v>
      </c>
      <c r="K132" s="229">
        <f t="shared" si="49"/>
        <v>26.129831538723028</v>
      </c>
      <c r="L132" s="229">
        <f t="shared" si="38"/>
        <v>26.661261993541277</v>
      </c>
      <c r="M132" s="229">
        <f t="shared" si="39"/>
        <v>28.340491100056148</v>
      </c>
      <c r="N132" s="229">
        <f t="shared" si="40"/>
        <v>29.829829037705093</v>
      </c>
      <c r="O132" s="229">
        <f t="shared" si="41"/>
        <v>30.854500790068418</v>
      </c>
      <c r="P132" s="229">
        <f t="shared" si="42"/>
        <v>32.424773577803386</v>
      </c>
      <c r="Q132" s="229">
        <f t="shared" si="43"/>
        <v>33.446279027916688</v>
      </c>
    </row>
    <row r="133" spans="8:17" ht="15.75" customHeight="1" x14ac:dyDescent="0.25">
      <c r="H133" s="12" t="s">
        <v>7</v>
      </c>
      <c r="I133" s="12" t="s">
        <v>845</v>
      </c>
      <c r="J133" s="229">
        <f t="shared" ref="J133:K133" si="50">+J115*$R$3/1000000</f>
        <v>4.769127007632</v>
      </c>
      <c r="K133" s="229">
        <f t="shared" si="50"/>
        <v>4.5122894526059998</v>
      </c>
      <c r="L133" s="229">
        <f t="shared" si="38"/>
        <v>4.9274484636779992</v>
      </c>
      <c r="M133" s="229">
        <f t="shared" si="39"/>
        <v>5.3827086642029993</v>
      </c>
      <c r="N133" s="229">
        <f t="shared" si="40"/>
        <v>5.4401245746119997</v>
      </c>
      <c r="O133" s="229">
        <f t="shared" si="41"/>
        <v>5.4800854871490001</v>
      </c>
      <c r="P133" s="229">
        <f t="shared" si="42"/>
        <v>5.5431115263809998</v>
      </c>
      <c r="Q133" s="229">
        <f t="shared" si="43"/>
        <v>5.7037579775280003</v>
      </c>
    </row>
    <row r="134" spans="8:17" ht="15.75" customHeight="1" x14ac:dyDescent="0.25">
      <c r="H134" s="12" t="s">
        <v>13</v>
      </c>
      <c r="I134" s="12" t="s">
        <v>13</v>
      </c>
      <c r="J134" s="229">
        <f t="shared" ref="J134:K134" si="51">+J116*$R$3/1000000</f>
        <v>9.4202649837693002</v>
      </c>
      <c r="K134" s="229">
        <f t="shared" si="51"/>
        <v>8.8971488688237894</v>
      </c>
      <c r="L134" s="229">
        <f t="shared" si="38"/>
        <v>10.809495075642701</v>
      </c>
      <c r="M134" s="229">
        <f t="shared" si="39"/>
        <v>11.944874310089356</v>
      </c>
      <c r="N134" s="229">
        <f t="shared" si="40"/>
        <v>13.287214218828185</v>
      </c>
      <c r="O134" s="229">
        <f t="shared" si="41"/>
        <v>14.355702223711937</v>
      </c>
      <c r="P134" s="229">
        <f t="shared" si="42"/>
        <v>15.630732976072419</v>
      </c>
      <c r="Q134" s="229">
        <f t="shared" si="43"/>
        <v>16.864994934098721</v>
      </c>
    </row>
    <row r="135" spans="8:17" ht="15.75" customHeight="1" x14ac:dyDescent="0.25">
      <c r="H135" s="12" t="s">
        <v>17</v>
      </c>
      <c r="I135" s="12" t="s">
        <v>17</v>
      </c>
      <c r="J135" s="229">
        <f t="shared" ref="J135:K135" si="52">+J117*$R$3/1000000</f>
        <v>8.6667911578505592</v>
      </c>
      <c r="K135" s="229">
        <f t="shared" si="52"/>
        <v>8.1855161483523844</v>
      </c>
      <c r="L135" s="229">
        <f t="shared" si="38"/>
        <v>9.9449045758078007</v>
      </c>
      <c r="M135" s="229">
        <f t="shared" si="39"/>
        <v>10.989471233631489</v>
      </c>
      <c r="N135" s="229">
        <f t="shared" si="40"/>
        <v>12.224444949544161</v>
      </c>
      <c r="O135" s="229">
        <f t="shared" si="41"/>
        <v>13.207470629708267</v>
      </c>
      <c r="P135" s="229">
        <f t="shared" si="42"/>
        <v>14.380518868753001</v>
      </c>
      <c r="Q135" s="229">
        <f t="shared" si="43"/>
        <v>15.516059179213938</v>
      </c>
    </row>
    <row r="136" spans="8:17" ht="15.75" customHeight="1" x14ac:dyDescent="0.25">
      <c r="H136" s="12" t="s">
        <v>841</v>
      </c>
      <c r="I136" s="12" t="s">
        <v>841</v>
      </c>
      <c r="J136" s="229">
        <f t="shared" ref="J136:K136" si="53">+J118*$R$3/1000000</f>
        <v>7.1598435060130816</v>
      </c>
      <c r="K136" s="229">
        <f t="shared" si="53"/>
        <v>6.7622507074095797</v>
      </c>
      <c r="L136" s="229">
        <f t="shared" si="38"/>
        <v>8.215723576138009</v>
      </c>
      <c r="M136" s="229">
        <f t="shared" si="39"/>
        <v>9.0786650807157603</v>
      </c>
      <c r="N136" s="229">
        <f t="shared" si="40"/>
        <v>10.098906410976124</v>
      </c>
      <c r="O136" s="229">
        <f t="shared" si="41"/>
        <v>10.911007441700926</v>
      </c>
      <c r="P136" s="229">
        <f t="shared" si="42"/>
        <v>11.88009065411417</v>
      </c>
      <c r="Q136" s="229">
        <f t="shared" si="43"/>
        <v>12.818187669444375</v>
      </c>
    </row>
    <row r="137" spans="8:17" ht="15.75" customHeight="1" x14ac:dyDescent="0.25">
      <c r="H137" s="12" t="s">
        <v>832</v>
      </c>
      <c r="I137" s="12" t="s">
        <v>832</v>
      </c>
      <c r="J137" s="229">
        <f t="shared" ref="J137:K137" si="54">+J119*$R$3/1000000</f>
        <v>9.4202649837693002</v>
      </c>
      <c r="K137" s="229">
        <f t="shared" si="54"/>
        <v>8.8971488688237894</v>
      </c>
      <c r="L137" s="229">
        <f t="shared" si="38"/>
        <v>10.809495075642701</v>
      </c>
      <c r="M137" s="229">
        <f t="shared" si="39"/>
        <v>11.944874310089356</v>
      </c>
      <c r="N137" s="229">
        <f t="shared" si="40"/>
        <v>13.287214218828185</v>
      </c>
      <c r="O137" s="229">
        <f t="shared" si="41"/>
        <v>14.355702223711937</v>
      </c>
      <c r="P137" s="229">
        <f t="shared" si="42"/>
        <v>15.630732976072419</v>
      </c>
      <c r="Q137" s="229">
        <f t="shared" si="43"/>
        <v>16.864994934098721</v>
      </c>
    </row>
    <row r="138" spans="8:17" ht="15.75" customHeight="1" x14ac:dyDescent="0.25">
      <c r="H138" s="12" t="s">
        <v>102</v>
      </c>
      <c r="I138" s="12" t="s">
        <v>846</v>
      </c>
      <c r="J138" s="229">
        <f t="shared" ref="J138:K138" si="55">+J120*$R$3/1000000</f>
        <v>21.450884058013838</v>
      </c>
      <c r="K138" s="229">
        <f t="shared" si="55"/>
        <v>21.173796174722664</v>
      </c>
      <c r="L138" s="229">
        <f t="shared" si="38"/>
        <v>22.060639953463127</v>
      </c>
      <c r="M138" s="229">
        <f t="shared" si="39"/>
        <v>24.100563154252466</v>
      </c>
      <c r="N138" s="229">
        <f t="shared" si="40"/>
        <v>26.231573439673227</v>
      </c>
      <c r="O138" s="229">
        <f t="shared" si="41"/>
        <v>27.763950507910614</v>
      </c>
      <c r="P138" s="229">
        <f t="shared" si="42"/>
        <v>29.937011777070548</v>
      </c>
      <c r="Q138" s="229">
        <f t="shared" si="43"/>
        <v>31.611998038364984</v>
      </c>
    </row>
    <row r="139" spans="8:17" ht="15.75" customHeight="1" x14ac:dyDescent="0.25"/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>
      <c r="I143" s="12" t="s">
        <v>847</v>
      </c>
      <c r="J143" s="231">
        <v>2019</v>
      </c>
      <c r="K143" s="231">
        <v>2020</v>
      </c>
      <c r="L143" s="231">
        <v>2025</v>
      </c>
      <c r="M143" s="231">
        <v>2030</v>
      </c>
      <c r="N143" s="231">
        <v>2035</v>
      </c>
      <c r="O143" s="231">
        <v>2040</v>
      </c>
      <c r="P143" s="231">
        <v>2045</v>
      </c>
      <c r="Q143" s="231">
        <v>2050</v>
      </c>
    </row>
    <row r="144" spans="8:17" ht="15.75" customHeight="1" x14ac:dyDescent="0.25">
      <c r="I144" s="12" t="s">
        <v>74</v>
      </c>
      <c r="J144" s="12">
        <v>27.015813128159731</v>
      </c>
      <c r="K144" s="12">
        <v>26.062049484430577</v>
      </c>
      <c r="L144" s="12">
        <v>27.26293166627044</v>
      </c>
      <c r="M144" s="12">
        <v>28.990379051104217</v>
      </c>
      <c r="N144" s="12">
        <v>31.697009911247882</v>
      </c>
      <c r="O144" s="12">
        <v>32.967623003898666</v>
      </c>
      <c r="P144" s="12">
        <v>34.607787018684213</v>
      </c>
      <c r="Q144" s="12">
        <v>35.963817996706439</v>
      </c>
    </row>
    <row r="145" spans="9:17" ht="15.75" customHeight="1" x14ac:dyDescent="0.25">
      <c r="I145" s="12" t="s">
        <v>846</v>
      </c>
      <c r="J145" s="12">
        <v>21.475872844615932</v>
      </c>
      <c r="K145" s="12">
        <v>21.173796174722664</v>
      </c>
      <c r="L145" s="12">
        <v>23.09908472316074</v>
      </c>
      <c r="M145" s="12">
        <v>25.352291121728861</v>
      </c>
      <c r="N145" s="12">
        <v>28.770631310279356</v>
      </c>
      <c r="O145" s="12">
        <v>30.877675811857468</v>
      </c>
      <c r="P145" s="12">
        <v>33.171074715211802</v>
      </c>
      <c r="Q145" s="12">
        <v>35.177965790480719</v>
      </c>
    </row>
    <row r="146" spans="9:17" ht="15.75" customHeight="1" x14ac:dyDescent="0.25">
      <c r="I146" s="12" t="s">
        <v>843</v>
      </c>
      <c r="J146" s="12">
        <v>20.996450693126999</v>
      </c>
      <c r="K146" s="12">
        <v>20.789779196276999</v>
      </c>
      <c r="L146" s="12">
        <v>21.49552278666</v>
      </c>
      <c r="M146" s="12">
        <v>22.787761319388</v>
      </c>
      <c r="N146" s="12">
        <v>24.782312344958999</v>
      </c>
      <c r="O146" s="12">
        <v>26.081950485006001</v>
      </c>
      <c r="P146" s="12">
        <v>27.657616630877996</v>
      </c>
      <c r="Q146" s="12">
        <v>28.857208895307</v>
      </c>
    </row>
    <row r="147" spans="9:17" ht="15.75" customHeight="1" x14ac:dyDescent="0.25">
      <c r="I147" s="12" t="s">
        <v>63</v>
      </c>
      <c r="J147" s="12">
        <v>20.905028056574999</v>
      </c>
      <c r="K147" s="12">
        <v>20.166998975720997</v>
      </c>
      <c r="L147" s="12">
        <v>21.096250136325001</v>
      </c>
      <c r="M147" s="12">
        <v>22.432961190509999</v>
      </c>
      <c r="N147" s="12">
        <v>24.527371371749997</v>
      </c>
      <c r="O147" s="12">
        <v>25.510580806347001</v>
      </c>
      <c r="P147" s="12">
        <v>26.779751368928999</v>
      </c>
      <c r="Q147" s="12">
        <v>27.829057769838002</v>
      </c>
    </row>
    <row r="148" spans="9:17" ht="15.75" customHeight="1" x14ac:dyDescent="0.25">
      <c r="I148" s="12" t="s">
        <v>22</v>
      </c>
      <c r="J148" s="12">
        <v>17.550825014150998</v>
      </c>
      <c r="K148" s="12">
        <v>17.327211288426</v>
      </c>
      <c r="L148" s="12">
        <v>21.000397403115002</v>
      </c>
      <c r="M148" s="12">
        <v>23.265791875521</v>
      </c>
      <c r="N148" s="12">
        <v>25.362927030636001</v>
      </c>
      <c r="O148" s="12">
        <v>27.015707567627999</v>
      </c>
      <c r="P148" s="12">
        <v>29.097066308778</v>
      </c>
      <c r="Q148" s="12">
        <v>30.992470937063995</v>
      </c>
    </row>
    <row r="149" spans="9:17" ht="15.75" customHeight="1" x14ac:dyDescent="0.25">
      <c r="I149" s="12" t="s">
        <v>784</v>
      </c>
      <c r="J149" s="12">
        <v>15.484369752577541</v>
      </c>
      <c r="K149" s="12">
        <v>15.168782704888827</v>
      </c>
      <c r="L149" s="12">
        <v>16.949109551577816</v>
      </c>
      <c r="M149" s="12">
        <v>19.89820760097551</v>
      </c>
      <c r="N149" s="12">
        <v>20.433037285408389</v>
      </c>
      <c r="O149" s="12">
        <v>21.046576062396845</v>
      </c>
      <c r="P149" s="12">
        <v>22.996499995778219</v>
      </c>
      <c r="Q149" s="12">
        <v>24.2190062601092</v>
      </c>
    </row>
    <row r="150" spans="9:17" ht="15.75" customHeight="1" x14ac:dyDescent="0.25">
      <c r="I150" s="12" t="s">
        <v>844</v>
      </c>
      <c r="J150" s="12">
        <v>13.877034192216</v>
      </c>
      <c r="K150" s="12">
        <v>13.679057020707001</v>
      </c>
      <c r="L150" s="12">
        <v>14.925902701670999</v>
      </c>
      <c r="M150" s="12">
        <v>16.381853873541001</v>
      </c>
      <c r="N150" s="12">
        <v>18.590677888301997</v>
      </c>
      <c r="O150" s="12">
        <v>19.952183835207002</v>
      </c>
      <c r="P150" s="12">
        <v>21.434106140693999</v>
      </c>
      <c r="Q150" s="12">
        <v>22.730896090656</v>
      </c>
    </row>
    <row r="151" spans="9:17" ht="15.75" customHeight="1" x14ac:dyDescent="0.25">
      <c r="I151" s="12" t="s">
        <v>13</v>
      </c>
      <c r="J151" s="12">
        <v>9.4202649837692984</v>
      </c>
      <c r="K151" s="12">
        <v>9.6527165147854426</v>
      </c>
      <c r="L151" s="12">
        <v>11.578601139308462</v>
      </c>
      <c r="M151" s="12">
        <v>12.911789354957682</v>
      </c>
      <c r="N151" s="12">
        <v>14.757523117529285</v>
      </c>
      <c r="O151" s="12">
        <v>16.087232795682176</v>
      </c>
      <c r="P151" s="12">
        <v>17.631300754150111</v>
      </c>
      <c r="Q151" s="12">
        <v>18.826932611437442</v>
      </c>
    </row>
    <row r="152" spans="9:17" ht="15.75" customHeight="1" x14ac:dyDescent="0.25">
      <c r="I152" s="12" t="s">
        <v>832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782</v>
      </c>
      <c r="J153" s="12">
        <v>9.2360008608660014</v>
      </c>
      <c r="K153" s="12">
        <v>9.6932486336400014</v>
      </c>
      <c r="L153" s="12">
        <v>9.5472696505679995</v>
      </c>
      <c r="M153" s="12">
        <v>10.673080048449</v>
      </c>
      <c r="N153" s="12">
        <v>12.218909862978</v>
      </c>
      <c r="O153" s="12">
        <v>13.22060646816</v>
      </c>
      <c r="P153" s="12">
        <v>14.059067186150999</v>
      </c>
      <c r="Q153" s="12">
        <v>15.210941603714998</v>
      </c>
    </row>
    <row r="154" spans="9:17" ht="15.75" customHeight="1" x14ac:dyDescent="0.25">
      <c r="I154" s="12" t="s">
        <v>17</v>
      </c>
      <c r="J154" s="12">
        <v>8.6667911578505574</v>
      </c>
      <c r="K154" s="12">
        <v>8.8806502029103971</v>
      </c>
      <c r="L154" s="12">
        <v>10.652494186451701</v>
      </c>
      <c r="M154" s="12">
        <v>11.87904820155075</v>
      </c>
      <c r="N154" s="12">
        <v>13.577152138198308</v>
      </c>
      <c r="O154" s="12">
        <v>14.800505844381702</v>
      </c>
      <c r="P154" s="12">
        <v>16.22107252192496</v>
      </c>
      <c r="Q154" s="12">
        <v>17.321072535367904</v>
      </c>
    </row>
    <row r="155" spans="9:17" ht="15.75" customHeight="1" x14ac:dyDescent="0.25">
      <c r="I155" s="12" t="s">
        <v>841</v>
      </c>
      <c r="J155" s="12">
        <v>7.1598435060130807</v>
      </c>
      <c r="K155" s="12">
        <v>7.3365175791603097</v>
      </c>
      <c r="L155" s="12">
        <v>8.8002802807381819</v>
      </c>
      <c r="M155" s="12">
        <v>9.8135658947368913</v>
      </c>
      <c r="N155" s="12">
        <v>11.216410179536366</v>
      </c>
      <c r="O155" s="12">
        <v>12.227051941780758</v>
      </c>
      <c r="P155" s="12">
        <v>13.400616057474668</v>
      </c>
      <c r="Q155" s="12">
        <v>14.309352383228823</v>
      </c>
    </row>
    <row r="156" spans="9:17" ht="15.75" customHeight="1" x14ac:dyDescent="0.25">
      <c r="I156" s="12" t="s">
        <v>845</v>
      </c>
      <c r="J156" s="12">
        <v>4.7688341321789993</v>
      </c>
      <c r="K156" s="12">
        <v>4.6568448145439998</v>
      </c>
      <c r="L156" s="12">
        <v>5.7706406841329994</v>
      </c>
      <c r="M156" s="12">
        <v>6.7599028780919994</v>
      </c>
      <c r="N156" s="12">
        <v>7.3262282746769998</v>
      </c>
      <c r="O156" s="12">
        <v>7.6825591280100003</v>
      </c>
      <c r="P156" s="12">
        <v>8.0943780319740011</v>
      </c>
      <c r="Q156" s="12">
        <v>8.6837619205349998</v>
      </c>
    </row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>
      <c r="I178" s="12" t="s">
        <v>848</v>
      </c>
    </row>
    <row r="179" spans="9:17" ht="15.75" customHeight="1" x14ac:dyDescent="0.25">
      <c r="I179" s="12" t="s">
        <v>847</v>
      </c>
      <c r="J179" s="12">
        <v>2019</v>
      </c>
      <c r="K179" s="12">
        <v>2020</v>
      </c>
      <c r="L179" s="12">
        <v>2025</v>
      </c>
      <c r="M179" s="12">
        <v>2030</v>
      </c>
      <c r="N179" s="12">
        <v>2035</v>
      </c>
      <c r="O179" s="12">
        <v>2040</v>
      </c>
      <c r="P179" s="12">
        <v>2045</v>
      </c>
      <c r="Q179" s="12">
        <v>2050</v>
      </c>
    </row>
    <row r="180" spans="9:17" ht="15.75" customHeight="1" x14ac:dyDescent="0.25">
      <c r="I180" s="12" t="s">
        <v>74</v>
      </c>
      <c r="J180" s="12">
        <v>27.015813128159731</v>
      </c>
      <c r="K180" s="12">
        <v>31.322836701288676</v>
      </c>
      <c r="L180" s="12">
        <v>39.015640552433432</v>
      </c>
      <c r="M180" s="12">
        <v>42.266280355693034</v>
      </c>
      <c r="N180" s="12">
        <v>45.088618066974036</v>
      </c>
      <c r="O180" s="12">
        <v>47.363336148644329</v>
      </c>
      <c r="P180" s="12">
        <v>49.233692323046512</v>
      </c>
      <c r="Q180" s="12">
        <v>50.210386940852374</v>
      </c>
    </row>
    <row r="181" spans="9:17" ht="15.75" customHeight="1" x14ac:dyDescent="0.25">
      <c r="I181" s="12" t="s">
        <v>846</v>
      </c>
      <c r="J181" s="12">
        <v>21.450884058013838</v>
      </c>
      <c r="K181" s="12">
        <v>21.173796174722664</v>
      </c>
      <c r="L181" s="12">
        <v>37.186692773166044</v>
      </c>
      <c r="M181" s="12">
        <v>41.229377773012715</v>
      </c>
      <c r="N181" s="12">
        <v>44.916747362229778</v>
      </c>
      <c r="O181" s="12">
        <v>47.699295534749872</v>
      </c>
      <c r="P181" s="12">
        <v>49.876800958156473</v>
      </c>
      <c r="Q181" s="12">
        <v>51.271656543925765</v>
      </c>
    </row>
    <row r="182" spans="9:17" ht="15.75" customHeight="1" x14ac:dyDescent="0.25">
      <c r="I182" s="12" t="s">
        <v>843</v>
      </c>
      <c r="J182" s="12">
        <v>20.996427945518999</v>
      </c>
      <c r="K182" s="12">
        <v>25.491360025404003</v>
      </c>
      <c r="L182" s="12">
        <v>30.547421569079997</v>
      </c>
      <c r="M182" s="12">
        <v>33.024909051576003</v>
      </c>
      <c r="N182" s="12">
        <v>35.898836159393994</v>
      </c>
      <c r="O182" s="12">
        <v>37.688749703397008</v>
      </c>
      <c r="P182" s="12">
        <v>38.537161552070998</v>
      </c>
      <c r="Q182" s="12">
        <v>39.804000484833004</v>
      </c>
    </row>
    <row r="183" spans="9:17" ht="15.75" customHeight="1" x14ac:dyDescent="0.25">
      <c r="I183" s="12" t="s">
        <v>63</v>
      </c>
      <c r="J183" s="12">
        <v>20.905026160941002</v>
      </c>
      <c r="K183" s="12">
        <v>24.237831286772998</v>
      </c>
      <c r="L183" s="12">
        <v>30.190576998933</v>
      </c>
      <c r="M183" s="12">
        <v>32.705944935650997</v>
      </c>
      <c r="N183" s="12">
        <v>34.889889701978994</v>
      </c>
      <c r="O183" s="12">
        <v>36.650082548313001</v>
      </c>
      <c r="P183" s="12">
        <v>38.097377307522002</v>
      </c>
      <c r="Q183" s="12">
        <v>38.853150470433008</v>
      </c>
    </row>
    <row r="184" spans="9:17" ht="15.75" customHeight="1" x14ac:dyDescent="0.25">
      <c r="I184" s="12" t="s">
        <v>22</v>
      </c>
      <c r="J184" s="12">
        <v>17.551047751146001</v>
      </c>
      <c r="K184" s="12">
        <v>20.045582670203999</v>
      </c>
      <c r="L184" s="12">
        <v>30.990463460658003</v>
      </c>
      <c r="M184" s="12">
        <v>37.844807772446998</v>
      </c>
      <c r="N184" s="12">
        <v>40.179621309749997</v>
      </c>
      <c r="O184" s="12">
        <v>41.761107999819004</v>
      </c>
      <c r="P184" s="12">
        <v>43.302257494001999</v>
      </c>
      <c r="Q184" s="12">
        <v>43.799493666006001</v>
      </c>
    </row>
    <row r="185" spans="9:17" ht="15.75" customHeight="1" x14ac:dyDescent="0.25">
      <c r="I185" s="12" t="s">
        <v>784</v>
      </c>
      <c r="J185" s="12">
        <v>15.484369752577541</v>
      </c>
      <c r="K185" s="12">
        <v>15.267547210351818</v>
      </c>
      <c r="L185" s="12">
        <v>16.076228516171685</v>
      </c>
      <c r="M185" s="12">
        <v>18.475113595146638</v>
      </c>
      <c r="N185" s="12">
        <v>25.499449139045872</v>
      </c>
      <c r="O185" s="12">
        <v>28.021512547352661</v>
      </c>
      <c r="P185" s="12">
        <v>25.226404215831689</v>
      </c>
      <c r="Q185" s="12">
        <v>26.973992561674077</v>
      </c>
    </row>
    <row r="186" spans="9:17" ht="15.75" customHeight="1" x14ac:dyDescent="0.25">
      <c r="I186" s="12" t="s">
        <v>844</v>
      </c>
      <c r="J186" s="12">
        <v>13.877034192216</v>
      </c>
      <c r="K186" s="12">
        <v>17.954588421432</v>
      </c>
      <c r="L186" s="12">
        <v>24.371681055696005</v>
      </c>
      <c r="M186" s="12">
        <v>27.021204906228</v>
      </c>
      <c r="N186" s="12">
        <v>29.437859598029998</v>
      </c>
      <c r="O186" s="12">
        <v>31.261505949063</v>
      </c>
      <c r="P186" s="12">
        <v>32.688615049622996</v>
      </c>
      <c r="Q186" s="12">
        <v>33.602785493940004</v>
      </c>
    </row>
    <row r="187" spans="9:17" ht="15.75" customHeight="1" x14ac:dyDescent="0.25">
      <c r="I187" s="12" t="s">
        <v>13</v>
      </c>
      <c r="J187" s="12">
        <v>9.4202649837693002</v>
      </c>
      <c r="K187" s="12">
        <v>8.8971488688237894</v>
      </c>
      <c r="L187" s="12">
        <v>10.809495075642701</v>
      </c>
      <c r="M187" s="12">
        <v>11.944874310089356</v>
      </c>
      <c r="N187" s="12">
        <v>13.287214218828185</v>
      </c>
      <c r="O187" s="12">
        <v>14.355702223711937</v>
      </c>
      <c r="P187" s="12">
        <v>15.630732976072419</v>
      </c>
      <c r="Q187" s="12">
        <v>16.864994934098721</v>
      </c>
    </row>
    <row r="188" spans="9:17" ht="15.75" customHeight="1" x14ac:dyDescent="0.25">
      <c r="I188" s="12" t="s">
        <v>832</v>
      </c>
      <c r="J188" s="12">
        <v>9.4202649837692984</v>
      </c>
      <c r="K188" s="12">
        <v>13.936113077570406</v>
      </c>
      <c r="L188" s="12">
        <v>18.754767902286247</v>
      </c>
      <c r="M188" s="12">
        <v>22.369962611540721</v>
      </c>
      <c r="N188" s="12">
        <v>25.612524998362172</v>
      </c>
      <c r="O188" s="12">
        <v>27.580685197432587</v>
      </c>
      <c r="P188" s="12">
        <v>29.099592320712304</v>
      </c>
      <c r="Q188" s="12">
        <v>30.008644929154396</v>
      </c>
    </row>
    <row r="189" spans="9:17" ht="15.75" customHeight="1" x14ac:dyDescent="0.25">
      <c r="I189" s="12" t="s">
        <v>782</v>
      </c>
      <c r="J189" s="12">
        <v>9.3223337201280021</v>
      </c>
      <c r="K189" s="12">
        <v>13.72703456943</v>
      </c>
      <c r="L189" s="12">
        <v>19.950516625104001</v>
      </c>
      <c r="M189" s="12">
        <v>22.011837567057004</v>
      </c>
      <c r="N189" s="12">
        <v>24.103288663623001</v>
      </c>
      <c r="O189" s="12">
        <v>25.621477290980998</v>
      </c>
      <c r="P189" s="12">
        <v>26.186885200710002</v>
      </c>
      <c r="Q189" s="12">
        <v>26.538456117069</v>
      </c>
    </row>
    <row r="190" spans="9:17" ht="15.75" customHeight="1" x14ac:dyDescent="0.25">
      <c r="I190" s="12" t="s">
        <v>17</v>
      </c>
      <c r="J190" s="12">
        <v>8.6667911578505592</v>
      </c>
      <c r="K190" s="12">
        <v>8.1855161483523844</v>
      </c>
      <c r="L190" s="12">
        <v>9.9449045758078007</v>
      </c>
      <c r="M190" s="12">
        <v>10.989471233631489</v>
      </c>
      <c r="N190" s="12">
        <v>12.224444949544161</v>
      </c>
      <c r="O190" s="12">
        <v>13.207470629708267</v>
      </c>
      <c r="P190" s="12">
        <v>14.380518868753001</v>
      </c>
      <c r="Q190" s="12">
        <v>15.516059179213938</v>
      </c>
    </row>
    <row r="191" spans="9:17" ht="15.75" customHeight="1" x14ac:dyDescent="0.25">
      <c r="I191" s="12" t="s">
        <v>841</v>
      </c>
      <c r="J191" s="12">
        <v>7.1598435060130816</v>
      </c>
      <c r="K191" s="12">
        <v>6.7622507074095797</v>
      </c>
      <c r="L191" s="12">
        <v>8.215723576138009</v>
      </c>
      <c r="M191" s="12">
        <v>9.0786650807157603</v>
      </c>
      <c r="N191" s="12">
        <v>10.098906410976124</v>
      </c>
      <c r="O191" s="12">
        <v>10.911007441700926</v>
      </c>
      <c r="P191" s="12">
        <v>11.88009065411417</v>
      </c>
      <c r="Q191" s="12">
        <v>12.818187669444375</v>
      </c>
    </row>
    <row r="192" spans="9:17" ht="15.75" customHeight="1" x14ac:dyDescent="0.25">
      <c r="I192" s="12" t="s">
        <v>845</v>
      </c>
      <c r="J192" s="12">
        <v>4.7686256124390001</v>
      </c>
      <c r="K192" s="12">
        <v>4.4696661221159992</v>
      </c>
      <c r="L192" s="12">
        <v>4.7636988596730001</v>
      </c>
      <c r="M192" s="12">
        <v>5.3431827996689991</v>
      </c>
      <c r="N192" s="12">
        <v>5.6996757297089999</v>
      </c>
      <c r="O192" s="12">
        <v>5.8174002880109992</v>
      </c>
      <c r="P192" s="12">
        <v>6.0810886643129995</v>
      </c>
      <c r="Q192" s="12">
        <v>6.2797274120880004</v>
      </c>
    </row>
    <row r="193" spans="9:17" ht="15.75" customHeight="1" x14ac:dyDescent="0.25"/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>
      <c r="I197" s="12" t="s">
        <v>849</v>
      </c>
    </row>
    <row r="198" spans="9:17" ht="15.75" customHeight="1" x14ac:dyDescent="0.25">
      <c r="I198" s="12" t="s">
        <v>847</v>
      </c>
      <c r="J198" s="12">
        <v>2019</v>
      </c>
      <c r="K198" s="12">
        <v>2020</v>
      </c>
      <c r="L198" s="12">
        <v>2025</v>
      </c>
      <c r="M198" s="12">
        <v>2030</v>
      </c>
      <c r="N198" s="12">
        <v>2035</v>
      </c>
      <c r="O198" s="12">
        <v>2040</v>
      </c>
      <c r="P198" s="12">
        <v>2045</v>
      </c>
      <c r="Q198" s="12">
        <v>2050</v>
      </c>
    </row>
    <row r="199" spans="9:17" ht="15.75" customHeight="1" x14ac:dyDescent="0.25">
      <c r="I199" s="12" t="s">
        <v>74</v>
      </c>
      <c r="J199" s="12">
        <v>27.015813128159731</v>
      </c>
      <c r="K199" s="12">
        <v>20.762217418713881</v>
      </c>
      <c r="L199" s="12">
        <v>20.285771846776306</v>
      </c>
      <c r="M199" s="12">
        <v>21.032357372857387</v>
      </c>
      <c r="N199" s="12">
        <v>21.1954408429634</v>
      </c>
      <c r="O199" s="12">
        <v>21.496194086339983</v>
      </c>
      <c r="P199" s="12">
        <v>21.624810811928342</v>
      </c>
      <c r="Q199" s="12">
        <v>21.746284069233294</v>
      </c>
    </row>
    <row r="200" spans="9:17" ht="15.75" customHeight="1" x14ac:dyDescent="0.25">
      <c r="I200" s="12" t="s">
        <v>846</v>
      </c>
      <c r="J200" s="12">
        <v>21.450884058013838</v>
      </c>
      <c r="K200" s="12">
        <v>21.173796174722664</v>
      </c>
      <c r="L200" s="12">
        <v>15.995593051497483</v>
      </c>
      <c r="M200" s="12">
        <v>16.640750940798355</v>
      </c>
      <c r="N200" s="12">
        <v>16.949502984384424</v>
      </c>
      <c r="O200" s="12">
        <v>17.366044830737749</v>
      </c>
      <c r="P200" s="12">
        <v>17.587039160074951</v>
      </c>
      <c r="Q200" s="12">
        <v>17.585917982489683</v>
      </c>
    </row>
    <row r="201" spans="9:17" ht="15.75" customHeight="1" x14ac:dyDescent="0.25">
      <c r="I201" s="12" t="s">
        <v>843</v>
      </c>
      <c r="J201" s="12">
        <v>20.996496188342999</v>
      </c>
      <c r="K201" s="12">
        <v>16.800970020588</v>
      </c>
      <c r="L201" s="12">
        <v>15.861653043444001</v>
      </c>
      <c r="M201" s="12">
        <v>16.501408666469999</v>
      </c>
      <c r="N201" s="12">
        <v>16.807575357260998</v>
      </c>
      <c r="O201" s="12">
        <v>17.220629266776005</v>
      </c>
      <c r="P201" s="12">
        <v>17.439773087529002</v>
      </c>
      <c r="Q201" s="12">
        <v>17.438661298188002</v>
      </c>
    </row>
    <row r="202" spans="9:17" ht="15.75" customHeight="1" x14ac:dyDescent="0.25">
      <c r="I202" s="12" t="s">
        <v>63</v>
      </c>
      <c r="J202" s="12">
        <v>20.905036586927999</v>
      </c>
      <c r="K202" s="12">
        <v>16.065957841245002</v>
      </c>
      <c r="L202" s="12">
        <v>15.697280723669998</v>
      </c>
      <c r="M202" s="12">
        <v>16.27499414151</v>
      </c>
      <c r="N202" s="12">
        <v>16.401189340340999</v>
      </c>
      <c r="O202" s="12">
        <v>16.633914430887</v>
      </c>
      <c r="P202" s="12">
        <v>16.733439007154999</v>
      </c>
      <c r="Q202" s="12">
        <v>16.827435914678997</v>
      </c>
    </row>
    <row r="203" spans="9:17" ht="15.75" customHeight="1" x14ac:dyDescent="0.25">
      <c r="I203" s="12" t="s">
        <v>22</v>
      </c>
      <c r="J203" s="12">
        <v>17.551159593552001</v>
      </c>
      <c r="K203" s="12">
        <v>14.072073131025002</v>
      </c>
      <c r="L203" s="12">
        <v>12.941376736509</v>
      </c>
      <c r="M203" s="12">
        <v>13.627454071959001</v>
      </c>
      <c r="N203" s="12">
        <v>13.724267891606999</v>
      </c>
      <c r="O203" s="12">
        <v>13.898379031056001</v>
      </c>
      <c r="P203" s="12">
        <v>14.022830246607001</v>
      </c>
      <c r="Q203" s="12">
        <v>14.158405990287001</v>
      </c>
    </row>
    <row r="204" spans="9:17" ht="15.75" customHeight="1" x14ac:dyDescent="0.25">
      <c r="I204" s="12" t="s">
        <v>784</v>
      </c>
      <c r="J204" s="12">
        <v>15.484369752577541</v>
      </c>
      <c r="K204" s="12">
        <v>14.985124420878694</v>
      </c>
      <c r="L204" s="12">
        <v>16.817830628094004</v>
      </c>
      <c r="M204" s="12">
        <v>19.685127241940332</v>
      </c>
      <c r="N204" s="12">
        <v>20.70291143663777</v>
      </c>
      <c r="O204" s="12">
        <v>22.056181233953279</v>
      </c>
      <c r="P204" s="12">
        <v>22.660588635791161</v>
      </c>
      <c r="Q204" s="12">
        <v>22.956590844506614</v>
      </c>
    </row>
    <row r="205" spans="9:17" ht="15.75" customHeight="1" x14ac:dyDescent="0.25">
      <c r="I205" s="12" t="s">
        <v>844</v>
      </c>
      <c r="J205" s="12">
        <v>13.877034192216</v>
      </c>
      <c r="K205" s="12">
        <v>9.1943784251280007</v>
      </c>
      <c r="L205" s="12">
        <v>9.1138357799190004</v>
      </c>
      <c r="M205" s="12">
        <v>9.6202240728750006</v>
      </c>
      <c r="N205" s="12">
        <v>9.9838720734479978</v>
      </c>
      <c r="O205" s="12">
        <v>10.420767371781</v>
      </c>
      <c r="P205" s="12">
        <v>10.711293186438001</v>
      </c>
      <c r="Q205" s="12">
        <v>10.917375141114</v>
      </c>
    </row>
    <row r="206" spans="9:17" ht="15.75" customHeight="1" x14ac:dyDescent="0.25">
      <c r="I206" s="12" t="s">
        <v>13</v>
      </c>
      <c r="J206" s="12">
        <v>9.4202649837693002</v>
      </c>
      <c r="K206" s="12">
        <v>8.8971488688237894</v>
      </c>
      <c r="L206" s="12">
        <v>10.809495075642701</v>
      </c>
      <c r="M206" s="12">
        <v>11.944874310089356</v>
      </c>
      <c r="N206" s="12">
        <v>13.287214218828185</v>
      </c>
      <c r="O206" s="12">
        <v>14.355702223711937</v>
      </c>
      <c r="P206" s="12">
        <v>15.630732976072419</v>
      </c>
      <c r="Q206" s="12">
        <v>16.864994934098721</v>
      </c>
    </row>
    <row r="207" spans="9:17" ht="15.75" customHeight="1" x14ac:dyDescent="0.25">
      <c r="I207" s="12" t="s">
        <v>832</v>
      </c>
      <c r="J207" s="12">
        <v>9.4202649837692984</v>
      </c>
      <c r="K207" s="12">
        <v>5.5410245813461438</v>
      </c>
      <c r="L207" s="12">
        <v>5.8260146701732038</v>
      </c>
      <c r="M207" s="12">
        <v>6.2035295029981778</v>
      </c>
      <c r="N207" s="12">
        <v>6.5878743248971627</v>
      </c>
      <c r="O207" s="12">
        <v>6.9782551418962697</v>
      </c>
      <c r="P207" s="12">
        <v>7.3046487848961918</v>
      </c>
      <c r="Q207" s="12">
        <v>7.4251670907905236</v>
      </c>
    </row>
    <row r="208" spans="9:17" ht="15.75" customHeight="1" x14ac:dyDescent="0.25">
      <c r="I208" s="12" t="s">
        <v>782</v>
      </c>
      <c r="J208" s="12">
        <v>9.1459288635389999</v>
      </c>
      <c r="K208" s="12">
        <v>6.5706295100940002</v>
      </c>
      <c r="L208" s="12">
        <v>7.048325486826001</v>
      </c>
      <c r="M208" s="12">
        <v>7.4524272647759995</v>
      </c>
      <c r="N208" s="12">
        <v>7.4661573418380005</v>
      </c>
      <c r="O208" s="12">
        <v>7.3779165269550004</v>
      </c>
      <c r="P208" s="12">
        <v>7.0998848359920004</v>
      </c>
      <c r="Q208" s="12">
        <v>6.9238704800070003</v>
      </c>
    </row>
    <row r="209" spans="8:17" ht="15.75" customHeight="1" x14ac:dyDescent="0.25">
      <c r="I209" s="12" t="s">
        <v>17</v>
      </c>
      <c r="J209" s="12">
        <v>8.6667911578505592</v>
      </c>
      <c r="K209" s="12">
        <v>8.1855161483523844</v>
      </c>
      <c r="L209" s="12">
        <v>9.9449045758078007</v>
      </c>
      <c r="M209" s="12">
        <v>10.989471233631489</v>
      </c>
      <c r="N209" s="12">
        <v>12.224444949544161</v>
      </c>
      <c r="O209" s="12">
        <v>13.207470629708267</v>
      </c>
      <c r="P209" s="12">
        <v>14.380518868753001</v>
      </c>
      <c r="Q209" s="12">
        <v>15.516059179213938</v>
      </c>
    </row>
    <row r="210" spans="8:17" ht="15.75" customHeight="1" x14ac:dyDescent="0.25">
      <c r="I210" s="12" t="s">
        <v>841</v>
      </c>
      <c r="J210" s="12">
        <v>7.1598435060130816</v>
      </c>
      <c r="K210" s="12">
        <v>6.7622507074095797</v>
      </c>
      <c r="L210" s="12">
        <v>8.215723576138009</v>
      </c>
      <c r="M210" s="12">
        <v>9.0786650807157603</v>
      </c>
      <c r="N210" s="12">
        <v>10.098906410976124</v>
      </c>
      <c r="O210" s="12">
        <v>10.911007441700926</v>
      </c>
      <c r="P210" s="12">
        <v>11.88009065411417</v>
      </c>
      <c r="Q210" s="12">
        <v>12.818187669444375</v>
      </c>
    </row>
    <row r="211" spans="8:17" ht="15.75" customHeight="1" x14ac:dyDescent="0.25">
      <c r="I211" s="12" t="s">
        <v>845</v>
      </c>
      <c r="J211" s="12">
        <v>4.7689696700100006</v>
      </c>
      <c r="K211" s="12">
        <v>4.5224329901400004</v>
      </c>
      <c r="L211" s="12">
        <v>4.9892669840520005</v>
      </c>
      <c r="M211" s="12">
        <v>5.3724049455960001</v>
      </c>
      <c r="N211" s="12">
        <v>5.4102105222750003</v>
      </c>
      <c r="O211" s="12">
        <v>5.5797465490649998</v>
      </c>
      <c r="P211" s="12">
        <v>5.6580807806640001</v>
      </c>
      <c r="Q211" s="12">
        <v>5.7504237475230005</v>
      </c>
    </row>
    <row r="212" spans="8:17" ht="15.75" customHeight="1" x14ac:dyDescent="0.25"/>
    <row r="213" spans="8:17" ht="15.75" customHeight="1" x14ac:dyDescent="0.25"/>
    <row r="214" spans="8:17" ht="15.75" customHeight="1" x14ac:dyDescent="0.25"/>
    <row r="215" spans="8:17" ht="15.75" customHeight="1" x14ac:dyDescent="0.25">
      <c r="I215" s="12" t="s">
        <v>850</v>
      </c>
    </row>
    <row r="216" spans="8:17" ht="15.75" customHeight="1" x14ac:dyDescent="0.25">
      <c r="I216" s="14"/>
      <c r="J216" s="14">
        <v>2019</v>
      </c>
      <c r="K216" s="14">
        <v>2020</v>
      </c>
      <c r="L216" s="14">
        <v>2025</v>
      </c>
      <c r="M216" s="14">
        <v>2030</v>
      </c>
      <c r="N216" s="14">
        <v>2035</v>
      </c>
      <c r="O216" s="14">
        <v>2040</v>
      </c>
      <c r="P216" s="14">
        <v>2045</v>
      </c>
      <c r="Q216" s="14">
        <v>2050</v>
      </c>
    </row>
    <row r="217" spans="8:17" ht="15.75" customHeight="1" x14ac:dyDescent="0.25">
      <c r="H217" s="12" t="s">
        <v>74</v>
      </c>
      <c r="I217" s="14" t="s">
        <v>32</v>
      </c>
      <c r="J217" s="14">
        <v>27.015813128159731</v>
      </c>
      <c r="K217" s="14">
        <v>25.474061558177858</v>
      </c>
      <c r="L217" s="14">
        <v>25.351065720485089</v>
      </c>
      <c r="M217" s="14">
        <v>26.450334818933815</v>
      </c>
      <c r="N217" s="14">
        <v>27.615453205181815</v>
      </c>
      <c r="O217" s="14">
        <v>28.895174584628517</v>
      </c>
      <c r="P217" s="14">
        <v>29.877035725796304</v>
      </c>
      <c r="Q217" s="14">
        <v>30.294950876544668</v>
      </c>
    </row>
    <row r="218" spans="8:17" ht="15.75" customHeight="1" x14ac:dyDescent="0.25">
      <c r="H218" s="12" t="s">
        <v>846</v>
      </c>
      <c r="I218" s="14" t="s">
        <v>102</v>
      </c>
      <c r="J218" s="14">
        <v>22.236027134154664</v>
      </c>
      <c r="K218" s="14">
        <v>21.173796174722664</v>
      </c>
      <c r="L218" s="14">
        <v>20.369778820328239</v>
      </c>
      <c r="M218" s="14">
        <v>21.667421243565386</v>
      </c>
      <c r="N218" s="14">
        <v>23.39959869387344</v>
      </c>
      <c r="O218" s="14">
        <v>25.242091824603278</v>
      </c>
      <c r="P218" s="14">
        <v>26.865369418442533</v>
      </c>
      <c r="Q218" s="14">
        <v>27.834179136082643</v>
      </c>
    </row>
    <row r="219" spans="8:17" ht="15.75" customHeight="1" x14ac:dyDescent="0.25">
      <c r="H219" s="12" t="s">
        <v>60</v>
      </c>
      <c r="I219" s="14" t="s">
        <v>8</v>
      </c>
      <c r="J219" s="14">
        <v>20.996442162773999</v>
      </c>
      <c r="K219" s="14">
        <v>20.268611592839996</v>
      </c>
      <c r="L219" s="14">
        <v>19.15508774673</v>
      </c>
      <c r="M219" s="14">
        <v>20.227572064557002</v>
      </c>
      <c r="N219" s="14">
        <v>21.021596278137004</v>
      </c>
      <c r="O219" s="14">
        <v>22.294317363200999</v>
      </c>
      <c r="P219" s="14">
        <v>23.439072727278003</v>
      </c>
      <c r="Q219" s="14">
        <v>23.937589400048996</v>
      </c>
    </row>
    <row r="220" spans="8:17" ht="15.75" customHeight="1" x14ac:dyDescent="0.25">
      <c r="H220" s="12" t="s">
        <v>74</v>
      </c>
      <c r="I220" s="14" t="s">
        <v>14</v>
      </c>
      <c r="J220" s="14">
        <v>20.905026160941002</v>
      </c>
      <c r="K220" s="14">
        <v>19.712007955223999</v>
      </c>
      <c r="L220" s="14">
        <v>19.616832911168999</v>
      </c>
      <c r="M220" s="14">
        <v>20.467455069087002</v>
      </c>
      <c r="N220" s="14">
        <v>21.369031868925003</v>
      </c>
      <c r="O220" s="14">
        <v>22.359289270733999</v>
      </c>
      <c r="P220" s="14">
        <v>23.119060325751001</v>
      </c>
      <c r="Q220" s="14">
        <v>23.442446007980998</v>
      </c>
    </row>
    <row r="221" spans="8:17" ht="15.75" customHeight="1" x14ac:dyDescent="0.25">
      <c r="H221" s="12" t="s">
        <v>22</v>
      </c>
      <c r="I221" s="14" t="s">
        <v>22</v>
      </c>
      <c r="J221" s="14">
        <v>17.551115993970004</v>
      </c>
      <c r="K221" s="14">
        <v>16.846269986286</v>
      </c>
      <c r="L221" s="14">
        <v>18.477481999626001</v>
      </c>
      <c r="M221" s="14">
        <v>20.564194959009001</v>
      </c>
      <c r="N221" s="14">
        <v>21.505640733134999</v>
      </c>
      <c r="O221" s="14">
        <v>22.988122250652001</v>
      </c>
      <c r="P221" s="14">
        <v>24.341681699829</v>
      </c>
      <c r="Q221" s="14">
        <v>25.08799564908</v>
      </c>
    </row>
    <row r="222" spans="8:17" ht="15.75" customHeight="1" x14ac:dyDescent="0.25">
      <c r="H222" s="12" t="s">
        <v>784</v>
      </c>
      <c r="I222" s="14" t="s">
        <v>30</v>
      </c>
      <c r="J222" s="14">
        <v>15.484369752577541</v>
      </c>
      <c r="K222" s="14">
        <v>15.095843745097101</v>
      </c>
      <c r="L222" s="14">
        <v>16.606094766013509</v>
      </c>
      <c r="M222" s="14">
        <v>19.195360613772024</v>
      </c>
      <c r="N222" s="14">
        <v>19.493995795690402</v>
      </c>
      <c r="O222" s="14">
        <v>20.098201522985082</v>
      </c>
      <c r="P222" s="14">
        <v>22.242595736720517</v>
      </c>
      <c r="Q222" s="14">
        <v>22.85054364720574</v>
      </c>
    </row>
    <row r="223" spans="8:17" ht="15.75" customHeight="1" x14ac:dyDescent="0.25">
      <c r="H223" s="12" t="s">
        <v>779</v>
      </c>
      <c r="I223" s="14" t="s">
        <v>18</v>
      </c>
      <c r="J223" s="14">
        <v>13.877034192216</v>
      </c>
      <c r="K223" s="14">
        <v>13.180861657898999</v>
      </c>
      <c r="L223" s="14">
        <v>13.350091539797999</v>
      </c>
      <c r="M223" s="14">
        <v>14.200549725374998</v>
      </c>
      <c r="N223" s="14">
        <v>15.335796589308</v>
      </c>
      <c r="O223" s="14">
        <v>16.543342934001</v>
      </c>
      <c r="P223" s="14">
        <v>17.607218230017001</v>
      </c>
      <c r="Q223" s="14">
        <v>18.242163681768002</v>
      </c>
    </row>
    <row r="224" spans="8:17" ht="15.75" customHeight="1" x14ac:dyDescent="0.25">
      <c r="H224" s="12" t="s">
        <v>13</v>
      </c>
      <c r="I224" s="14" t="s">
        <v>13</v>
      </c>
      <c r="J224" s="14">
        <v>9.4202649837692984</v>
      </c>
      <c r="K224" s="14">
        <v>9.0952086730910686</v>
      </c>
      <c r="L224" s="14">
        <v>9.6563405564494822</v>
      </c>
      <c r="M224" s="14">
        <v>10.345060172014255</v>
      </c>
      <c r="N224" s="14">
        <v>11.440741884468556</v>
      </c>
      <c r="O224" s="14">
        <v>12.52013047891119</v>
      </c>
      <c r="P224" s="14">
        <v>13.606968920228624</v>
      </c>
      <c r="Q224" s="14">
        <v>14.133951193094239</v>
      </c>
    </row>
    <row r="225" spans="8:17" ht="15.75" customHeight="1" x14ac:dyDescent="0.25">
      <c r="H225" s="12" t="s">
        <v>832</v>
      </c>
      <c r="I225" s="14" t="s">
        <v>832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782</v>
      </c>
      <c r="I226" s="14" t="s">
        <v>26</v>
      </c>
      <c r="J226" s="14">
        <v>9.2394916708770012</v>
      </c>
      <c r="K226" s="14">
        <v>9.3714922488330004</v>
      </c>
      <c r="L226" s="14">
        <v>8.7294125785230001</v>
      </c>
      <c r="M226" s="14">
        <v>10.011694293666002</v>
      </c>
      <c r="N226" s="14">
        <v>10.855830539853001</v>
      </c>
      <c r="O226" s="14">
        <v>12.037304334510001</v>
      </c>
      <c r="P226" s="14">
        <v>12.836904555501</v>
      </c>
      <c r="Q226" s="14">
        <v>13.911046605260999</v>
      </c>
    </row>
    <row r="227" spans="8:17" ht="15.75" customHeight="1" x14ac:dyDescent="0.25">
      <c r="H227" s="12" t="s">
        <v>17</v>
      </c>
      <c r="I227" s="14" t="s">
        <v>17</v>
      </c>
      <c r="J227" s="14">
        <v>8.6667911578505574</v>
      </c>
      <c r="K227" s="14">
        <v>8.3677342667712189</v>
      </c>
      <c r="L227" s="14">
        <v>8.8839843779366507</v>
      </c>
      <c r="M227" s="14">
        <v>9.5176171987436362</v>
      </c>
      <c r="N227" s="14">
        <v>10.525661515297232</v>
      </c>
      <c r="O227" s="14">
        <v>11.518715908386824</v>
      </c>
      <c r="P227" s="14">
        <v>12.518624277148344</v>
      </c>
      <c r="Q227" s="14">
        <v>13.003456212416074</v>
      </c>
    </row>
    <row r="228" spans="8:17" ht="15.75" customHeight="1" x14ac:dyDescent="0.25">
      <c r="H228" s="12" t="s">
        <v>841</v>
      </c>
      <c r="I228" s="14" t="s">
        <v>841</v>
      </c>
      <c r="J228" s="14">
        <v>7.1598435060130807</v>
      </c>
      <c r="K228" s="14">
        <v>6.9127854541315239</v>
      </c>
      <c r="L228" s="14">
        <v>7.3392720209109932</v>
      </c>
      <c r="M228" s="14">
        <v>7.862731252202404</v>
      </c>
      <c r="N228" s="14">
        <v>8.6955007769545887</v>
      </c>
      <c r="O228" s="14">
        <v>9.5158867673380989</v>
      </c>
      <c r="P228" s="14">
        <v>10.341934990987788</v>
      </c>
      <c r="Q228" s="14">
        <v>10.742466251059749</v>
      </c>
    </row>
    <row r="229" spans="8:17" ht="15.75" customHeight="1" x14ac:dyDescent="0.25">
      <c r="H229" s="12" t="s">
        <v>845</v>
      </c>
      <c r="I229" s="14" t="s">
        <v>7</v>
      </c>
      <c r="J229" s="14">
        <v>4.7685943344780002</v>
      </c>
      <c r="K229" s="14">
        <v>4.5008085452850004</v>
      </c>
      <c r="L229" s="14">
        <v>4.4508415286790006</v>
      </c>
      <c r="M229" s="14">
        <v>4.6175426348219997</v>
      </c>
      <c r="N229" s="14">
        <v>4.6119590448749994</v>
      </c>
      <c r="O229" s="14">
        <v>4.5693793139669996</v>
      </c>
      <c r="P229" s="14">
        <v>4.4781746753250005</v>
      </c>
      <c r="Q229" s="14">
        <v>4.4311487348699998</v>
      </c>
    </row>
    <row r="230" spans="8:17" ht="15.75" customHeight="1" x14ac:dyDescent="0.25"/>
    <row r="231" spans="8:17" ht="15.75" customHeight="1" x14ac:dyDescent="0.25"/>
    <row r="232" spans="8:17" ht="15.75" customHeight="1" x14ac:dyDescent="0.25">
      <c r="I232" s="14" t="s">
        <v>851</v>
      </c>
    </row>
    <row r="233" spans="8:17" ht="15.75" customHeight="1" x14ac:dyDescent="0.25">
      <c r="I233" s="14" t="s">
        <v>847</v>
      </c>
      <c r="J233" s="12">
        <v>2019</v>
      </c>
      <c r="K233" s="12">
        <v>2020</v>
      </c>
      <c r="L233" s="12">
        <v>2025</v>
      </c>
      <c r="M233" s="12">
        <v>2030</v>
      </c>
      <c r="N233" s="12">
        <v>2035</v>
      </c>
      <c r="O233" s="12">
        <v>2040</v>
      </c>
      <c r="P233" s="12">
        <v>2045</v>
      </c>
      <c r="Q233" s="12">
        <v>2050</v>
      </c>
    </row>
    <row r="234" spans="8:17" ht="15.75" customHeight="1" x14ac:dyDescent="0.25">
      <c r="H234" s="12" t="s">
        <v>74</v>
      </c>
      <c r="I234" s="12" t="s">
        <v>32</v>
      </c>
      <c r="J234" s="12">
        <v>27.015813128159731</v>
      </c>
      <c r="K234" s="12">
        <v>26.062049484430577</v>
      </c>
      <c r="L234" s="12">
        <v>27.26293166627044</v>
      </c>
      <c r="M234" s="12">
        <v>28.990379051104217</v>
      </c>
      <c r="N234" s="12">
        <v>31.697009911247882</v>
      </c>
      <c r="O234" s="12">
        <v>32.967623003898666</v>
      </c>
      <c r="P234" s="12">
        <v>34.607787018684213</v>
      </c>
      <c r="Q234" s="12">
        <v>35.963817996706439</v>
      </c>
    </row>
    <row r="235" spans="8:17" ht="15.75" customHeight="1" x14ac:dyDescent="0.25">
      <c r="H235" s="12" t="s">
        <v>846</v>
      </c>
      <c r="I235" s="12" t="s">
        <v>102</v>
      </c>
      <c r="J235" s="232">
        <v>21.475872844615932</v>
      </c>
      <c r="K235" s="232">
        <v>21.173796174722664</v>
      </c>
      <c r="L235" s="232">
        <v>23.09908472316074</v>
      </c>
      <c r="M235" s="232">
        <v>25.352291121728861</v>
      </c>
      <c r="N235" s="232">
        <v>28.770631310279356</v>
      </c>
      <c r="O235" s="232">
        <v>30.877675811857468</v>
      </c>
      <c r="P235" s="232">
        <v>33.171074715211802</v>
      </c>
      <c r="Q235" s="232">
        <v>35.177965790480719</v>
      </c>
    </row>
    <row r="236" spans="8:17" ht="15.75" customHeight="1" x14ac:dyDescent="0.25">
      <c r="H236" s="12" t="s">
        <v>60</v>
      </c>
      <c r="I236" s="12" t="s">
        <v>8</v>
      </c>
      <c r="J236" s="12">
        <v>20.996450693126999</v>
      </c>
      <c r="K236" s="12">
        <v>20.789779196276999</v>
      </c>
      <c r="L236" s="12">
        <v>21.49552278666</v>
      </c>
      <c r="M236" s="12">
        <v>22.787761319388</v>
      </c>
      <c r="N236" s="12">
        <v>24.782312344958999</v>
      </c>
      <c r="O236" s="12">
        <v>26.081950485006001</v>
      </c>
      <c r="P236" s="12">
        <v>27.657616630877996</v>
      </c>
      <c r="Q236" s="12">
        <v>28.857208895307</v>
      </c>
    </row>
    <row r="237" spans="8:17" ht="15.75" customHeight="1" x14ac:dyDescent="0.25">
      <c r="H237" s="12" t="s">
        <v>74</v>
      </c>
      <c r="I237" s="12" t="s">
        <v>14</v>
      </c>
      <c r="J237" s="12">
        <v>20.905028056574999</v>
      </c>
      <c r="K237" s="12">
        <v>20.166998975720997</v>
      </c>
      <c r="L237" s="12">
        <v>21.096250136325001</v>
      </c>
      <c r="M237" s="12">
        <v>22.432961190509999</v>
      </c>
      <c r="N237" s="12">
        <v>24.527371371749997</v>
      </c>
      <c r="O237" s="12">
        <v>25.510580806347001</v>
      </c>
      <c r="P237" s="12">
        <v>26.779751368928999</v>
      </c>
      <c r="Q237" s="12">
        <v>27.829057769838002</v>
      </c>
    </row>
    <row r="238" spans="8:17" ht="15.75" customHeight="1" x14ac:dyDescent="0.25">
      <c r="H238" s="12" t="s">
        <v>22</v>
      </c>
      <c r="I238" s="12" t="s">
        <v>22</v>
      </c>
      <c r="J238" s="12">
        <v>17.550825014150998</v>
      </c>
      <c r="K238" s="12">
        <v>17.327211288426</v>
      </c>
      <c r="L238" s="12">
        <v>21.000397403115002</v>
      </c>
      <c r="M238" s="12">
        <v>23.265791875521</v>
      </c>
      <c r="N238" s="12">
        <v>25.362927030636001</v>
      </c>
      <c r="O238" s="12">
        <v>27.015707567627999</v>
      </c>
      <c r="P238" s="12">
        <v>29.097066308778</v>
      </c>
      <c r="Q238" s="12">
        <v>30.992470937063995</v>
      </c>
    </row>
    <row r="239" spans="8:17" ht="15.75" customHeight="1" x14ac:dyDescent="0.25">
      <c r="H239" s="12" t="s">
        <v>784</v>
      </c>
      <c r="I239" s="12" t="s">
        <v>30</v>
      </c>
      <c r="J239" s="12">
        <v>15.484369752577541</v>
      </c>
      <c r="K239" s="12">
        <v>15.168782704888827</v>
      </c>
      <c r="L239" s="12">
        <v>16.949109551577816</v>
      </c>
      <c r="M239" s="12">
        <v>19.89820760097551</v>
      </c>
      <c r="N239" s="12">
        <v>20.433037285408389</v>
      </c>
      <c r="O239" s="12">
        <v>21.046576062396845</v>
      </c>
      <c r="P239" s="12">
        <v>22.996499995778219</v>
      </c>
      <c r="Q239" s="12">
        <v>24.2190062601092</v>
      </c>
    </row>
    <row r="240" spans="8:17" ht="15.75" customHeight="1" x14ac:dyDescent="0.25">
      <c r="H240" s="12" t="s">
        <v>779</v>
      </c>
      <c r="I240" s="12" t="s">
        <v>18</v>
      </c>
      <c r="J240" s="12">
        <v>13.877034192216</v>
      </c>
      <c r="K240" s="12">
        <v>13.679057020707001</v>
      </c>
      <c r="L240" s="12">
        <v>14.925902701670999</v>
      </c>
      <c r="M240" s="12">
        <v>16.381853873541001</v>
      </c>
      <c r="N240" s="12">
        <v>18.590677888301997</v>
      </c>
      <c r="O240" s="12">
        <v>19.952183835207002</v>
      </c>
      <c r="P240" s="12">
        <v>21.434106140693999</v>
      </c>
      <c r="Q240" s="12">
        <v>22.730896090656</v>
      </c>
    </row>
    <row r="241" spans="8:17" ht="15.75" customHeight="1" x14ac:dyDescent="0.25">
      <c r="H241" s="12" t="s">
        <v>13</v>
      </c>
      <c r="I241" s="12" t="s">
        <v>13</v>
      </c>
      <c r="J241" s="12">
        <v>9.4202649837692984</v>
      </c>
      <c r="K241" s="12">
        <v>9.6527165147854426</v>
      </c>
      <c r="L241" s="12">
        <v>11.578601139308462</v>
      </c>
      <c r="M241" s="12">
        <v>12.911789354957682</v>
      </c>
      <c r="N241" s="12">
        <v>14.757523117529285</v>
      </c>
      <c r="O241" s="12">
        <v>16.087232795682176</v>
      </c>
      <c r="P241" s="12">
        <v>17.631300754150111</v>
      </c>
      <c r="Q241" s="12">
        <v>18.826932611437442</v>
      </c>
    </row>
    <row r="242" spans="8:17" ht="15.75" customHeight="1" x14ac:dyDescent="0.25">
      <c r="H242" s="12" t="s">
        <v>832</v>
      </c>
      <c r="I242" s="12" t="s">
        <v>832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782</v>
      </c>
      <c r="I243" s="12" t="s">
        <v>26</v>
      </c>
      <c r="J243" s="12">
        <v>9.2360008608660014</v>
      </c>
      <c r="K243" s="12">
        <v>9.6932486336400014</v>
      </c>
      <c r="L243" s="12">
        <v>9.5472696505679995</v>
      </c>
      <c r="M243" s="12">
        <v>10.673080048449</v>
      </c>
      <c r="N243" s="12">
        <v>12.218909862978</v>
      </c>
      <c r="O243" s="12">
        <v>13.22060646816</v>
      </c>
      <c r="P243" s="12">
        <v>14.059067186150999</v>
      </c>
      <c r="Q243" s="12">
        <v>15.210941603714998</v>
      </c>
    </row>
    <row r="244" spans="8:17" ht="15.75" customHeight="1" x14ac:dyDescent="0.25">
      <c r="H244" s="12" t="s">
        <v>17</v>
      </c>
      <c r="I244" s="12" t="s">
        <v>17</v>
      </c>
      <c r="J244" s="12">
        <v>8.6667911578505574</v>
      </c>
      <c r="K244" s="12">
        <v>8.8806502029103971</v>
      </c>
      <c r="L244" s="12">
        <v>10.652494186451701</v>
      </c>
      <c r="M244" s="12">
        <v>11.87904820155075</v>
      </c>
      <c r="N244" s="12">
        <v>13.577152138198308</v>
      </c>
      <c r="O244" s="12">
        <v>14.800505844381702</v>
      </c>
      <c r="P244" s="12">
        <v>16.22107252192496</v>
      </c>
      <c r="Q244" s="12">
        <v>17.321072535367904</v>
      </c>
    </row>
    <row r="245" spans="8:17" ht="15.75" customHeight="1" x14ac:dyDescent="0.25">
      <c r="H245" s="12" t="s">
        <v>841</v>
      </c>
      <c r="I245" s="12" t="s">
        <v>841</v>
      </c>
      <c r="J245" s="12">
        <v>7.1598435060130807</v>
      </c>
      <c r="K245" s="12">
        <v>7.3365175791603097</v>
      </c>
      <c r="L245" s="12">
        <v>8.8002802807381819</v>
      </c>
      <c r="M245" s="12">
        <v>9.8135658947368913</v>
      </c>
      <c r="N245" s="12">
        <v>11.216410179536366</v>
      </c>
      <c r="O245" s="12">
        <v>12.227051941780758</v>
      </c>
      <c r="P245" s="12">
        <v>13.400616057474668</v>
      </c>
      <c r="Q245" s="12">
        <v>14.309352383228823</v>
      </c>
    </row>
    <row r="246" spans="8:17" ht="15.75" customHeight="1" x14ac:dyDescent="0.25">
      <c r="H246" s="12" t="s">
        <v>845</v>
      </c>
      <c r="I246" s="12" t="s">
        <v>7</v>
      </c>
      <c r="J246" s="12">
        <v>4.7688341321789993</v>
      </c>
      <c r="K246" s="12">
        <v>4.6568448145439998</v>
      </c>
      <c r="L246" s="12">
        <v>5.7706406841329994</v>
      </c>
      <c r="M246" s="12">
        <v>6.7599028780919994</v>
      </c>
      <c r="N246" s="12">
        <v>7.3262282746769998</v>
      </c>
      <c r="O246" s="12">
        <v>7.6825591280100003</v>
      </c>
      <c r="P246" s="12">
        <v>8.0943780319740011</v>
      </c>
      <c r="Q246" s="12">
        <v>8.6837619205349998</v>
      </c>
    </row>
    <row r="247" spans="8:17" ht="15.75" customHeight="1" x14ac:dyDescent="0.25"/>
    <row r="248" spans="8:17" ht="15.75" customHeight="1" x14ac:dyDescent="0.25"/>
    <row r="249" spans="8:17" ht="15.75" customHeight="1" x14ac:dyDescent="0.25">
      <c r="J249" s="12">
        <v>21.475872844615932</v>
      </c>
      <c r="K249" s="12">
        <v>21.173796174722664</v>
      </c>
      <c r="L249" s="12">
        <v>23.09908472316074</v>
      </c>
      <c r="M249" s="12">
        <v>25.352291121728861</v>
      </c>
      <c r="N249" s="12">
        <v>28.770631310279356</v>
      </c>
      <c r="O249" s="12">
        <v>30.877675811857468</v>
      </c>
      <c r="P249" s="12">
        <v>33.171074715211802</v>
      </c>
      <c r="Q249" s="12">
        <v>35.177965790480719</v>
      </c>
    </row>
    <row r="250" spans="8:17" ht="15.75" customHeight="1" x14ac:dyDescent="0.25"/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autoFilter ref="I233:Q233" xr:uid="{00000000-0009-0000-0000-000003000000}">
    <sortState xmlns:xlrd2="http://schemas.microsoft.com/office/spreadsheetml/2017/richdata2" ref="I233:Q233">
      <sortCondition descending="1" ref="J233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x14ac:dyDescent="0.25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25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x14ac:dyDescent="0.25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x14ac:dyDescent="0.25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x14ac:dyDescent="0.25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x14ac:dyDescent="0.25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x14ac:dyDescent="0.25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x14ac:dyDescent="0.25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25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25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25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25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25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270</v>
      </c>
      <c r="I56" s="20"/>
      <c r="J56" s="20"/>
      <c r="K56" s="20"/>
      <c r="L56" s="20"/>
    </row>
    <row r="57" spans="8:12" ht="15.75" customHeight="1" x14ac:dyDescent="0.25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25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25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25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25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25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804</v>
      </c>
    </row>
    <row r="66" spans="4:20" ht="15.75" customHeight="1" x14ac:dyDescent="0.25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25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6" t="s">
        <v>1566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804</v>
      </c>
      <c r="J98" s="268"/>
      <c r="K98" s="269"/>
    </row>
    <row r="99" spans="8:18" ht="15.75" customHeight="1" x14ac:dyDescent="0.25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478</v>
      </c>
    </row>
    <row r="2" spans="2:8" x14ac:dyDescent="0.25">
      <c r="G2" s="276" t="s">
        <v>480</v>
      </c>
    </row>
    <row r="3" spans="2:8" x14ac:dyDescent="0.25">
      <c r="G3" s="277" t="s">
        <v>486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">
      <c r="B21" s="282" t="s">
        <v>909</v>
      </c>
    </row>
    <row r="22" spans="2:15" ht="15.75" customHeight="1" x14ac:dyDescent="0.25"/>
    <row r="23" spans="2:15" ht="15.75" customHeight="1" x14ac:dyDescent="0.25">
      <c r="B23" s="283" t="s">
        <v>910</v>
      </c>
    </row>
    <row r="24" spans="2:15" ht="15.75" customHeight="1" x14ac:dyDescent="0.25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911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915</v>
      </c>
    </row>
    <row r="4" spans="2:10" x14ac:dyDescent="0.25">
      <c r="B4" s="70"/>
      <c r="C4" s="70"/>
      <c r="J4" s="12" t="s">
        <v>916</v>
      </c>
    </row>
    <row r="5" spans="2:10" x14ac:dyDescent="0.25">
      <c r="B5" s="289"/>
      <c r="C5" s="202"/>
      <c r="D5" s="998" t="s">
        <v>917</v>
      </c>
      <c r="E5" s="971"/>
      <c r="F5" s="971"/>
    </row>
    <row r="6" spans="2:10" x14ac:dyDescent="0.25">
      <c r="B6" s="289"/>
      <c r="C6" s="290"/>
      <c r="D6" s="290" t="s">
        <v>918</v>
      </c>
      <c r="E6" s="290" t="s">
        <v>919</v>
      </c>
      <c r="F6" s="290" t="s">
        <v>920</v>
      </c>
    </row>
    <row r="7" spans="2:10" x14ac:dyDescent="0.25">
      <c r="B7" s="999" t="s">
        <v>921</v>
      </c>
      <c r="C7" s="290" t="s">
        <v>922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71"/>
      <c r="C8" s="290" t="s">
        <v>923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920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924</v>
      </c>
      <c r="C10" s="290" t="s">
        <v>925</v>
      </c>
      <c r="E10" s="292">
        <v>0.6</v>
      </c>
      <c r="F10" s="293"/>
    </row>
    <row r="11" spans="2:10" x14ac:dyDescent="0.25">
      <c r="B11" s="70"/>
      <c r="C11" s="290" t="s">
        <v>926</v>
      </c>
      <c r="D11" s="294"/>
      <c r="E11" s="292">
        <v>0.25</v>
      </c>
      <c r="F11" s="293"/>
    </row>
    <row r="12" spans="2:10" x14ac:dyDescent="0.25">
      <c r="B12" s="70"/>
      <c r="C12" s="290" t="s">
        <v>927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918</v>
      </c>
      <c r="E14" s="214" t="s">
        <v>919</v>
      </c>
      <c r="F14" s="214" t="s">
        <v>920</v>
      </c>
    </row>
    <row r="15" spans="2:10" x14ac:dyDescent="0.25">
      <c r="B15" s="70" t="s">
        <v>921</v>
      </c>
      <c r="C15" s="214" t="s">
        <v>928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929</v>
      </c>
      <c r="C16" s="14" t="s">
        <v>930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918</v>
      </c>
      <c r="E20" s="12" t="s">
        <v>919</v>
      </c>
    </row>
    <row r="21" spans="2:8" ht="15.75" customHeight="1" x14ac:dyDescent="0.25">
      <c r="B21" s="70"/>
      <c r="C21" s="14" t="s">
        <v>931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918</v>
      </c>
      <c r="E24" s="12" t="s">
        <v>919</v>
      </c>
    </row>
    <row r="25" spans="2:8" ht="15.75" customHeight="1" x14ac:dyDescent="0.25">
      <c r="B25" s="70" t="s">
        <v>932</v>
      </c>
      <c r="C25" s="12" t="s">
        <v>933</v>
      </c>
      <c r="D25" s="266">
        <v>0.83</v>
      </c>
      <c r="E25" s="266">
        <v>0.93700000000000006</v>
      </c>
    </row>
    <row r="26" spans="2:8" ht="15.75" customHeight="1" x14ac:dyDescent="0.25">
      <c r="B26" s="70" t="s">
        <v>924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918</v>
      </c>
      <c r="E28" s="12" t="s">
        <v>919</v>
      </c>
    </row>
    <row r="29" spans="2:8" ht="15.75" customHeight="1" x14ac:dyDescent="0.25">
      <c r="B29" s="70" t="s">
        <v>932</v>
      </c>
      <c r="C29" s="12" t="s">
        <v>934</v>
      </c>
      <c r="D29" s="228">
        <v>0.61</v>
      </c>
      <c r="E29" s="228">
        <v>0.97</v>
      </c>
    </row>
    <row r="30" spans="2:8" ht="15.75" customHeight="1" x14ac:dyDescent="0.25">
      <c r="B30" s="813"/>
      <c r="C30" s="814"/>
      <c r="D30" s="227" t="s">
        <v>918</v>
      </c>
      <c r="E30" s="814" t="s">
        <v>919</v>
      </c>
    </row>
    <row r="31" spans="2:8" ht="15.75" customHeight="1" x14ac:dyDescent="0.25">
      <c r="B31" s="813" t="s">
        <v>935</v>
      </c>
      <c r="C31" s="814" t="s">
        <v>936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3"/>
      <c r="C32" s="814" t="s">
        <v>937</v>
      </c>
      <c r="D32" s="814">
        <v>222000</v>
      </c>
      <c r="E32" s="814">
        <v>165000</v>
      </c>
    </row>
    <row r="33" spans="2:9" ht="15.75" customHeight="1" x14ac:dyDescent="0.25">
      <c r="B33" s="813"/>
      <c r="C33" s="814" t="s">
        <v>938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25">
      <c r="B34" s="70" t="s">
        <v>932</v>
      </c>
      <c r="C34" s="12" t="s">
        <v>936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937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938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918</v>
      </c>
      <c r="E39" s="12" t="s">
        <v>919</v>
      </c>
    </row>
    <row r="40" spans="2:9" ht="15.75" customHeight="1" x14ac:dyDescent="0.25">
      <c r="B40" s="70"/>
      <c r="C40" s="12" t="s">
        <v>939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940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1000" t="s">
        <v>929</v>
      </c>
      <c r="C45" s="12" t="s">
        <v>941</v>
      </c>
    </row>
    <row r="46" spans="2:9" ht="15.75" customHeight="1" x14ac:dyDescent="0.25">
      <c r="B46" s="971"/>
      <c r="D46" s="14" t="s">
        <v>918</v>
      </c>
      <c r="E46" s="12" t="s">
        <v>919</v>
      </c>
      <c r="F46" s="12" t="s">
        <v>942</v>
      </c>
    </row>
    <row r="47" spans="2:9" ht="15.75" customHeight="1" x14ac:dyDescent="0.25">
      <c r="B47" s="971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71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71"/>
      <c r="C49" s="12" t="s">
        <v>943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71"/>
      <c r="C50" s="12" t="s">
        <v>944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945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919</v>
      </c>
      <c r="H54" s="293"/>
    </row>
    <row r="55" spans="2:15" ht="15.75" customHeight="1" x14ac:dyDescent="0.25">
      <c r="B55" s="70" t="s">
        <v>946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943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944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929</v>
      </c>
      <c r="C62" s="301" t="s">
        <v>947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918</v>
      </c>
      <c r="E63" s="12" t="s">
        <v>919</v>
      </c>
      <c r="G63" s="305"/>
    </row>
    <row r="64" spans="2:15" ht="15.75" customHeight="1" x14ac:dyDescent="0.25">
      <c r="B64" s="304"/>
      <c r="C64" s="12" t="s">
        <v>948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949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950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949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943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951</v>
      </c>
      <c r="L66" s="228">
        <v>4.7E-2</v>
      </c>
      <c r="M66" s="12">
        <f t="shared" si="6"/>
        <v>4.7E-2</v>
      </c>
      <c r="N66" s="12" t="s">
        <v>949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944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944</v>
      </c>
      <c r="L67" s="228">
        <v>9.1999999999999998E-2</v>
      </c>
      <c r="M67" s="12">
        <f t="shared" si="6"/>
        <v>9.1999999999999998E-2</v>
      </c>
      <c r="N67" s="12" t="s">
        <v>949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949</v>
      </c>
      <c r="O68" s="12">
        <f>+M68*'4.1 Ref_Cart'!E8</f>
        <v>6.0871741676095334</v>
      </c>
    </row>
    <row r="69" spans="2:17" ht="15.75" customHeight="1" x14ac:dyDescent="0.25">
      <c r="B69" s="308" t="s">
        <v>946</v>
      </c>
      <c r="D69" s="14" t="s">
        <v>918</v>
      </c>
      <c r="E69" s="12" t="s">
        <v>919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948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943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944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952</v>
      </c>
      <c r="D75" s="14" t="s">
        <v>918</v>
      </c>
      <c r="E75" s="12" t="s">
        <v>919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25">
      <c r="B78" s="304"/>
      <c r="C78" s="12" t="s">
        <v>943</v>
      </c>
      <c r="D78" s="266">
        <v>9.9000000000000005E-2</v>
      </c>
      <c r="G78" s="820">
        <f t="shared" si="9"/>
        <v>17820</v>
      </c>
    </row>
    <row r="79" spans="2:17" ht="15.75" customHeight="1" x14ac:dyDescent="0.25">
      <c r="B79" s="304"/>
      <c r="C79" s="12" t="s">
        <v>953</v>
      </c>
      <c r="D79" s="266">
        <v>0.248</v>
      </c>
      <c r="G79" s="820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952</v>
      </c>
      <c r="C81" s="306" t="s">
        <v>954</v>
      </c>
      <c r="D81" s="14" t="s">
        <v>918</v>
      </c>
      <c r="E81" s="12" t="s">
        <v>919</v>
      </c>
      <c r="I81" s="818" t="s">
        <v>918</v>
      </c>
      <c r="J81" s="818" t="s">
        <v>919</v>
      </c>
    </row>
    <row r="82" spans="2:10" ht="15.75" customHeight="1" x14ac:dyDescent="0.25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25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25">
      <c r="B84" s="70"/>
      <c r="C84" s="814" t="s">
        <v>943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25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929</v>
      </c>
    </row>
    <row r="91" spans="2:10" ht="15.75" customHeight="1" x14ac:dyDescent="0.25">
      <c r="B91" s="70"/>
      <c r="C91" s="214"/>
      <c r="D91" s="214" t="s">
        <v>955</v>
      </c>
      <c r="E91" s="214"/>
    </row>
    <row r="92" spans="2:10" ht="15.75" customHeight="1" x14ac:dyDescent="0.25">
      <c r="B92" s="70"/>
      <c r="C92" s="214" t="s">
        <v>956</v>
      </c>
      <c r="D92" s="313" t="s">
        <v>957</v>
      </c>
      <c r="E92" s="214" t="s">
        <v>958</v>
      </c>
    </row>
    <row r="93" spans="2:10" ht="15.75" customHeight="1" x14ac:dyDescent="0.25">
      <c r="B93" s="70"/>
      <c r="C93" s="214" t="s">
        <v>959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960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961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944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17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952</v>
      </c>
      <c r="C100" s="70"/>
      <c r="D100" s="12" t="s">
        <v>962</v>
      </c>
    </row>
    <row r="101" spans="2:5" ht="15.75" customHeight="1" x14ac:dyDescent="0.25">
      <c r="B101" s="70"/>
      <c r="C101" s="12" t="s">
        <v>948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943</v>
      </c>
      <c r="D103" s="228">
        <v>0.64</v>
      </c>
    </row>
    <row r="104" spans="2:5" ht="15.75" customHeight="1" x14ac:dyDescent="0.25">
      <c r="B104" s="70"/>
      <c r="C104" s="12" t="s">
        <v>963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38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2"/>
      <c r="U7" s="1001" t="s">
        <v>1574</v>
      </c>
      <c r="V7" s="1001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3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20</v>
      </c>
      <c r="F31" s="818" t="s">
        <v>1582</v>
      </c>
    </row>
    <row r="32" spans="1:19" x14ac:dyDescent="0.25">
      <c r="C32" s="853" t="s">
        <v>921</v>
      </c>
      <c r="D32" s="818" t="s">
        <v>1588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25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25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25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25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25">
      <c r="C41" s="853" t="s">
        <v>924</v>
      </c>
      <c r="D41" s="849" t="s">
        <v>1592</v>
      </c>
      <c r="G41" s="838"/>
      <c r="H41" s="838" t="s">
        <v>1581</v>
      </c>
      <c r="I41" s="838" t="s">
        <v>1578</v>
      </c>
      <c r="J41" s="838" t="s">
        <v>577</v>
      </c>
    </row>
    <row r="42" spans="3:10" x14ac:dyDescent="0.25">
      <c r="D42" s="818" t="s">
        <v>831</v>
      </c>
      <c r="E42" s="833">
        <v>0.15</v>
      </c>
      <c r="G42" s="838" t="s">
        <v>1582</v>
      </c>
      <c r="H42" s="838" t="s">
        <v>1589</v>
      </c>
      <c r="I42" s="838" t="s">
        <v>689</v>
      </c>
      <c r="J42" s="838" t="s">
        <v>1590</v>
      </c>
    </row>
    <row r="43" spans="3:10" x14ac:dyDescent="0.25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25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25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25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25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25">
      <c r="D49" s="848" t="s">
        <v>536</v>
      </c>
    </row>
    <row r="50" spans="3:6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6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6" x14ac:dyDescent="0.25">
      <c r="D53" s="837" t="s">
        <v>1593</v>
      </c>
      <c r="E53" s="847">
        <f>+E52</f>
        <v>16.802426854852598</v>
      </c>
      <c r="F53" s="837" t="s">
        <v>1598</v>
      </c>
    </row>
    <row r="56" spans="3:6" ht="18.75" x14ac:dyDescent="0.3">
      <c r="D56" s="832" t="s">
        <v>1600</v>
      </c>
    </row>
    <row r="58" spans="3:6" x14ac:dyDescent="0.25">
      <c r="D58" s="848" t="s">
        <v>1639</v>
      </c>
    </row>
    <row r="59" spans="3:6" x14ac:dyDescent="0.25">
      <c r="C59" s="70" t="s">
        <v>1605</v>
      </c>
      <c r="D59" s="18" t="s">
        <v>1030</v>
      </c>
      <c r="E59" s="12">
        <v>165</v>
      </c>
      <c r="F59" s="365" t="s">
        <v>513</v>
      </c>
    </row>
    <row r="60" spans="3:6" x14ac:dyDescent="0.25">
      <c r="C60" s="70" t="s">
        <v>1604</v>
      </c>
      <c r="D60" s="18" t="s">
        <v>1032</v>
      </c>
      <c r="E60" s="12">
        <v>155</v>
      </c>
      <c r="F60" s="365" t="s">
        <v>513</v>
      </c>
    </row>
    <row r="61" spans="3:6" x14ac:dyDescent="0.25">
      <c r="C61" s="850"/>
      <c r="D61" s="18" t="s">
        <v>1602</v>
      </c>
      <c r="E61" s="275">
        <f>+E59*365*C8/1000</f>
        <v>366.60006424428417</v>
      </c>
      <c r="F61" s="365" t="s">
        <v>59</v>
      </c>
    </row>
    <row r="62" spans="3:6" x14ac:dyDescent="0.25">
      <c r="C62" s="850"/>
      <c r="D62" s="18" t="s">
        <v>1603</v>
      </c>
      <c r="E62" s="275">
        <f>+E60*365*C9/1000</f>
        <v>344.3818785325094</v>
      </c>
      <c r="F62" s="365" t="s">
        <v>59</v>
      </c>
    </row>
    <row r="63" spans="3:6" x14ac:dyDescent="0.25">
      <c r="C63" s="850"/>
      <c r="D63" s="18"/>
      <c r="E63" s="275"/>
      <c r="F63" s="365"/>
    </row>
    <row r="64" spans="3:6" x14ac:dyDescent="0.25">
      <c r="C64" s="70" t="s">
        <v>1642</v>
      </c>
      <c r="D64" s="18" t="s">
        <v>1637</v>
      </c>
      <c r="E64" s="865">
        <f>+E60/E59</f>
        <v>0.93939393939393945</v>
      </c>
      <c r="F64" s="365"/>
    </row>
    <row r="65" spans="1:9" x14ac:dyDescent="0.25">
      <c r="C65" s="70" t="s">
        <v>1641</v>
      </c>
      <c r="D65" s="18" t="s">
        <v>1638</v>
      </c>
      <c r="E65" s="865">
        <v>0.95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853" t="s">
        <v>1605</v>
      </c>
      <c r="D72" s="854" t="s">
        <v>1616</v>
      </c>
      <c r="E72" s="809">
        <f>0.17+0.015+0.035+0.043</f>
        <v>0.26300000000000001</v>
      </c>
      <c r="F72" s="836">
        <f>+E72*365*C21</f>
        <v>11.528999500000001</v>
      </c>
    </row>
    <row r="73" spans="1:9" x14ac:dyDescent="0.25">
      <c r="C73" s="853" t="s">
        <v>1605</v>
      </c>
      <c r="D73" s="854" t="s">
        <v>1615</v>
      </c>
      <c r="E73">
        <v>33.799999999999997</v>
      </c>
      <c r="F73" s="836">
        <f>+(E73*C17/1000)*365</f>
        <v>12.365388545948255</v>
      </c>
      <c r="I73" s="854"/>
    </row>
    <row r="74" spans="1:9" x14ac:dyDescent="0.25">
      <c r="C74" s="853" t="s">
        <v>1614</v>
      </c>
      <c r="D74" s="854" t="s">
        <v>1617</v>
      </c>
      <c r="E74" s="836">
        <f>+G79-E73</f>
        <v>37.977777777777774</v>
      </c>
      <c r="F74" s="836">
        <f>+(E74*C7/1000)*365</f>
        <v>13.994371732299081</v>
      </c>
    </row>
    <row r="75" spans="1:9" x14ac:dyDescent="0.25">
      <c r="C75" s="853" t="s">
        <v>1607</v>
      </c>
      <c r="D75" s="818" t="s">
        <v>782</v>
      </c>
      <c r="E75" s="855">
        <v>0</v>
      </c>
      <c r="F75" s="855">
        <v>0</v>
      </c>
    </row>
    <row r="76" spans="1:9" x14ac:dyDescent="0.25">
      <c r="C76" s="853" t="s">
        <v>1608</v>
      </c>
      <c r="D76" s="854" t="s">
        <v>1618</v>
      </c>
      <c r="E76">
        <v>347</v>
      </c>
      <c r="F76" s="809">
        <f>+(E76/E14)/1000</f>
        <v>0.51374637610155072</v>
      </c>
    </row>
    <row r="77" spans="1:9" x14ac:dyDescent="0.25">
      <c r="C77" s="853"/>
      <c r="D77" s="818"/>
    </row>
    <row r="79" spans="1:9" x14ac:dyDescent="0.25">
      <c r="C79" s="853" t="s">
        <v>1613</v>
      </c>
      <c r="D79" s="854" t="s">
        <v>1609</v>
      </c>
      <c r="E79" s="836">
        <v>165</v>
      </c>
      <c r="F79" s="854" t="s">
        <v>1610</v>
      </c>
      <c r="G79" s="857">
        <f>+SLOPE(G80:G81,E80:E81)*E79+INTERCEPT(G80:G81,E80:E81)</f>
        <v>71.777777777777771</v>
      </c>
      <c r="H79" s="854" t="s">
        <v>538</v>
      </c>
    </row>
    <row r="80" spans="1:9" x14ac:dyDescent="0.25">
      <c r="A80" s="852"/>
      <c r="C80" s="853" t="s">
        <v>1605</v>
      </c>
      <c r="D80" s="854" t="s">
        <v>1609</v>
      </c>
      <c r="E80">
        <v>200</v>
      </c>
      <c r="F80" s="854" t="s">
        <v>1610</v>
      </c>
      <c r="G80">
        <v>78</v>
      </c>
      <c r="H80" s="858" t="s">
        <v>538</v>
      </c>
      <c r="I80" s="818"/>
    </row>
    <row r="81" spans="1:9" x14ac:dyDescent="0.25">
      <c r="A81" s="809"/>
      <c r="B81" s="819"/>
      <c r="C81" s="853" t="s">
        <v>1605</v>
      </c>
      <c r="D81" s="854" t="s">
        <v>1609</v>
      </c>
      <c r="E81">
        <v>245</v>
      </c>
      <c r="F81" s="854" t="s">
        <v>1610</v>
      </c>
      <c r="G81" s="856">
        <v>86</v>
      </c>
      <c r="H81" s="854" t="s">
        <v>538</v>
      </c>
    </row>
    <row r="82" spans="1:9" x14ac:dyDescent="0.25">
      <c r="A82" s="809"/>
      <c r="B82" s="819"/>
      <c r="C82" s="818"/>
      <c r="D82" s="818"/>
      <c r="E82" s="809"/>
      <c r="F82" s="818"/>
    </row>
    <row r="83" spans="1:9" x14ac:dyDescent="0.25">
      <c r="A83" s="809"/>
      <c r="B83" s="836"/>
      <c r="C83" s="818"/>
      <c r="D83" s="848" t="s">
        <v>1619</v>
      </c>
      <c r="E83" s="809"/>
      <c r="F83" s="818"/>
    </row>
    <row r="85" spans="1:9" x14ac:dyDescent="0.25">
      <c r="D85" s="854" t="s">
        <v>1620</v>
      </c>
      <c r="E85" s="804">
        <f>+F72/E61</f>
        <v>3.144843829682923E-2</v>
      </c>
      <c r="F85" s="854" t="s">
        <v>533</v>
      </c>
      <c r="I85" s="809"/>
    </row>
    <row r="86" spans="1:9" x14ac:dyDescent="0.25">
      <c r="D86" s="854" t="s">
        <v>1621</v>
      </c>
      <c r="E86">
        <f>+F73/E61</f>
        <v>3.372991374521029E-2</v>
      </c>
      <c r="F86" s="854" t="s">
        <v>533</v>
      </c>
      <c r="I86" s="809"/>
    </row>
    <row r="87" spans="1:9" x14ac:dyDescent="0.25">
      <c r="D87" s="854" t="s">
        <v>1622</v>
      </c>
      <c r="E87">
        <f>+F74/E61</f>
        <v>3.8173402290987937E-2</v>
      </c>
      <c r="F87" s="854" t="s">
        <v>533</v>
      </c>
      <c r="I87" s="809"/>
    </row>
    <row r="88" spans="1:9" x14ac:dyDescent="0.25">
      <c r="D88" s="854" t="s">
        <v>1623</v>
      </c>
      <c r="E88" s="855">
        <v>0</v>
      </c>
      <c r="I88" s="809"/>
    </row>
    <row r="89" spans="1:9" x14ac:dyDescent="0.25">
      <c r="D89" s="854" t="s">
        <v>1624</v>
      </c>
      <c r="E89">
        <f>+F76/E62</f>
        <v>1.4917927107278191E-3</v>
      </c>
      <c r="F89" s="854" t="s">
        <v>533</v>
      </c>
      <c r="I89" s="809"/>
    </row>
    <row r="90" spans="1:9" x14ac:dyDescent="0.25">
      <c r="E90" s="861">
        <f>+SUM(E85:E89)</f>
        <v>0.10484354704375527</v>
      </c>
      <c r="F90" s="854" t="s">
        <v>533</v>
      </c>
      <c r="H90" s="809">
        <f>+E90*$E$62</f>
        <v>36.106217682939963</v>
      </c>
      <c r="I90" s="879" t="s">
        <v>59</v>
      </c>
    </row>
    <row r="93" spans="1:9" ht="18.75" x14ac:dyDescent="0.3">
      <c r="D93" s="832" t="s">
        <v>1626</v>
      </c>
    </row>
    <row r="95" spans="1:9" x14ac:dyDescent="0.25">
      <c r="E95" s="391"/>
      <c r="F95" s="392" t="s">
        <v>586</v>
      </c>
      <c r="G95" s="392" t="s">
        <v>993</v>
      </c>
    </row>
    <row r="96" spans="1:9" x14ac:dyDescent="0.25">
      <c r="B96" s="853" t="s">
        <v>1629</v>
      </c>
      <c r="C96" s="853" t="s">
        <v>1628</v>
      </c>
      <c r="E96" s="393" t="s">
        <v>1044</v>
      </c>
      <c r="F96" s="394">
        <f>394.77/299.7</f>
        <v>1.3172172172172172</v>
      </c>
      <c r="G96" s="395">
        <f>+F96</f>
        <v>1.3172172172172172</v>
      </c>
      <c r="H96" s="12" t="s">
        <v>1045</v>
      </c>
    </row>
    <row r="97" spans="2:8" x14ac:dyDescent="0.25">
      <c r="B97" s="853"/>
      <c r="C97" s="853"/>
      <c r="E97" s="393"/>
      <c r="F97" s="394"/>
      <c r="G97" s="395"/>
      <c r="H97" s="12"/>
    </row>
    <row r="99" spans="2:8" ht="18.75" x14ac:dyDescent="0.3">
      <c r="D99" s="832" t="s">
        <v>1627</v>
      </c>
    </row>
    <row r="101" spans="2:8" x14ac:dyDescent="0.25">
      <c r="E101" s="862" t="s">
        <v>586</v>
      </c>
      <c r="F101" s="862" t="s">
        <v>993</v>
      </c>
      <c r="H101" s="854" t="s">
        <v>1655</v>
      </c>
    </row>
    <row r="102" spans="2:8" x14ac:dyDescent="0.25">
      <c r="C102" s="853" t="s">
        <v>1605</v>
      </c>
      <c r="D102" s="854" t="s">
        <v>1631</v>
      </c>
      <c r="E102" s="863">
        <f>+E103+E104+E105+E106+E107</f>
        <v>160.5</v>
      </c>
      <c r="F102" s="836">
        <f>+SUM(F103:F108)</f>
        <v>331.52912709130356</v>
      </c>
      <c r="G102" s="854" t="s">
        <v>59</v>
      </c>
    </row>
    <row r="103" spans="2:8" x14ac:dyDescent="0.25">
      <c r="C103" s="853" t="s">
        <v>1605</v>
      </c>
      <c r="D103" s="854" t="s">
        <v>959</v>
      </c>
      <c r="E103">
        <f>36.8+12.6</f>
        <v>49.4</v>
      </c>
      <c r="F103" s="836">
        <f>+E103*365*C11/1000</f>
        <v>96.121435081229123</v>
      </c>
      <c r="G103" s="854" t="s">
        <v>59</v>
      </c>
      <c r="H103" s="841">
        <f>+F103/SUM($F$103:$F$108)</f>
        <v>0.28993360530508427</v>
      </c>
    </row>
    <row r="104" spans="2:8" x14ac:dyDescent="0.25">
      <c r="C104" s="853" t="s">
        <v>1605</v>
      </c>
      <c r="D104" s="854" t="s">
        <v>1020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0.58687711610605675</v>
      </c>
    </row>
    <row r="105" spans="2:8" x14ac:dyDescent="0.25">
      <c r="C105" s="853" t="s">
        <v>1605</v>
      </c>
      <c r="D105" s="854" t="s">
        <v>1630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5.2912430899247027E-2</v>
      </c>
    </row>
    <row r="106" spans="2:8" x14ac:dyDescent="0.25">
      <c r="C106" s="853" t="s">
        <v>1605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8.4169959959020657E-3</v>
      </c>
    </row>
    <row r="107" spans="2:8" x14ac:dyDescent="0.25">
      <c r="C107" s="853" t="s">
        <v>1605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2.4561805955053667E-2</v>
      </c>
    </row>
    <row r="108" spans="2:8" x14ac:dyDescent="0.25">
      <c r="C108" s="853" t="s">
        <v>1634</v>
      </c>
      <c r="D108" s="854" t="s">
        <v>1633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3.7298045738656353E-2</v>
      </c>
    </row>
    <row r="109" spans="2:8" x14ac:dyDescent="0.25">
      <c r="H109" s="833">
        <f>+SUM(H103:H108)</f>
        <v>1</v>
      </c>
    </row>
    <row r="111" spans="2:8" x14ac:dyDescent="0.25">
      <c r="D111" s="848" t="s">
        <v>1632</v>
      </c>
    </row>
    <row r="112" spans="2:8" x14ac:dyDescent="0.25">
      <c r="D112" s="854" t="s">
        <v>959</v>
      </c>
      <c r="E112" s="808">
        <f>+F103/$E$61</f>
        <v>0.26219699464421958</v>
      </c>
      <c r="F112" s="854" t="s">
        <v>533</v>
      </c>
    </row>
    <row r="113" spans="1:6" x14ac:dyDescent="0.25">
      <c r="D113" s="854" t="s">
        <v>1020</v>
      </c>
      <c r="E113" s="808">
        <f t="shared" ref="E113:E117" si="9">+F104/$E$61</f>
        <v>0.53073328945968989</v>
      </c>
      <c r="F113" s="854" t="s">
        <v>533</v>
      </c>
    </row>
    <row r="114" spans="1:6" x14ac:dyDescent="0.25">
      <c r="D114" s="854" t="s">
        <v>1630</v>
      </c>
      <c r="E114" s="808">
        <f t="shared" si="9"/>
        <v>4.7850542700988603E-2</v>
      </c>
      <c r="F114" s="854" t="s">
        <v>533</v>
      </c>
    </row>
    <row r="115" spans="1:6" x14ac:dyDescent="0.25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25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25">
      <c r="D117" s="854" t="s">
        <v>1633</v>
      </c>
      <c r="E117" s="808">
        <f t="shared" si="9"/>
        <v>3.372991374521029E-2</v>
      </c>
      <c r="F117" s="854" t="s">
        <v>533</v>
      </c>
    </row>
    <row r="119" spans="1:6" x14ac:dyDescent="0.25">
      <c r="C119" s="853" t="s">
        <v>1646</v>
      </c>
      <c r="D119" s="854" t="s">
        <v>1635</v>
      </c>
      <c r="E119" s="864">
        <f>+F102/E61</f>
        <v>0.90433461263768067</v>
      </c>
      <c r="F119" s="854"/>
    </row>
    <row r="120" spans="1:6" x14ac:dyDescent="0.25">
      <c r="C120" s="853"/>
    </row>
    <row r="124" spans="1:6" x14ac:dyDescent="0.25">
      <c r="A124" s="327" t="s">
        <v>270</v>
      </c>
      <c r="B124" s="1"/>
      <c r="C124" s="1"/>
      <c r="D124" s="1"/>
      <c r="E124" s="1"/>
      <c r="F124" s="1"/>
    </row>
    <row r="125" spans="1:6" x14ac:dyDescent="0.25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25">
      <c r="A126" s="1" t="s">
        <v>289</v>
      </c>
      <c r="B126" s="1"/>
      <c r="C126" s="17" t="s">
        <v>975</v>
      </c>
      <c r="D126" s="1" t="s">
        <v>976</v>
      </c>
      <c r="E126" s="1" t="s">
        <v>59</v>
      </c>
      <c r="F126" s="1" t="s">
        <v>288</v>
      </c>
    </row>
    <row r="127" spans="1:6" x14ac:dyDescent="0.25">
      <c r="A127" s="1"/>
      <c r="B127" s="1"/>
      <c r="C127" s="338" t="s">
        <v>979</v>
      </c>
      <c r="D127" s="328" t="s">
        <v>980</v>
      </c>
      <c r="E127" s="1" t="s">
        <v>59</v>
      </c>
      <c r="F127" s="1" t="s">
        <v>288</v>
      </c>
    </row>
    <row r="128" spans="1:6" x14ac:dyDescent="0.25">
      <c r="A128" s="1"/>
      <c r="B128" s="1"/>
      <c r="C128" s="342" t="s">
        <v>981</v>
      </c>
      <c r="D128" s="328" t="s">
        <v>982</v>
      </c>
      <c r="E128" s="1" t="s">
        <v>59</v>
      </c>
      <c r="F128" s="1" t="s">
        <v>288</v>
      </c>
    </row>
    <row r="129" spans="1:6" x14ac:dyDescent="0.25">
      <c r="A129" s="1"/>
      <c r="B129" s="1"/>
      <c r="C129" s="17" t="s">
        <v>983</v>
      </c>
      <c r="D129" s="328" t="s">
        <v>984</v>
      </c>
      <c r="E129" s="1" t="s">
        <v>59</v>
      </c>
      <c r="F129" s="1" t="s">
        <v>288</v>
      </c>
    </row>
    <row r="130" spans="1:6" x14ac:dyDescent="0.25">
      <c r="A130" s="328"/>
      <c r="B130" s="328"/>
      <c r="C130" s="18" t="s">
        <v>985</v>
      </c>
      <c r="D130" s="12" t="s">
        <v>986</v>
      </c>
      <c r="E130" s="1" t="s">
        <v>59</v>
      </c>
      <c r="F130" s="1" t="s">
        <v>288</v>
      </c>
    </row>
    <row r="131" spans="1:6" x14ac:dyDescent="0.25">
      <c r="A131" s="328"/>
      <c r="B131" s="328"/>
      <c r="C131" s="18" t="s">
        <v>987</v>
      </c>
      <c r="D131" s="12" t="s">
        <v>988</v>
      </c>
      <c r="E131" s="12" t="s">
        <v>59</v>
      </c>
      <c r="F131" s="344" t="s">
        <v>288</v>
      </c>
    </row>
    <row r="132" spans="1:6" x14ac:dyDescent="0.25">
      <c r="A132" s="328"/>
      <c r="B132" s="328"/>
      <c r="C132" s="18" t="s">
        <v>989</v>
      </c>
      <c r="D132" s="328" t="s">
        <v>990</v>
      </c>
      <c r="E132" s="328" t="s">
        <v>59</v>
      </c>
      <c r="F132" s="344" t="s">
        <v>288</v>
      </c>
    </row>
    <row r="133" spans="1:6" ht="15.75" customHeight="1" x14ac:dyDescent="0.25">
      <c r="A133" s="328"/>
      <c r="B133" s="328"/>
      <c r="C133" s="1" t="s">
        <v>1647</v>
      </c>
      <c r="D133" s="1" t="s">
        <v>1648</v>
      </c>
      <c r="E133" s="328" t="s">
        <v>59</v>
      </c>
      <c r="F133" s="344" t="s">
        <v>288</v>
      </c>
    </row>
    <row r="134" spans="1:6" x14ac:dyDescent="0.25">
      <c r="A134" s="328"/>
      <c r="B134" s="328"/>
      <c r="C134" s="1" t="s">
        <v>1649</v>
      </c>
      <c r="D134" s="1" t="s">
        <v>1650</v>
      </c>
      <c r="E134" s="328" t="s">
        <v>59</v>
      </c>
      <c r="F134" s="344" t="s">
        <v>288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977</v>
      </c>
      <c r="D140" s="1" t="s">
        <v>999</v>
      </c>
      <c r="E140" s="1" t="s">
        <v>59</v>
      </c>
      <c r="F140" s="328"/>
    </row>
    <row r="141" spans="1:6" x14ac:dyDescent="0.25">
      <c r="A141" s="1"/>
      <c r="B141" s="1"/>
      <c r="C141" s="12" t="s">
        <v>1002</v>
      </c>
      <c r="D141" s="12" t="s">
        <v>1003</v>
      </c>
      <c r="E141" s="12" t="s">
        <v>59</v>
      </c>
      <c r="F141" s="328"/>
    </row>
    <row r="142" spans="1:6" x14ac:dyDescent="0.25">
      <c r="A142" s="1"/>
      <c r="B142" s="328"/>
      <c r="C142" s="12" t="s">
        <v>1004</v>
      </c>
      <c r="D142" s="12" t="s">
        <v>1005</v>
      </c>
      <c r="E142" s="12" t="s">
        <v>59</v>
      </c>
      <c r="F142" s="328"/>
    </row>
    <row r="143" spans="1:6" x14ac:dyDescent="0.25">
      <c r="A143" s="1"/>
      <c r="B143" s="328"/>
      <c r="C143" s="18" t="s">
        <v>1006</v>
      </c>
      <c r="D143" s="12" t="s">
        <v>1007</v>
      </c>
      <c r="E143" s="12" t="s">
        <v>59</v>
      </c>
      <c r="F143" s="328"/>
    </row>
    <row r="144" spans="1:6" x14ac:dyDescent="0.25">
      <c r="C144" s="18" t="s">
        <v>1009</v>
      </c>
      <c r="D144" s="18" t="s">
        <v>1010</v>
      </c>
      <c r="E144" s="344" t="s">
        <v>59</v>
      </c>
    </row>
    <row r="145" spans="1:7" x14ac:dyDescent="0.25">
      <c r="A145" s="1"/>
      <c r="B145" s="1"/>
      <c r="C145" s="18" t="s">
        <v>1011</v>
      </c>
      <c r="D145" s="18" t="s">
        <v>1012</v>
      </c>
      <c r="E145" s="344" t="s">
        <v>59</v>
      </c>
    </row>
    <row r="146" spans="1:7" x14ac:dyDescent="0.25">
      <c r="A146" s="1"/>
      <c r="B146" s="1"/>
      <c r="C146" s="18" t="s">
        <v>1651</v>
      </c>
      <c r="D146" s="854" t="s">
        <v>1653</v>
      </c>
      <c r="E146" s="344" t="s">
        <v>59</v>
      </c>
      <c r="F146" s="328"/>
    </row>
    <row r="147" spans="1:7" x14ac:dyDescent="0.25">
      <c r="A147" s="1"/>
      <c r="B147" s="1"/>
      <c r="C147" s="1" t="s">
        <v>1652</v>
      </c>
      <c r="D147" s="1" t="s">
        <v>1654</v>
      </c>
      <c r="E147" s="344" t="s">
        <v>59</v>
      </c>
      <c r="F147" s="328"/>
    </row>
    <row r="148" spans="1:7" x14ac:dyDescent="0.25">
      <c r="A148" s="874"/>
      <c r="B148" s="874"/>
      <c r="C148" s="874"/>
      <c r="D148" s="874"/>
      <c r="E148" s="874"/>
      <c r="F148" s="328"/>
    </row>
    <row r="149" spans="1:7" x14ac:dyDescent="0.25">
      <c r="A149" s="336" t="s">
        <v>804</v>
      </c>
      <c r="B149" s="328"/>
      <c r="C149" s="1"/>
      <c r="D149" s="1"/>
    </row>
    <row r="150" spans="1:7" x14ac:dyDescent="0.25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2" t="s">
        <v>1586</v>
      </c>
    </row>
    <row r="160" spans="1:7" x14ac:dyDescent="0.25">
      <c r="C160" s="329" t="s">
        <v>804</v>
      </c>
      <c r="D160" s="1"/>
      <c r="E160" s="1"/>
      <c r="F160" s="1"/>
      <c r="G160" s="1"/>
    </row>
    <row r="161" spans="3:11" x14ac:dyDescent="0.25">
      <c r="C161" s="334" t="s">
        <v>272</v>
      </c>
      <c r="D161" s="209" t="s">
        <v>805</v>
      </c>
      <c r="E161" s="209" t="s">
        <v>806</v>
      </c>
      <c r="F161" s="209" t="s">
        <v>974</v>
      </c>
      <c r="G161" s="335" t="s">
        <v>854</v>
      </c>
    </row>
    <row r="162" spans="3:11" x14ac:dyDescent="0.25">
      <c r="C162" s="16" t="str">
        <f>+C126</f>
        <v>MIX-OIL-REF1</v>
      </c>
      <c r="D162" s="16" t="s">
        <v>13</v>
      </c>
      <c r="E162" s="16" t="s">
        <v>977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272</v>
      </c>
      <c r="D167" s="337" t="s">
        <v>806</v>
      </c>
      <c r="E167" s="337" t="s">
        <v>978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2" t="s">
        <v>1600</v>
      </c>
    </row>
    <row r="174" spans="3:11" x14ac:dyDescent="0.25">
      <c r="C174" s="336" t="s">
        <v>1008</v>
      </c>
      <c r="D174" s="328"/>
      <c r="E174" s="1"/>
      <c r="G174" s="283" t="s">
        <v>910</v>
      </c>
    </row>
    <row r="175" spans="3:11" ht="15.75" thickBot="1" x14ac:dyDescent="0.3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979</v>
      </c>
      <c r="D176" s="1" t="str">
        <f>+E162</f>
        <v>OIL-REF1</v>
      </c>
      <c r="E176" s="876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25">
      <c r="C177" s="16"/>
      <c r="D177" s="870" t="str">
        <f>+C142</f>
        <v>H2-REF1</v>
      </c>
      <c r="E177" s="876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25">
      <c r="C178" s="1"/>
      <c r="D178" s="872" t="str">
        <f>+C151</f>
        <v>GAS-REF1</v>
      </c>
      <c r="E178" s="876">
        <f>E87/(1+SUM($E$85:$E$89))</f>
        <v>3.4550957366886043E-2</v>
      </c>
    </row>
    <row r="179" spans="3:11" s="871" customFormat="1" x14ac:dyDescent="0.25">
      <c r="C179" s="1"/>
      <c r="D179" s="873" t="str">
        <f>+C154</f>
        <v>RFG1-REF1</v>
      </c>
      <c r="E179" s="876">
        <f>E86/(1+SUM($E$85:$E$89))</f>
        <v>3.0529131328559483E-2</v>
      </c>
      <c r="G179" s="875"/>
    </row>
    <row r="180" spans="3:11" s="871" customFormat="1" x14ac:dyDescent="0.25">
      <c r="D180" s="871" t="str">
        <f>+C153</f>
        <v>LPG-REF1</v>
      </c>
      <c r="E180" s="876">
        <f>E89/(1+SUM($E$85:$E$89))</f>
        <v>1.3502298264034115E-3</v>
      </c>
    </row>
    <row r="183" spans="3:11" ht="18.75" x14ac:dyDescent="0.3">
      <c r="C183" s="832" t="s">
        <v>1626</v>
      </c>
    </row>
    <row r="185" spans="3:11" x14ac:dyDescent="0.25">
      <c r="C185" s="329" t="s">
        <v>804</v>
      </c>
      <c r="D185" s="1"/>
      <c r="E185" s="1"/>
      <c r="F185" s="397"/>
      <c r="G185" s="1"/>
    </row>
    <row r="186" spans="3:11" x14ac:dyDescent="0.25">
      <c r="C186" s="355" t="s">
        <v>272</v>
      </c>
      <c r="D186" s="355" t="s">
        <v>852</v>
      </c>
      <c r="E186" s="355" t="s">
        <v>1038</v>
      </c>
      <c r="F186" s="355" t="s">
        <v>897</v>
      </c>
      <c r="G186" s="398" t="s">
        <v>898</v>
      </c>
    </row>
    <row r="187" spans="3:11" x14ac:dyDescent="0.25">
      <c r="C187" s="389" t="str">
        <f>+C128</f>
        <v>SMR-REF1</v>
      </c>
      <c r="D187" s="389" t="s">
        <v>1039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804</v>
      </c>
      <c r="D191" s="328"/>
      <c r="E191" s="1"/>
      <c r="F191" s="1"/>
      <c r="G191" s="1"/>
    </row>
    <row r="192" spans="3:11" x14ac:dyDescent="0.25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2" t="s">
        <v>1627</v>
      </c>
    </row>
    <row r="198" spans="3:7" x14ac:dyDescent="0.25">
      <c r="C198" s="336" t="s">
        <v>1025</v>
      </c>
      <c r="D198" s="269"/>
      <c r="E198" s="207"/>
    </row>
    <row r="199" spans="3:7" x14ac:dyDescent="0.25">
      <c r="C199" s="334" t="s">
        <v>272</v>
      </c>
      <c r="D199" s="371" t="s">
        <v>806</v>
      </c>
      <c r="E199" s="372" t="s">
        <v>897</v>
      </c>
    </row>
    <row r="200" spans="3:7" x14ac:dyDescent="0.25">
      <c r="C200" s="349" t="s">
        <v>979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77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2" t="s">
        <v>1636</v>
      </c>
    </row>
    <row r="213" spans="3:7" x14ac:dyDescent="0.25">
      <c r="C213" s="381" t="s">
        <v>804</v>
      </c>
      <c r="D213" s="16"/>
      <c r="E213" s="16"/>
      <c r="F213" s="336"/>
      <c r="G213" s="16"/>
    </row>
    <row r="214" spans="3:7" x14ac:dyDescent="0.25">
      <c r="C214" s="354" t="s">
        <v>272</v>
      </c>
      <c r="D214" s="355" t="s">
        <v>852</v>
      </c>
      <c r="E214" s="355" t="s">
        <v>1038</v>
      </c>
      <c r="F214" s="355" t="s">
        <v>897</v>
      </c>
      <c r="G214" s="382" t="s">
        <v>898</v>
      </c>
    </row>
    <row r="215" spans="3:7" x14ac:dyDescent="0.25">
      <c r="C215" s="384" t="s">
        <v>979</v>
      </c>
      <c r="D215" s="385" t="s">
        <v>1039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979</v>
      </c>
      <c r="D216" s="214" t="s">
        <v>1039</v>
      </c>
      <c r="E216" s="878">
        <v>2020</v>
      </c>
      <c r="F216" s="386">
        <f>+E61*E65*E119</f>
        <v>314.95267073673836</v>
      </c>
      <c r="G216" s="16"/>
    </row>
    <row r="217" spans="3:7" x14ac:dyDescent="0.25">
      <c r="C217" s="384" t="s">
        <v>979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979</v>
      </c>
      <c r="D218" s="16" t="s">
        <v>1040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2" type="noConversion"/>
  <conditionalFormatting sqref="K7:K14 L7:L22 K6:L6">
    <cfRule type="containsText" dxfId="94" priority="1" operator="containsText" text="Oil and Gas">
      <formula>NOT(ISERROR(SEARCH(("Oil and Gas"),(K6))))</formula>
    </cfRule>
  </conditionalFormatting>
  <conditionalFormatting sqref="K7:K14 L7:L22 K6:L6">
    <cfRule type="containsText" dxfId="93" priority="2" operator="containsText" text="Gas">
      <formula>NOT(ISERROR(SEARCH(("Gas"),(K6))))</formula>
    </cfRule>
  </conditionalFormatting>
  <conditionalFormatting sqref="K7:K14 L7:L22 K6:L6">
    <cfRule type="containsText" dxfId="92" priority="3" operator="containsText" text="Oil">
      <formula>NOT(ISERROR(SEARCH(("Oil"),(K6))))</formula>
    </cfRule>
  </conditionalFormatting>
  <conditionalFormatting sqref="K15:K22">
    <cfRule type="containsText" dxfId="91" priority="4" operator="containsText" text="Oil and Gas">
      <formula>NOT(ISERROR(SEARCH(("Oil and Gas"),(K15))))</formula>
    </cfRule>
  </conditionalFormatting>
  <conditionalFormatting sqref="K15:K22">
    <cfRule type="containsText" dxfId="90" priority="5" operator="containsText" text="Gas">
      <formula>NOT(ISERROR(SEARCH(("Gas"),(K15))))</formula>
    </cfRule>
  </conditionalFormatting>
  <conditionalFormatting sqref="K15:K22">
    <cfRule type="containsText" dxfId="89" priority="6" operator="containsText" text="Oil">
      <formula>NOT(ISERROR(SEARCH(("Oil"),(K15))))</formula>
    </cfRule>
  </conditionalFormatting>
  <conditionalFormatting sqref="O6:P22">
    <cfRule type="cellIs" dxfId="88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4" t="s">
        <v>1611</v>
      </c>
      <c r="B1" s="854"/>
      <c r="C1" s="12" t="s">
        <v>964</v>
      </c>
      <c r="D1" s="12">
        <v>119.96</v>
      </c>
      <c r="E1" s="12" t="s">
        <v>698</v>
      </c>
    </row>
    <row r="2" spans="1:24" x14ac:dyDescent="0.25">
      <c r="A2" s="859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4" t="s">
        <v>1612</v>
      </c>
      <c r="J3" s="825" t="s">
        <v>1576</v>
      </c>
      <c r="K3">
        <v>8.33</v>
      </c>
      <c r="L3" s="818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1578</v>
      </c>
      <c r="M4" s="818" t="s">
        <v>1579</v>
      </c>
      <c r="O4" s="14" t="s">
        <v>509</v>
      </c>
      <c r="P4" s="818" t="s">
        <v>1580</v>
      </c>
    </row>
    <row r="5" spans="1:24" ht="75" x14ac:dyDescent="0.25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1594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02"/>
      <c r="U7" s="1001" t="s">
        <v>1574</v>
      </c>
      <c r="V7" s="1001"/>
      <c r="W7" s="827"/>
      <c r="X7" s="827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1595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03"/>
      <c r="U8" s="828" t="s">
        <v>1581</v>
      </c>
      <c r="V8" s="828" t="s">
        <v>577</v>
      </c>
      <c r="W8" s="829" t="s">
        <v>689</v>
      </c>
      <c r="X8" s="828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1595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1585</v>
      </c>
      <c r="T9" s="828" t="s">
        <v>1120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1595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1584</v>
      </c>
      <c r="T10" s="828" t="s">
        <v>1119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1595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1583</v>
      </c>
      <c r="T11" s="828" t="s">
        <v>1118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1595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1595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1595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1595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1595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1595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4" t="s">
        <v>964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4" t="s">
        <v>964</v>
      </c>
      <c r="C21">
        <f>+C20/1000</f>
        <v>0.1201</v>
      </c>
      <c r="D21" s="854" t="s">
        <v>1625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2" t="s">
        <v>1586</v>
      </c>
      <c r="S29" s="832"/>
    </row>
    <row r="30" spans="1:19" x14ac:dyDescent="0.25">
      <c r="C30" s="866"/>
    </row>
    <row r="31" spans="1:19" x14ac:dyDescent="0.25">
      <c r="C31" s="853" t="s">
        <v>935</v>
      </c>
      <c r="D31" s="818" t="s">
        <v>1587</v>
      </c>
      <c r="E31">
        <v>24</v>
      </c>
      <c r="F31" s="818" t="s">
        <v>1582</v>
      </c>
    </row>
    <row r="32" spans="1:19" x14ac:dyDescent="0.25">
      <c r="C32" s="853" t="s">
        <v>921</v>
      </c>
      <c r="D32" s="880" t="s">
        <v>1656</v>
      </c>
      <c r="E32" s="833">
        <v>0.3</v>
      </c>
    </row>
    <row r="33" spans="3:10" x14ac:dyDescent="0.25">
      <c r="C33" s="866"/>
      <c r="G33" s="838"/>
      <c r="H33" s="838" t="s">
        <v>1581</v>
      </c>
      <c r="I33" s="838" t="s">
        <v>1578</v>
      </c>
      <c r="J33" s="838" t="s">
        <v>577</v>
      </c>
    </row>
    <row r="34" spans="3:10" x14ac:dyDescent="0.25">
      <c r="C34" s="866"/>
      <c r="D34" s="849" t="s">
        <v>1591</v>
      </c>
      <c r="G34" s="838" t="s">
        <v>1582</v>
      </c>
      <c r="H34" s="838" t="s">
        <v>1589</v>
      </c>
      <c r="I34" s="838" t="s">
        <v>689</v>
      </c>
      <c r="J34" s="838" t="s">
        <v>1590</v>
      </c>
    </row>
    <row r="35" spans="3:10" x14ac:dyDescent="0.25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25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25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25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25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25">
      <c r="C41" s="893" t="s">
        <v>924</v>
      </c>
      <c r="D41" s="881" t="s">
        <v>1657</v>
      </c>
      <c r="E41" s="882"/>
      <c r="F41" s="882"/>
      <c r="G41" s="883"/>
      <c r="H41" s="883" t="s">
        <v>1581</v>
      </c>
      <c r="I41" s="883" t="s">
        <v>1578</v>
      </c>
      <c r="J41" s="883" t="s">
        <v>577</v>
      </c>
    </row>
    <row r="42" spans="3:10" hidden="1" x14ac:dyDescent="0.25">
      <c r="D42" s="882" t="s">
        <v>831</v>
      </c>
      <c r="E42" s="884">
        <v>0.15</v>
      </c>
      <c r="F42" s="882"/>
      <c r="G42" s="883" t="s">
        <v>1582</v>
      </c>
      <c r="H42" s="883" t="s">
        <v>1589</v>
      </c>
      <c r="I42" s="883" t="s">
        <v>689</v>
      </c>
      <c r="J42" s="883" t="s">
        <v>1590</v>
      </c>
    </row>
    <row r="43" spans="3:10" hidden="1" x14ac:dyDescent="0.25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25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25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25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25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25"/>
    <row r="49" spans="3:11" hidden="1" x14ac:dyDescent="0.25">
      <c r="D49" s="848" t="s">
        <v>536</v>
      </c>
    </row>
    <row r="50" spans="3:11" hidden="1" x14ac:dyDescent="0.25">
      <c r="D50" s="818" t="s">
        <v>1599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25">
      <c r="D51" s="837" t="s">
        <v>1593</v>
      </c>
      <c r="E51" s="847">
        <f>+E50*($C$8/1000)</f>
        <v>1.6802426854852597E-2</v>
      </c>
      <c r="F51" s="837" t="s">
        <v>1596</v>
      </c>
    </row>
    <row r="52" spans="3:11" hidden="1" x14ac:dyDescent="0.25">
      <c r="D52" s="837" t="s">
        <v>1593</v>
      </c>
      <c r="E52" s="847">
        <f>+E51*1000</f>
        <v>16.802426854852598</v>
      </c>
      <c r="F52" s="837" t="s">
        <v>1597</v>
      </c>
    </row>
    <row r="53" spans="3:11" hidden="1" x14ac:dyDescent="0.25">
      <c r="D53" s="837" t="s">
        <v>1593</v>
      </c>
      <c r="E53" s="847">
        <f>+E52</f>
        <v>16.802426854852598</v>
      </c>
      <c r="F53" s="837" t="s">
        <v>1598</v>
      </c>
    </row>
    <row r="54" spans="3:11" hidden="1" x14ac:dyDescent="0.25"/>
    <row r="56" spans="3:11" ht="18.75" x14ac:dyDescent="0.3">
      <c r="D56" s="832" t="s">
        <v>1600</v>
      </c>
    </row>
    <row r="58" spans="3:11" x14ac:dyDescent="0.25">
      <c r="D58" s="848" t="s">
        <v>1639</v>
      </c>
      <c r="H58" s="880" t="s">
        <v>1670</v>
      </c>
      <c r="J58" s="836">
        <f>+J61/J59</f>
        <v>22.376810491959233</v>
      </c>
      <c r="K58" s="880" t="s">
        <v>480</v>
      </c>
    </row>
    <row r="59" spans="3:11" x14ac:dyDescent="0.25">
      <c r="C59" s="853" t="s">
        <v>935</v>
      </c>
      <c r="D59" s="18" t="s">
        <v>1030</v>
      </c>
      <c r="E59" s="12">
        <v>250</v>
      </c>
      <c r="F59" s="365" t="s">
        <v>513</v>
      </c>
      <c r="H59" s="880" t="s">
        <v>1660</v>
      </c>
      <c r="J59" s="836">
        <f>+J60*365*C8/1000</f>
        <v>542.12373136730503</v>
      </c>
      <c r="K59" s="880" t="s">
        <v>59</v>
      </c>
    </row>
    <row r="60" spans="3:11" x14ac:dyDescent="0.25">
      <c r="C60" s="70" t="s">
        <v>1604</v>
      </c>
      <c r="D60" s="18" t="s">
        <v>1032</v>
      </c>
      <c r="E60" s="12">
        <v>218</v>
      </c>
      <c r="F60" s="365" t="s">
        <v>513</v>
      </c>
      <c r="H60" s="880" t="s">
        <v>1660</v>
      </c>
      <c r="J60">
        <v>244</v>
      </c>
      <c r="K60" s="867" t="s">
        <v>513</v>
      </c>
    </row>
    <row r="61" spans="3:11" x14ac:dyDescent="0.25">
      <c r="C61" s="850"/>
      <c r="D61" s="18" t="s">
        <v>1602</v>
      </c>
      <c r="E61" s="275">
        <f>+E59*365*C8/1000</f>
        <v>555.45464279436999</v>
      </c>
      <c r="F61" s="365" t="s">
        <v>59</v>
      </c>
      <c r="H61" s="880" t="s">
        <v>1660</v>
      </c>
      <c r="J61">
        <v>12131</v>
      </c>
      <c r="K61" s="880" t="s">
        <v>1658</v>
      </c>
    </row>
    <row r="62" spans="3:11" x14ac:dyDescent="0.25">
      <c r="C62" s="850"/>
      <c r="D62" s="18" t="s">
        <v>1603</v>
      </c>
      <c r="E62" s="275">
        <f>+E60*365*C9/1000</f>
        <v>484.35644851669059</v>
      </c>
      <c r="F62" s="365" t="s">
        <v>59</v>
      </c>
    </row>
    <row r="63" spans="3:11" x14ac:dyDescent="0.25">
      <c r="C63" s="850"/>
      <c r="D63" s="18"/>
      <c r="E63" s="275"/>
      <c r="F63" s="365"/>
    </row>
    <row r="64" spans="3:11" x14ac:dyDescent="0.25">
      <c r="C64" s="70" t="s">
        <v>1642</v>
      </c>
      <c r="D64" s="18" t="s">
        <v>1637</v>
      </c>
      <c r="E64" s="865">
        <f>+E60/E59</f>
        <v>0.872</v>
      </c>
      <c r="F64" s="365"/>
    </row>
    <row r="65" spans="1:9" x14ac:dyDescent="0.25">
      <c r="C65" s="70" t="s">
        <v>1641</v>
      </c>
      <c r="D65" s="18" t="s">
        <v>1638</v>
      </c>
      <c r="E65" s="865">
        <v>0.9</v>
      </c>
      <c r="F65" s="365"/>
    </row>
    <row r="66" spans="1:9" x14ac:dyDescent="0.25">
      <c r="C66" s="850"/>
      <c r="D66" s="18"/>
      <c r="E66" s="865"/>
      <c r="F66" s="365"/>
    </row>
    <row r="67" spans="1:9" x14ac:dyDescent="0.25">
      <c r="C67" s="70" t="s">
        <v>1644</v>
      </c>
      <c r="D67" s="18" t="s">
        <v>1640</v>
      </c>
      <c r="E67" s="868">
        <v>4.8099999999999996</v>
      </c>
      <c r="F67" s="867" t="s">
        <v>1643</v>
      </c>
    </row>
    <row r="68" spans="1:9" x14ac:dyDescent="0.25">
      <c r="A68" s="869">
        <v>8.2176851262728707</v>
      </c>
      <c r="C68" s="850"/>
      <c r="D68" s="18" t="s">
        <v>1645</v>
      </c>
      <c r="E68" s="868">
        <f>+E67/A68</f>
        <v>0.58532298647241721</v>
      </c>
      <c r="F68" s="867" t="s">
        <v>773</v>
      </c>
    </row>
    <row r="70" spans="1:9" x14ac:dyDescent="0.25">
      <c r="D70" s="848" t="s">
        <v>1601</v>
      </c>
    </row>
    <row r="71" spans="1:9" x14ac:dyDescent="0.25">
      <c r="E71" s="860" t="s">
        <v>586</v>
      </c>
      <c r="F71" s="286" t="s">
        <v>59</v>
      </c>
    </row>
    <row r="72" spans="1:9" x14ac:dyDescent="0.25">
      <c r="C72" s="70" t="s">
        <v>1665</v>
      </c>
      <c r="D72" s="880" t="s">
        <v>1659</v>
      </c>
      <c r="E72" s="809">
        <f>+(F72/C21)/365</f>
        <v>0.15388448185699619</v>
      </c>
      <c r="F72" s="836">
        <f>+E82*J59</f>
        <v>6.745757088924214</v>
      </c>
    </row>
    <row r="73" spans="1:9" x14ac:dyDescent="0.25">
      <c r="C73" s="70" t="s">
        <v>1642</v>
      </c>
      <c r="D73" s="880" t="s">
        <v>1662</v>
      </c>
      <c r="E73" s="836">
        <f>+F73*E17</f>
        <v>35.54706415898611</v>
      </c>
      <c r="F73" s="836">
        <f>+E83*J59</f>
        <v>13.004534319337711</v>
      </c>
      <c r="I73" s="896"/>
    </row>
    <row r="74" spans="1:9" x14ac:dyDescent="0.25">
      <c r="C74" s="70" t="s">
        <v>1642</v>
      </c>
      <c r="D74" s="880" t="s">
        <v>1663</v>
      </c>
      <c r="E74" s="836">
        <f>+F74*E7</f>
        <v>58.960930528934362</v>
      </c>
      <c r="F74" s="836">
        <f>+E84*J59</f>
        <v>21.726420759325691</v>
      </c>
    </row>
    <row r="75" spans="1:9" x14ac:dyDescent="0.25">
      <c r="C75" s="70" t="s">
        <v>1642</v>
      </c>
      <c r="D75" s="880" t="s">
        <v>1664</v>
      </c>
      <c r="E75" s="855">
        <f>+F75*E15</f>
        <v>3.4528026945575578</v>
      </c>
      <c r="F75" s="836">
        <f>+E85*J59</f>
        <v>6.8821246913333587</v>
      </c>
    </row>
    <row r="76" spans="1:9" x14ac:dyDescent="0.25">
      <c r="C76" s="853" t="s">
        <v>1608</v>
      </c>
      <c r="D76" s="854" t="s">
        <v>1618</v>
      </c>
      <c r="E76">
        <v>651</v>
      </c>
      <c r="F76" s="809">
        <f>+(E76/E14)/1000</f>
        <v>0.9638296566055029</v>
      </c>
      <c r="H76" s="895"/>
    </row>
    <row r="77" spans="1:9" x14ac:dyDescent="0.25">
      <c r="C77" s="853"/>
      <c r="D77" s="818"/>
    </row>
    <row r="79" spans="1:9" x14ac:dyDescent="0.25">
      <c r="A79" s="809"/>
      <c r="B79" s="819"/>
      <c r="C79" s="818"/>
      <c r="D79" s="818"/>
      <c r="E79" s="809"/>
      <c r="F79" s="818"/>
    </row>
    <row r="80" spans="1:9" x14ac:dyDescent="0.25">
      <c r="A80" s="809"/>
      <c r="B80" s="836"/>
      <c r="C80" s="818"/>
      <c r="D80" s="848" t="s">
        <v>1619</v>
      </c>
      <c r="E80" s="809"/>
      <c r="F80" s="818"/>
    </row>
    <row r="82" spans="3:11" x14ac:dyDescent="0.25">
      <c r="C82" s="853" t="s">
        <v>1665</v>
      </c>
      <c r="D82" s="854" t="s">
        <v>1620</v>
      </c>
      <c r="E82" s="804">
        <f>+J93/J59</f>
        <v>1.2443205671721023E-2</v>
      </c>
      <c r="F82" s="854" t="s">
        <v>533</v>
      </c>
      <c r="I82" s="809"/>
    </row>
    <row r="83" spans="3:11" x14ac:dyDescent="0.25">
      <c r="C83" s="853" t="s">
        <v>1661</v>
      </c>
      <c r="D83" s="854" t="s">
        <v>1621</v>
      </c>
      <c r="E83">
        <f>291/J61</f>
        <v>2.3988129585359824E-2</v>
      </c>
      <c r="F83" s="854" t="s">
        <v>533</v>
      </c>
      <c r="I83" s="809"/>
    </row>
    <row r="84" spans="3:11" x14ac:dyDescent="0.25">
      <c r="C84" s="853" t="s">
        <v>1661</v>
      </c>
      <c r="D84" s="854" t="s">
        <v>1622</v>
      </c>
      <c r="E84">
        <f>+((642-(289*68.8%))+43)/J61</f>
        <v>4.0076498227681147E-2</v>
      </c>
      <c r="F84" s="854" t="s">
        <v>533</v>
      </c>
      <c r="I84" s="809"/>
    </row>
    <row r="85" spans="3:11" x14ac:dyDescent="0.25">
      <c r="C85" s="853" t="s">
        <v>1661</v>
      </c>
      <c r="D85" s="854" t="s">
        <v>1623</v>
      </c>
      <c r="E85">
        <f>154/J61</f>
        <v>1.2694748990190421E-2</v>
      </c>
      <c r="F85" s="854" t="s">
        <v>533</v>
      </c>
      <c r="I85" s="894"/>
    </row>
    <row r="86" spans="3:11" x14ac:dyDescent="0.25">
      <c r="C86" s="853" t="s">
        <v>1608</v>
      </c>
      <c r="D86" s="854" t="s">
        <v>1624</v>
      </c>
      <c r="E86">
        <f>+F76/E62</f>
        <v>1.9899180852390157E-3</v>
      </c>
      <c r="F86" s="854" t="s">
        <v>533</v>
      </c>
      <c r="I86" s="809"/>
    </row>
    <row r="87" spans="3:11" x14ac:dyDescent="0.25">
      <c r="E87" s="861">
        <f>+SUM(E82:E86)</f>
        <v>9.1192500560191431E-2</v>
      </c>
      <c r="F87" s="854" t="s">
        <v>533</v>
      </c>
      <c r="H87" s="809"/>
      <c r="I87" s="879"/>
    </row>
    <row r="90" spans="3:11" ht="18.75" x14ac:dyDescent="0.3">
      <c r="D90" s="832" t="s">
        <v>1626</v>
      </c>
    </row>
    <row r="91" spans="3:11" ht="18.75" x14ac:dyDescent="0.3">
      <c r="D91" s="832"/>
    </row>
    <row r="92" spans="3:11" x14ac:dyDescent="0.25">
      <c r="D92" s="880" t="s">
        <v>1666</v>
      </c>
      <c r="E92" s="809">
        <f>289*68.8%</f>
        <v>198.83199999999999</v>
      </c>
      <c r="F92" s="880" t="s">
        <v>1667</v>
      </c>
    </row>
    <row r="93" spans="3:11" x14ac:dyDescent="0.25">
      <c r="D93" s="880" t="s">
        <v>1668</v>
      </c>
      <c r="E93" s="809">
        <f>+E92/J58</f>
        <v>8.8856273806960679</v>
      </c>
      <c r="F93" s="880" t="s">
        <v>59</v>
      </c>
      <c r="H93" s="882" t="s">
        <v>1669</v>
      </c>
      <c r="I93" s="882"/>
      <c r="J93" s="882">
        <f>+E93*(1/G97)</f>
        <v>6.745757088924214</v>
      </c>
      <c r="K93" s="882" t="s">
        <v>59</v>
      </c>
    </row>
    <row r="94" spans="3:11" x14ac:dyDescent="0.25">
      <c r="D94" s="880"/>
      <c r="E94" s="809"/>
      <c r="F94" s="880"/>
    </row>
    <row r="96" spans="3:11" x14ac:dyDescent="0.25">
      <c r="E96" s="391"/>
      <c r="F96" s="392" t="s">
        <v>586</v>
      </c>
      <c r="G96" s="392" t="s">
        <v>993</v>
      </c>
    </row>
    <row r="97" spans="2:13" x14ac:dyDescent="0.25">
      <c r="B97" s="853" t="s">
        <v>1629</v>
      </c>
      <c r="C97" s="853" t="s">
        <v>1628</v>
      </c>
      <c r="E97" s="393" t="s">
        <v>1044</v>
      </c>
      <c r="F97" s="394">
        <f>394.77/299.7</f>
        <v>1.3172172172172172</v>
      </c>
      <c r="G97" s="395">
        <f>+F97</f>
        <v>1.3172172172172172</v>
      </c>
      <c r="H97" s="12" t="s">
        <v>1045</v>
      </c>
      <c r="K97" s="880"/>
    </row>
    <row r="98" spans="2:13" x14ac:dyDescent="0.25">
      <c r="B98" s="853"/>
      <c r="C98" s="853"/>
      <c r="E98" s="393"/>
      <c r="F98" s="394"/>
      <c r="G98" s="395"/>
      <c r="H98" s="12"/>
    </row>
    <row r="100" spans="2:13" ht="18.75" x14ac:dyDescent="0.3">
      <c r="D100" s="832" t="s">
        <v>1627</v>
      </c>
    </row>
    <row r="101" spans="2:13" ht="18.75" x14ac:dyDescent="0.3">
      <c r="D101" s="832"/>
    </row>
    <row r="102" spans="2:13" x14ac:dyDescent="0.25">
      <c r="C102" s="853" t="s">
        <v>935</v>
      </c>
      <c r="D102" s="880" t="s">
        <v>1672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2:13" x14ac:dyDescent="0.25">
      <c r="C103" s="853" t="s">
        <v>935</v>
      </c>
      <c r="D103" s="880" t="s">
        <v>1674</v>
      </c>
      <c r="E103">
        <v>180</v>
      </c>
      <c r="F103" s="880" t="s">
        <v>513</v>
      </c>
      <c r="G103" s="836"/>
      <c r="H103" s="880"/>
    </row>
    <row r="104" spans="2:13" x14ac:dyDescent="0.25">
      <c r="D104" s="880"/>
      <c r="F104" s="880"/>
    </row>
    <row r="105" spans="2:13" x14ac:dyDescent="0.25">
      <c r="E105" s="862" t="s">
        <v>586</v>
      </c>
      <c r="F105" s="862" t="s">
        <v>993</v>
      </c>
      <c r="H105" s="854" t="s">
        <v>1655</v>
      </c>
      <c r="I105" s="880" t="s">
        <v>1673</v>
      </c>
    </row>
    <row r="106" spans="2:13" x14ac:dyDescent="0.25">
      <c r="C106" s="853" t="s">
        <v>935</v>
      </c>
      <c r="D106" s="880" t="s">
        <v>1671</v>
      </c>
      <c r="E106" s="897">
        <f>+SUM(E107:E111)</f>
        <v>180</v>
      </c>
      <c r="F106" s="898">
        <f>+SUM(F107:F112)</f>
        <v>365.44421422349302</v>
      </c>
      <c r="G106" s="880" t="s">
        <v>59</v>
      </c>
      <c r="H106" s="833">
        <f>+SUM(H107:H112)</f>
        <v>1</v>
      </c>
      <c r="I106" s="817">
        <f>+SUM(I107:I112)</f>
        <v>0.99999999999999989</v>
      </c>
    </row>
    <row r="107" spans="2:13" x14ac:dyDescent="0.25">
      <c r="C107" s="853" t="s">
        <v>935</v>
      </c>
      <c r="D107" s="854" t="s">
        <v>959</v>
      </c>
      <c r="E107" s="836">
        <f>+$E$103*I107</f>
        <v>58.32</v>
      </c>
      <c r="F107" s="836">
        <f>+E107/E11</f>
        <v>113.47777518091667</v>
      </c>
      <c r="G107" s="880" t="s">
        <v>59</v>
      </c>
      <c r="H107" s="841">
        <f>+F107/$F$106</f>
        <v>0.31052010338168218</v>
      </c>
      <c r="I107" s="817">
        <v>0.32400000000000001</v>
      </c>
      <c r="J107" s="841"/>
    </row>
    <row r="108" spans="2:13" x14ac:dyDescent="0.25">
      <c r="C108" s="853" t="s">
        <v>935</v>
      </c>
      <c r="D108" s="854" t="s">
        <v>1020</v>
      </c>
      <c r="E108" s="836">
        <f>+$E$103*I108</f>
        <v>59.220000000000006</v>
      </c>
      <c r="F108" s="836">
        <f>+E108/E12</f>
        <v>122.57712054787665</v>
      </c>
      <c r="G108" s="880" t="s">
        <v>59</v>
      </c>
      <c r="H108" s="841">
        <f t="shared" ref="H108:H112" si="7">+F108/$F$106</f>
        <v>0.33541951350449545</v>
      </c>
      <c r="I108" s="817">
        <v>0.32900000000000001</v>
      </c>
      <c r="J108" s="841"/>
    </row>
    <row r="109" spans="2:13" x14ac:dyDescent="0.25">
      <c r="C109" s="853" t="s">
        <v>935</v>
      </c>
      <c r="D109" s="854" t="s">
        <v>1630</v>
      </c>
      <c r="E109" s="836">
        <f>+$E$103*I109</f>
        <v>17.82</v>
      </c>
      <c r="F109" s="836">
        <f>+E109/E13</f>
        <v>30.646926896511573</v>
      </c>
      <c r="G109" s="880" t="s">
        <v>59</v>
      </c>
      <c r="H109" s="841">
        <f t="shared" si="7"/>
        <v>8.3862120957725647E-2</v>
      </c>
      <c r="I109" s="817">
        <v>9.9000000000000005E-2</v>
      </c>
      <c r="J109" s="841"/>
    </row>
    <row r="110" spans="2:13" x14ac:dyDescent="0.25">
      <c r="C110" s="853" t="s">
        <v>935</v>
      </c>
      <c r="D110" s="854" t="s">
        <v>782</v>
      </c>
      <c r="E110" s="836">
        <f>+E103-(E107+E108+E109+E111)</f>
        <v>40.609999999999985</v>
      </c>
      <c r="F110" s="836">
        <f>+E110/E15</f>
        <v>80.943832717571652</v>
      </c>
      <c r="G110" s="880" t="s">
        <v>59</v>
      </c>
      <c r="H110" s="841">
        <f t="shared" si="7"/>
        <v>0.22149436101913275</v>
      </c>
      <c r="I110" s="864">
        <f>+E110/E106</f>
        <v>0.22561111111111104</v>
      </c>
      <c r="J110" s="841"/>
      <c r="M110" s="880" t="s">
        <v>1676</v>
      </c>
    </row>
    <row r="111" spans="2:13" x14ac:dyDescent="0.25">
      <c r="C111" s="853" t="s">
        <v>1608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7"/>
        <v>1.6326881938927798E-2</v>
      </c>
      <c r="I111" s="899">
        <f>+E111/E103</f>
        <v>2.2388888888888889E-2</v>
      </c>
      <c r="J111" s="841"/>
      <c r="K111" s="880" t="s">
        <v>1675</v>
      </c>
      <c r="L111" s="880" t="s">
        <v>22</v>
      </c>
      <c r="M111">
        <v>4.4279999999999999</v>
      </c>
    </row>
    <row r="112" spans="2:13" x14ac:dyDescent="0.25">
      <c r="C112" s="853" t="s">
        <v>1642</v>
      </c>
      <c r="D112" s="854" t="s">
        <v>1633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7"/>
        <v>3.2377019198036219E-2</v>
      </c>
      <c r="J112" s="841"/>
    </row>
    <row r="113" spans="3:10" x14ac:dyDescent="0.25">
      <c r="C113" s="853" t="s">
        <v>1026</v>
      </c>
      <c r="D113" s="880" t="s">
        <v>102</v>
      </c>
      <c r="H113" s="833"/>
      <c r="J113" s="841"/>
    </row>
    <row r="114" spans="3:10" x14ac:dyDescent="0.25">
      <c r="J114" s="841"/>
    </row>
    <row r="115" spans="3:10" x14ac:dyDescent="0.25">
      <c r="D115" s="848" t="s">
        <v>1632</v>
      </c>
      <c r="J115" s="841"/>
    </row>
    <row r="116" spans="3:10" x14ac:dyDescent="0.25">
      <c r="D116" s="854" t="s">
        <v>959</v>
      </c>
      <c r="E116" s="808">
        <f>+F107/$E$61</f>
        <v>0.20429710445849361</v>
      </c>
      <c r="F116" s="854" t="s">
        <v>533</v>
      </c>
    </row>
    <row r="117" spans="3:10" x14ac:dyDescent="0.25">
      <c r="D117" s="854" t="s">
        <v>1020</v>
      </c>
      <c r="E117" s="808">
        <f t="shared" ref="E117:E120" si="8">+F108/$E$61</f>
        <v>0.22067890175733909</v>
      </c>
      <c r="F117" s="854" t="s">
        <v>533</v>
      </c>
    </row>
    <row r="118" spans="3:10" x14ac:dyDescent="0.25">
      <c r="D118" s="854" t="s">
        <v>1630</v>
      </c>
      <c r="E118" s="808">
        <f t="shared" si="8"/>
        <v>5.5174490472045805E-2</v>
      </c>
      <c r="F118" s="854" t="s">
        <v>533</v>
      </c>
    </row>
    <row r="119" spans="3:10" x14ac:dyDescent="0.25">
      <c r="D119" s="854" t="s">
        <v>782</v>
      </c>
      <c r="E119" s="808">
        <f t="shared" si="8"/>
        <v>0.14572536888045629</v>
      </c>
      <c r="F119" s="854" t="s">
        <v>533</v>
      </c>
    </row>
    <row r="120" spans="3:10" x14ac:dyDescent="0.25">
      <c r="D120" s="854" t="s">
        <v>22</v>
      </c>
      <c r="E120" s="808">
        <f t="shared" si="8"/>
        <v>1.0741767340128326E-2</v>
      </c>
      <c r="F120" s="854" t="s">
        <v>533</v>
      </c>
    </row>
    <row r="121" spans="3:10" x14ac:dyDescent="0.25">
      <c r="D121" s="854" t="s">
        <v>1633</v>
      </c>
      <c r="E121" s="808">
        <f>+F112/$E$61</f>
        <v>2.1301459071799516E-2</v>
      </c>
      <c r="F121" s="854" t="s">
        <v>533</v>
      </c>
    </row>
    <row r="122" spans="3:10" x14ac:dyDescent="0.25">
      <c r="D122" s="854"/>
      <c r="E122" s="808"/>
      <c r="F122" s="854"/>
    </row>
    <row r="124" spans="3:10" x14ac:dyDescent="0.25">
      <c r="C124" s="853" t="s">
        <v>1646</v>
      </c>
      <c r="D124" s="854" t="s">
        <v>1635</v>
      </c>
      <c r="E124" s="864">
        <f>+F106/G102</f>
        <v>0.74089987835615179</v>
      </c>
      <c r="F124" s="854"/>
    </row>
    <row r="125" spans="3:10" x14ac:dyDescent="0.25">
      <c r="C125" s="853"/>
    </row>
    <row r="129" spans="1:6" x14ac:dyDescent="0.25">
      <c r="A129" s="327" t="s">
        <v>270</v>
      </c>
      <c r="B129" s="1"/>
      <c r="C129" s="1"/>
      <c r="D129" s="1"/>
      <c r="E129" s="1"/>
      <c r="F129" s="1"/>
    </row>
    <row r="130" spans="1:6" x14ac:dyDescent="0.25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25">
      <c r="A131" s="1" t="s">
        <v>289</v>
      </c>
      <c r="B131" s="1"/>
      <c r="C131" s="17" t="s">
        <v>1079</v>
      </c>
      <c r="D131" s="1" t="s">
        <v>1080</v>
      </c>
      <c r="E131" s="1" t="s">
        <v>59</v>
      </c>
      <c r="F131" s="1" t="s">
        <v>288</v>
      </c>
    </row>
    <row r="132" spans="1:6" x14ac:dyDescent="0.25">
      <c r="A132" s="1"/>
      <c r="B132" s="1"/>
      <c r="C132" s="338" t="s">
        <v>1081</v>
      </c>
      <c r="D132" s="328" t="s">
        <v>1082</v>
      </c>
      <c r="E132" s="1" t="s">
        <v>59</v>
      </c>
      <c r="F132" s="1" t="s">
        <v>288</v>
      </c>
    </row>
    <row r="133" spans="1:6" x14ac:dyDescent="0.25">
      <c r="A133" s="1"/>
      <c r="B133" s="1"/>
      <c r="C133" s="342" t="s">
        <v>1083</v>
      </c>
      <c r="D133" s="328" t="s">
        <v>1084</v>
      </c>
      <c r="E133" s="1" t="s">
        <v>59</v>
      </c>
      <c r="F133" s="1" t="s">
        <v>288</v>
      </c>
    </row>
    <row r="134" spans="1:6" x14ac:dyDescent="0.25">
      <c r="A134" s="1"/>
      <c r="B134" s="1"/>
      <c r="C134" s="17" t="s">
        <v>1085</v>
      </c>
      <c r="D134" s="328" t="s">
        <v>1086</v>
      </c>
      <c r="E134" s="1" t="s">
        <v>59</v>
      </c>
      <c r="F134" s="1" t="s">
        <v>288</v>
      </c>
    </row>
    <row r="135" spans="1:6" x14ac:dyDescent="0.25">
      <c r="A135" s="328"/>
      <c r="B135" s="328"/>
      <c r="C135" s="18" t="s">
        <v>1087</v>
      </c>
      <c r="D135" s="880" t="s">
        <v>1088</v>
      </c>
      <c r="E135" s="1" t="s">
        <v>59</v>
      </c>
      <c r="F135" s="1" t="s">
        <v>288</v>
      </c>
    </row>
    <row r="136" spans="1:6" x14ac:dyDescent="0.25">
      <c r="A136" s="328"/>
      <c r="B136" s="328"/>
      <c r="C136" s="18" t="s">
        <v>1089</v>
      </c>
      <c r="D136" s="880" t="s">
        <v>1090</v>
      </c>
      <c r="E136" s="12" t="s">
        <v>59</v>
      </c>
      <c r="F136" s="344" t="s">
        <v>288</v>
      </c>
    </row>
    <row r="137" spans="1:6" x14ac:dyDescent="0.25">
      <c r="A137" s="328"/>
      <c r="B137" s="328"/>
      <c r="C137" s="18" t="s">
        <v>1091</v>
      </c>
      <c r="D137" s="328" t="s">
        <v>1092</v>
      </c>
      <c r="E137" s="328" t="s">
        <v>59</v>
      </c>
      <c r="F137" s="344" t="s">
        <v>288</v>
      </c>
    </row>
    <row r="138" spans="1:6" ht="15.75" customHeight="1" x14ac:dyDescent="0.25">
      <c r="A138" s="328"/>
      <c r="B138" s="328"/>
      <c r="C138" s="1" t="s">
        <v>1677</v>
      </c>
      <c r="D138" s="1" t="s">
        <v>1679</v>
      </c>
      <c r="E138" s="328" t="s">
        <v>59</v>
      </c>
      <c r="F138" s="344" t="s">
        <v>288</v>
      </c>
    </row>
    <row r="139" spans="1:6" x14ac:dyDescent="0.25">
      <c r="A139" s="328"/>
      <c r="B139" s="328"/>
      <c r="C139" s="1" t="s">
        <v>1678</v>
      </c>
      <c r="D139" s="1" t="s">
        <v>1680</v>
      </c>
      <c r="E139" s="328" t="s">
        <v>59</v>
      </c>
      <c r="F139" s="344" t="s">
        <v>288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914</v>
      </c>
      <c r="D145" s="1" t="s">
        <v>1098</v>
      </c>
      <c r="E145" s="1" t="s">
        <v>59</v>
      </c>
      <c r="F145" s="328"/>
    </row>
    <row r="146" spans="1:6" x14ac:dyDescent="0.25">
      <c r="A146" s="1"/>
      <c r="B146" s="1"/>
      <c r="C146" s="880" t="s">
        <v>1097</v>
      </c>
      <c r="D146" s="880" t="s">
        <v>1100</v>
      </c>
      <c r="E146" s="12" t="s">
        <v>59</v>
      </c>
      <c r="F146" s="328"/>
    </row>
    <row r="147" spans="1:6" x14ac:dyDescent="0.25">
      <c r="A147" s="1"/>
      <c r="B147" s="328"/>
      <c r="C147" s="880" t="s">
        <v>1099</v>
      </c>
      <c r="D147" s="880" t="s">
        <v>1101</v>
      </c>
      <c r="E147" s="12" t="s">
        <v>59</v>
      </c>
      <c r="F147" s="328"/>
    </row>
    <row r="148" spans="1:6" x14ac:dyDescent="0.25">
      <c r="A148" s="1"/>
      <c r="B148" s="328"/>
      <c r="C148" s="18" t="s">
        <v>1102</v>
      </c>
      <c r="D148" s="880" t="s">
        <v>1103</v>
      </c>
      <c r="E148" s="12" t="s">
        <v>59</v>
      </c>
      <c r="F148" s="328"/>
    </row>
    <row r="149" spans="1:6" x14ac:dyDescent="0.25">
      <c r="C149" s="18" t="s">
        <v>912</v>
      </c>
      <c r="D149" s="18" t="s">
        <v>1104</v>
      </c>
      <c r="E149" s="344" t="s">
        <v>59</v>
      </c>
    </row>
    <row r="150" spans="1:6" x14ac:dyDescent="0.25">
      <c r="A150" s="1"/>
      <c r="B150" s="1"/>
      <c r="C150" s="18" t="s">
        <v>913</v>
      </c>
      <c r="D150" s="18" t="s">
        <v>1105</v>
      </c>
      <c r="E150" s="344" t="s">
        <v>59</v>
      </c>
    </row>
    <row r="151" spans="1:6" x14ac:dyDescent="0.25">
      <c r="A151" s="1"/>
      <c r="B151" s="1"/>
      <c r="C151" s="18" t="s">
        <v>1683</v>
      </c>
      <c r="D151" s="880" t="s">
        <v>1681</v>
      </c>
      <c r="E151" s="344" t="s">
        <v>59</v>
      </c>
      <c r="F151" s="328"/>
    </row>
    <row r="152" spans="1:6" x14ac:dyDescent="0.25">
      <c r="A152" s="1"/>
      <c r="B152" s="1"/>
      <c r="C152" s="1" t="s">
        <v>1684</v>
      </c>
      <c r="D152" s="1" t="s">
        <v>1682</v>
      </c>
      <c r="E152" s="344" t="s">
        <v>59</v>
      </c>
      <c r="F152" s="328"/>
    </row>
    <row r="153" spans="1:6" x14ac:dyDescent="0.25">
      <c r="A153" s="874"/>
      <c r="B153" s="874"/>
      <c r="C153" s="874"/>
      <c r="D153" s="874"/>
      <c r="E153" s="874"/>
      <c r="F153" s="328"/>
    </row>
    <row r="154" spans="1:6" x14ac:dyDescent="0.25">
      <c r="C154" s="336" t="s">
        <v>804</v>
      </c>
      <c r="D154" s="328"/>
      <c r="E154" s="1"/>
      <c r="F154" s="1"/>
    </row>
    <row r="155" spans="1:6" x14ac:dyDescent="0.25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2" t="s">
        <v>1586</v>
      </c>
    </row>
    <row r="165" spans="3:7" x14ac:dyDescent="0.25">
      <c r="C165" s="329" t="s">
        <v>804</v>
      </c>
      <c r="D165" s="1"/>
      <c r="E165" s="1"/>
      <c r="F165" s="1"/>
      <c r="G165" s="1"/>
    </row>
    <row r="166" spans="3:7" x14ac:dyDescent="0.25">
      <c r="C166" s="334" t="s">
        <v>272</v>
      </c>
      <c r="D166" s="209" t="s">
        <v>805</v>
      </c>
      <c r="E166" s="209" t="s">
        <v>806</v>
      </c>
      <c r="F166" s="209" t="s">
        <v>974</v>
      </c>
      <c r="G166" s="335" t="s">
        <v>854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272</v>
      </c>
      <c r="D172" s="337" t="s">
        <v>806</v>
      </c>
      <c r="E172" s="337" t="s">
        <v>978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2" t="s">
        <v>1600</v>
      </c>
    </row>
    <row r="179" spans="3:11" x14ac:dyDescent="0.25">
      <c r="C179" s="336" t="s">
        <v>1008</v>
      </c>
      <c r="D179" s="328"/>
      <c r="E179" s="1"/>
      <c r="G179" s="283" t="s">
        <v>910</v>
      </c>
    </row>
    <row r="180" spans="3:11" ht="15.75" thickBot="1" x14ac:dyDescent="0.3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912</v>
      </c>
      <c r="I180" s="285" t="s">
        <v>913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1081</v>
      </c>
      <c r="D181" s="1" t="str">
        <f>+E167</f>
        <v>OIL-REF2</v>
      </c>
      <c r="E181" s="876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25">
      <c r="C182" s="16"/>
      <c r="D182" s="870" t="str">
        <f>+C147</f>
        <v>H2-REF2</v>
      </c>
      <c r="E182" s="876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25">
      <c r="C183" s="1"/>
      <c r="D183" s="872" t="str">
        <f>+E156</f>
        <v>GAS-REF2</v>
      </c>
      <c r="E183" s="876">
        <f>E84/(1+SUM($E$82:$E$86))</f>
        <v>3.6727248590057993E-2</v>
      </c>
    </row>
    <row r="184" spans="3:11" s="871" customFormat="1" x14ac:dyDescent="0.25">
      <c r="C184" s="1"/>
      <c r="D184" s="873" t="str">
        <f>+E159</f>
        <v>RFG2-REF2</v>
      </c>
      <c r="E184" s="876">
        <f>E83/(1+SUM($E$82:$E$86))</f>
        <v>2.1983407669173775E-2</v>
      </c>
      <c r="G184" s="875"/>
    </row>
    <row r="185" spans="3:11" s="871" customFormat="1" x14ac:dyDescent="0.25">
      <c r="D185" s="871" t="str">
        <f>+E158</f>
        <v>LPG-REF2</v>
      </c>
      <c r="E185" s="876">
        <f>E86/(1+SUM($E$82:$E$86))</f>
        <v>1.8236178164874122E-3</v>
      </c>
    </row>
    <row r="186" spans="3:11" x14ac:dyDescent="0.25">
      <c r="D186" t="str">
        <f>+E157</f>
        <v>HFO-REF2</v>
      </c>
      <c r="E186" s="841">
        <f>E85/(1+SUM($E$82:$E$86))</f>
        <v>1.1633830862724267E-2</v>
      </c>
    </row>
    <row r="187" spans="3:11" x14ac:dyDescent="0.25">
      <c r="G187" s="900"/>
    </row>
    <row r="188" spans="3:11" ht="18.75" x14ac:dyDescent="0.3">
      <c r="C188" s="832" t="s">
        <v>1626</v>
      </c>
    </row>
    <row r="190" spans="3:11" x14ac:dyDescent="0.25">
      <c r="C190" s="329" t="s">
        <v>804</v>
      </c>
      <c r="D190" s="1"/>
      <c r="E190" s="1"/>
      <c r="F190" s="397"/>
      <c r="G190" s="1"/>
    </row>
    <row r="191" spans="3:11" x14ac:dyDescent="0.25">
      <c r="C191" s="355" t="s">
        <v>272</v>
      </c>
      <c r="D191" s="355" t="s">
        <v>852</v>
      </c>
      <c r="E191" s="355" t="s">
        <v>1038</v>
      </c>
      <c r="F191" s="355" t="s">
        <v>897</v>
      </c>
      <c r="G191" s="398" t="s">
        <v>898</v>
      </c>
    </row>
    <row r="192" spans="3:11" x14ac:dyDescent="0.25">
      <c r="C192" s="389" t="str">
        <f>+C133</f>
        <v>SMR-REF2</v>
      </c>
      <c r="D192" s="389" t="s">
        <v>1039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804</v>
      </c>
      <c r="D196" s="328"/>
      <c r="E196" s="1"/>
      <c r="F196" s="1"/>
      <c r="G196" s="1"/>
    </row>
    <row r="197" spans="3:7" x14ac:dyDescent="0.25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2" t="s">
        <v>1627</v>
      </c>
    </row>
    <row r="203" spans="3:7" x14ac:dyDescent="0.25">
      <c r="C203" s="336" t="s">
        <v>1025</v>
      </c>
      <c r="D203" s="269"/>
      <c r="E203" s="207"/>
    </row>
    <row r="204" spans="3:7" x14ac:dyDescent="0.25">
      <c r="C204" s="334" t="s">
        <v>272</v>
      </c>
      <c r="D204" s="371" t="s">
        <v>806</v>
      </c>
      <c r="E204" s="372" t="s">
        <v>897</v>
      </c>
    </row>
    <row r="205" spans="3:7" x14ac:dyDescent="0.25">
      <c r="C205" s="349" t="s">
        <v>1081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77">
        <f>+H112</f>
        <v>3.2377019198036219E-2</v>
      </c>
    </row>
    <row r="211" spans="3:7" x14ac:dyDescent="0.25">
      <c r="D211" s="1"/>
      <c r="E211" s="266"/>
      <c r="G211" s="817">
        <f>+SUM(E205:E210)</f>
        <v>1</v>
      </c>
    </row>
    <row r="212" spans="3:7" x14ac:dyDescent="0.25">
      <c r="E212" s="374"/>
    </row>
    <row r="216" spans="3:7" ht="18.75" x14ac:dyDescent="0.3">
      <c r="C216" s="832" t="s">
        <v>1636</v>
      </c>
    </row>
    <row r="218" spans="3:7" x14ac:dyDescent="0.25">
      <c r="C218" s="381" t="s">
        <v>804</v>
      </c>
      <c r="D218" s="16"/>
      <c r="E218" s="16"/>
      <c r="F218" s="336"/>
      <c r="G218" s="16"/>
    </row>
    <row r="219" spans="3:7" x14ac:dyDescent="0.25">
      <c r="C219" s="354" t="s">
        <v>272</v>
      </c>
      <c r="D219" s="355" t="s">
        <v>852</v>
      </c>
      <c r="E219" s="355" t="s">
        <v>1038</v>
      </c>
      <c r="F219" s="355" t="s">
        <v>897</v>
      </c>
      <c r="G219" s="382" t="s">
        <v>898</v>
      </c>
    </row>
    <row r="220" spans="3:7" x14ac:dyDescent="0.25">
      <c r="C220" s="384" t="str">
        <f>+C205</f>
        <v>REF2</v>
      </c>
      <c r="D220" s="385" t="s">
        <v>1039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1039</v>
      </c>
      <c r="E221" s="878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1040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7" priority="1" operator="containsText" text="Oil and Gas">
      <formula>NOT(ISERROR(SEARCH(("Oil and Gas"),(K6))))</formula>
    </cfRule>
  </conditionalFormatting>
  <conditionalFormatting sqref="K7:K14 L7:L22 K6:L6">
    <cfRule type="containsText" dxfId="86" priority="2" operator="containsText" text="Gas">
      <formula>NOT(ISERROR(SEARCH(("Gas"),(K6))))</formula>
    </cfRule>
  </conditionalFormatting>
  <conditionalFormatting sqref="K7:K14 L7:L22 K6:L6">
    <cfRule type="containsText" dxfId="85" priority="3" operator="containsText" text="Oil">
      <formula>NOT(ISERROR(SEARCH(("Oil"),(K6))))</formula>
    </cfRule>
  </conditionalFormatting>
  <conditionalFormatting sqref="K15:K22">
    <cfRule type="containsText" dxfId="84" priority="4" operator="containsText" text="Oil and Gas">
      <formula>NOT(ISERROR(SEARCH(("Oil and Gas"),(K15))))</formula>
    </cfRule>
  </conditionalFormatting>
  <conditionalFormatting sqref="K15:K22">
    <cfRule type="containsText" dxfId="83" priority="5" operator="containsText" text="Gas">
      <formula>NOT(ISERROR(SEARCH(("Gas"),(K15))))</formula>
    </cfRule>
  </conditionalFormatting>
  <conditionalFormatting sqref="K15:K22">
    <cfRule type="containsText" dxfId="82" priority="6" operator="containsText" text="Oil">
      <formula>NOT(ISERROR(SEARCH(("Oil"),(K15))))</formula>
    </cfRule>
  </conditionalFormatting>
  <conditionalFormatting sqref="O6:P22">
    <cfRule type="cellIs" dxfId="81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93" t="s">
        <v>967</v>
      </c>
      <c r="M7" s="1004"/>
      <c r="N7" s="1004"/>
      <c r="O7" s="1004"/>
      <c r="P7" s="1004"/>
      <c r="Q7" s="1004"/>
      <c r="R7" s="1004"/>
      <c r="S7" s="1004"/>
      <c r="T7" s="1004"/>
      <c r="U7" s="994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05" t="s">
        <v>1077</v>
      </c>
      <c r="O9" s="1004"/>
      <c r="P9" s="994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1078</v>
      </c>
      <c r="P10" s="321" t="s">
        <v>970</v>
      </c>
      <c r="R10" s="1006"/>
      <c r="S10" s="97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1007"/>
      <c r="P12" s="323"/>
      <c r="R12" s="14"/>
      <c r="S12" s="1009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1008"/>
      <c r="P13" s="325"/>
      <c r="R13" s="14"/>
      <c r="S13" s="97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6" t="s">
        <v>1079</v>
      </c>
      <c r="D22" s="2" t="s">
        <v>1080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214" t="s">
        <v>1081</v>
      </c>
      <c r="D23" s="14" t="s">
        <v>1082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1083</v>
      </c>
      <c r="D24" s="14" t="s">
        <v>1084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1085</v>
      </c>
      <c r="D25" s="14" t="s">
        <v>1086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1087</v>
      </c>
      <c r="D26" s="14" t="s">
        <v>1088</v>
      </c>
      <c r="E26" s="2" t="s">
        <v>59</v>
      </c>
      <c r="F26" s="2" t="s">
        <v>288</v>
      </c>
      <c r="G26" s="328"/>
      <c r="Q26" s="322"/>
    </row>
    <row r="27" spans="1:22" ht="15.75" customHeight="1" x14ac:dyDescent="0.25">
      <c r="A27" s="328"/>
      <c r="B27" s="328"/>
      <c r="C27" s="214" t="s">
        <v>1089</v>
      </c>
      <c r="D27" s="214" t="s">
        <v>1090</v>
      </c>
      <c r="E27" s="214" t="s">
        <v>59</v>
      </c>
      <c r="F27" s="16" t="s">
        <v>288</v>
      </c>
      <c r="G27" s="328"/>
    </row>
    <row r="28" spans="1:22" ht="15.75" customHeight="1" x14ac:dyDescent="0.25">
      <c r="A28" s="328"/>
      <c r="B28" s="328"/>
      <c r="C28" s="214" t="s">
        <v>1091</v>
      </c>
      <c r="D28" s="214" t="s">
        <v>1092</v>
      </c>
      <c r="E28" s="214" t="s">
        <v>59</v>
      </c>
      <c r="F28" s="16" t="s">
        <v>288</v>
      </c>
      <c r="G28" s="328"/>
      <c r="L28" s="993" t="s">
        <v>991</v>
      </c>
      <c r="M28" s="1004"/>
      <c r="N28" s="1004"/>
      <c r="O28" s="1004"/>
      <c r="P28" s="1004"/>
      <c r="Q28" s="1004"/>
      <c r="R28" s="1004"/>
      <c r="S28" s="1004"/>
      <c r="T28" s="1004"/>
      <c r="U28" s="994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996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1093</v>
      </c>
      <c r="X33" s="12" t="s">
        <v>1094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1095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1096</v>
      </c>
      <c r="X35" s="12" t="s">
        <v>1097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914</v>
      </c>
      <c r="D36" s="1" t="s">
        <v>1098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1001</v>
      </c>
      <c r="U36" s="305"/>
      <c r="W36" s="12" t="s">
        <v>1096</v>
      </c>
      <c r="X36" s="12" t="s">
        <v>1099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1097</v>
      </c>
      <c r="D37" s="12" t="s">
        <v>1100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1096</v>
      </c>
      <c r="X37" s="12" t="s">
        <v>914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1099</v>
      </c>
      <c r="D38" s="12" t="s">
        <v>1101</v>
      </c>
      <c r="E38" s="12" t="s">
        <v>59</v>
      </c>
      <c r="F38" s="328"/>
      <c r="G38" s="328"/>
      <c r="W38" s="12" t="s">
        <v>1096</v>
      </c>
      <c r="X38" s="12" t="s">
        <v>1102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1102</v>
      </c>
      <c r="D39" s="12" t="s">
        <v>1103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912</v>
      </c>
      <c r="D40" s="18" t="s">
        <v>1104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913</v>
      </c>
      <c r="D41" s="18" t="s">
        <v>1105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93" t="s">
        <v>1013</v>
      </c>
      <c r="M48" s="1004"/>
      <c r="N48" s="1004"/>
      <c r="O48" s="1004"/>
      <c r="P48" s="1004"/>
      <c r="Q48" s="1004"/>
      <c r="R48" s="1004"/>
      <c r="S48" s="1004"/>
      <c r="T48" s="1004"/>
      <c r="U48" s="994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1106</v>
      </c>
      <c r="Q54" s="24" t="s">
        <v>1107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1108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93" t="s">
        <v>1027</v>
      </c>
      <c r="M81" s="1004"/>
      <c r="N81" s="1004"/>
      <c r="O81" s="1004"/>
      <c r="P81" s="1004"/>
      <c r="Q81" s="1004"/>
      <c r="R81" s="1004"/>
      <c r="S81" s="1004"/>
      <c r="T81" s="1004"/>
      <c r="U81" s="994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1039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93" t="s">
        <v>1041</v>
      </c>
      <c r="M104" s="1004"/>
      <c r="N104" s="1004"/>
      <c r="O104" s="1004"/>
      <c r="P104" s="1004"/>
      <c r="Q104" s="1004"/>
      <c r="R104" s="1004"/>
      <c r="S104" s="1004"/>
      <c r="T104" s="1004"/>
      <c r="U104" s="994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5830000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26235000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93" t="s">
        <v>1051</v>
      </c>
      <c r="M128" s="1004"/>
      <c r="N128" s="1004"/>
      <c r="O128" s="1004"/>
      <c r="P128" s="1004"/>
      <c r="Q128" s="1004"/>
      <c r="R128" s="1004"/>
      <c r="S128" s="1004"/>
      <c r="T128" s="1004"/>
      <c r="U128" s="994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 t="s">
        <v>1109</v>
      </c>
      <c r="H131" s="1">
        <f>643+289</f>
        <v>932</v>
      </c>
      <c r="I131" s="1"/>
      <c r="L131" s="116"/>
      <c r="M131" s="330" t="s">
        <v>1058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1059</v>
      </c>
      <c r="U131" s="305"/>
      <c r="W131" s="12" t="s">
        <v>1060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 t="s">
        <v>1110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1062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1039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93" t="s">
        <v>1073</v>
      </c>
      <c r="M162" s="1004"/>
      <c r="N162" s="1004"/>
      <c r="O162" s="1004"/>
      <c r="P162" s="1004"/>
      <c r="Q162" s="1004"/>
      <c r="R162" s="1004"/>
      <c r="S162" s="1004"/>
      <c r="T162" s="1004"/>
      <c r="U162" s="994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EXP_IMP'!J53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93" t="s">
        <v>967</v>
      </c>
      <c r="M7" s="1004"/>
      <c r="N7" s="1004"/>
      <c r="O7" s="1004"/>
      <c r="P7" s="1004"/>
      <c r="Q7" s="1004"/>
      <c r="R7" s="1004"/>
      <c r="S7" s="1004"/>
      <c r="T7" s="1004"/>
      <c r="U7" s="994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05" t="s">
        <v>968</v>
      </c>
      <c r="O9" s="1004"/>
      <c r="P9" s="994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969</v>
      </c>
      <c r="P10" s="321" t="s">
        <v>970</v>
      </c>
      <c r="R10" s="1006"/>
      <c r="S10" s="971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1007"/>
      <c r="P12" s="323"/>
      <c r="R12" s="14"/>
      <c r="S12" s="1009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1008"/>
      <c r="P13" s="325"/>
      <c r="R13" s="14"/>
      <c r="S13" s="971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974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7" t="s">
        <v>975</v>
      </c>
      <c r="D22" s="1" t="s">
        <v>976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977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338" t="s">
        <v>979</v>
      </c>
      <c r="D23" s="328" t="s">
        <v>980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981</v>
      </c>
      <c r="D24" s="328" t="s">
        <v>982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983</v>
      </c>
      <c r="D25" s="328" t="s">
        <v>984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985</v>
      </c>
      <c r="D26" s="12" t="s">
        <v>986</v>
      </c>
      <c r="E26" s="1" t="s">
        <v>59</v>
      </c>
      <c r="F26" s="1" t="s">
        <v>288</v>
      </c>
      <c r="G26" s="328"/>
    </row>
    <row r="27" spans="1:22" ht="15.75" customHeight="1" x14ac:dyDescent="0.25">
      <c r="A27" s="328"/>
      <c r="B27" s="328"/>
      <c r="C27" s="18" t="s">
        <v>987</v>
      </c>
      <c r="D27" s="12" t="s">
        <v>988</v>
      </c>
      <c r="E27" s="12" t="s">
        <v>59</v>
      </c>
      <c r="F27" s="344" t="s">
        <v>288</v>
      </c>
      <c r="G27" s="328"/>
    </row>
    <row r="28" spans="1:22" ht="15.75" customHeight="1" x14ac:dyDescent="0.25">
      <c r="A28" s="328"/>
      <c r="B28" s="328"/>
      <c r="C28" s="18" t="s">
        <v>989</v>
      </c>
      <c r="D28" s="328" t="s">
        <v>990</v>
      </c>
      <c r="E28" s="328" t="s">
        <v>59</v>
      </c>
      <c r="F28" s="344" t="s">
        <v>288</v>
      </c>
      <c r="G28" s="328"/>
      <c r="L28" s="993" t="s">
        <v>991</v>
      </c>
      <c r="M28" s="1004"/>
      <c r="N28" s="1004"/>
      <c r="O28" s="1004"/>
      <c r="P28" s="1004"/>
      <c r="Q28" s="1004"/>
      <c r="R28" s="1004"/>
      <c r="S28" s="1004"/>
      <c r="T28" s="1004"/>
      <c r="U28" s="994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996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977</v>
      </c>
      <c r="D36" s="1" t="s">
        <v>999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1001</v>
      </c>
      <c r="U36" s="305"/>
    </row>
    <row r="37" spans="1:21" ht="15.75" customHeight="1" x14ac:dyDescent="0.25">
      <c r="A37" s="1"/>
      <c r="B37" s="1"/>
      <c r="C37" s="12" t="s">
        <v>1002</v>
      </c>
      <c r="D37" s="12" t="s">
        <v>1003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1004</v>
      </c>
      <c r="D38" s="12" t="s">
        <v>1005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1006</v>
      </c>
      <c r="D39" s="12" t="s">
        <v>1007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1009</v>
      </c>
      <c r="D40" s="18" t="s">
        <v>1010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25">
      <c r="A41" s="1"/>
      <c r="B41" s="1"/>
      <c r="C41" s="18" t="s">
        <v>1011</v>
      </c>
      <c r="D41" s="18" t="s">
        <v>1012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93" t="s">
        <v>1013</v>
      </c>
      <c r="M48" s="1004"/>
      <c r="N48" s="1004"/>
      <c r="O48" s="1004"/>
      <c r="P48" s="1004"/>
      <c r="Q48" s="1004"/>
      <c r="R48" s="1004"/>
      <c r="S48" s="1004"/>
      <c r="T48" s="1004"/>
      <c r="U48" s="994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1018</v>
      </c>
      <c r="Q54" s="345" t="s">
        <v>1019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1021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1023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1026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93" t="s">
        <v>1027</v>
      </c>
      <c r="M81" s="1004"/>
      <c r="N81" s="1004"/>
      <c r="O81" s="1004"/>
      <c r="P81" s="1004"/>
      <c r="Q81" s="1004"/>
      <c r="R81" s="1004"/>
      <c r="S81" s="1004"/>
      <c r="T81" s="1004"/>
      <c r="U81" s="994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1039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93" t="s">
        <v>1041</v>
      </c>
      <c r="M104" s="1004"/>
      <c r="N104" s="1004"/>
      <c r="O104" s="1004"/>
      <c r="P104" s="1004"/>
      <c r="Q104" s="1004"/>
      <c r="R104" s="1004"/>
      <c r="S104" s="1004"/>
      <c r="T104" s="1004"/>
      <c r="U104" s="994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74825000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336712500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981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93" t="s">
        <v>1051</v>
      </c>
      <c r="M128" s="1004"/>
      <c r="N128" s="1004"/>
      <c r="O128" s="1004"/>
      <c r="P128" s="1004"/>
      <c r="Q128" s="1004"/>
      <c r="R128" s="1004"/>
      <c r="S128" s="1004"/>
      <c r="T128" s="1004"/>
      <c r="U128" s="994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1058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1059</v>
      </c>
      <c r="U131" s="305"/>
      <c r="W131" s="12" t="s">
        <v>1060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1062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1039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93" t="s">
        <v>1073</v>
      </c>
      <c r="M162" s="1004"/>
      <c r="N162" s="1004"/>
      <c r="O162" s="1004"/>
      <c r="P162" s="1004"/>
      <c r="Q162" s="1004"/>
      <c r="R162" s="1004"/>
      <c r="S162" s="1004"/>
      <c r="T162" s="1004"/>
      <c r="U162" s="994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EXP_IMP'!J53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D25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1010" t="s">
        <v>1111</v>
      </c>
      <c r="E2" s="1011"/>
      <c r="F2" s="1011"/>
      <c r="G2" s="1011"/>
      <c r="H2" s="1012"/>
    </row>
    <row r="3" spans="1:23" x14ac:dyDescent="0.25">
      <c r="D3" s="426"/>
      <c r="E3" s="1013" t="s">
        <v>1112</v>
      </c>
      <c r="F3" s="1014"/>
      <c r="G3" s="1013" t="s">
        <v>1113</v>
      </c>
      <c r="H3" s="1014"/>
    </row>
    <row r="4" spans="1:23" x14ac:dyDescent="0.25">
      <c r="A4" s="12" t="s">
        <v>1114</v>
      </c>
      <c r="D4" s="2"/>
      <c r="E4" s="2" t="s">
        <v>1115</v>
      </c>
      <c r="F4" s="2" t="s">
        <v>1116</v>
      </c>
      <c r="G4" s="2" t="s">
        <v>1115</v>
      </c>
      <c r="H4" s="2" t="s">
        <v>1116</v>
      </c>
    </row>
    <row r="5" spans="1:23" x14ac:dyDescent="0.25">
      <c r="A5" s="12" t="s">
        <v>835</v>
      </c>
      <c r="B5" s="12">
        <v>15</v>
      </c>
      <c r="D5" s="16" t="s">
        <v>1117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1118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1119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1120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1015" t="s">
        <v>1121</v>
      </c>
      <c r="O11" s="971"/>
      <c r="P11" s="971"/>
      <c r="Q11" s="971"/>
      <c r="R11" s="971"/>
      <c r="S11" s="971"/>
      <c r="T11" s="971"/>
      <c r="U11" s="971"/>
      <c r="V11" s="99"/>
      <c r="W11" s="99"/>
    </row>
    <row r="12" spans="1:23" ht="37.5" x14ac:dyDescent="0.25">
      <c r="A12" s="12" t="s">
        <v>1122</v>
      </c>
      <c r="C12" s="428" t="s">
        <v>1123</v>
      </c>
      <c r="D12" s="428" t="s">
        <v>1124</v>
      </c>
      <c r="E12" s="428" t="s">
        <v>1125</v>
      </c>
      <c r="F12" s="428" t="s">
        <v>1126</v>
      </c>
      <c r="G12" s="428" t="s">
        <v>1127</v>
      </c>
      <c r="H12" s="428" t="s">
        <v>1128</v>
      </c>
      <c r="I12" s="429"/>
      <c r="J12" s="428" t="s">
        <v>1129</v>
      </c>
      <c r="K12" s="430" t="s">
        <v>1130</v>
      </c>
      <c r="L12" s="430" t="s">
        <v>1131</v>
      </c>
      <c r="M12" s="430" t="s">
        <v>1132</v>
      </c>
      <c r="N12" s="428" t="s">
        <v>1133</v>
      </c>
      <c r="O12" s="428" t="s">
        <v>1134</v>
      </c>
      <c r="P12" s="428" t="s">
        <v>1135</v>
      </c>
      <c r="Q12" s="428" t="s">
        <v>1136</v>
      </c>
      <c r="R12" s="428" t="s">
        <v>1137</v>
      </c>
      <c r="S12" s="428" t="s">
        <v>1138</v>
      </c>
      <c r="T12" s="428" t="s">
        <v>1139</v>
      </c>
      <c r="U12" s="428" t="s">
        <v>1140</v>
      </c>
      <c r="V12" s="428" t="s">
        <v>1141</v>
      </c>
      <c r="W12" s="430" t="s">
        <v>1142</v>
      </c>
    </row>
    <row r="13" spans="1:23" x14ac:dyDescent="0.25">
      <c r="C13" s="431" t="s">
        <v>1143</v>
      </c>
      <c r="D13" s="432" t="s">
        <v>1144</v>
      </c>
      <c r="E13" s="432" t="s">
        <v>1145</v>
      </c>
      <c r="F13" s="432" t="s">
        <v>1146</v>
      </c>
      <c r="G13" s="433" t="s">
        <v>1147</v>
      </c>
      <c r="H13" s="431" t="s">
        <v>1023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1143</v>
      </c>
      <c r="D14" s="432" t="s">
        <v>1144</v>
      </c>
      <c r="E14" s="432" t="s">
        <v>1145</v>
      </c>
      <c r="F14" s="432" t="s">
        <v>1146</v>
      </c>
      <c r="G14" s="433" t="s">
        <v>1148</v>
      </c>
      <c r="H14" s="431" t="s">
        <v>1023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1143</v>
      </c>
      <c r="D15" s="432" t="s">
        <v>1144</v>
      </c>
      <c r="E15" s="432" t="s">
        <v>1149</v>
      </c>
      <c r="F15" s="432" t="s">
        <v>1150</v>
      </c>
      <c r="G15" s="433" t="s">
        <v>1151</v>
      </c>
      <c r="H15" s="431" t="s">
        <v>1023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1143</v>
      </c>
      <c r="D16" s="432" t="s">
        <v>1144</v>
      </c>
      <c r="E16" s="432" t="s">
        <v>1152</v>
      </c>
      <c r="F16" s="432" t="s">
        <v>1150</v>
      </c>
      <c r="G16" s="433" t="s">
        <v>1153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1143</v>
      </c>
      <c r="D17" s="432" t="s">
        <v>1144</v>
      </c>
      <c r="E17" s="432" t="s">
        <v>1154</v>
      </c>
      <c r="F17" s="432" t="s">
        <v>1150</v>
      </c>
      <c r="G17" s="433" t="s">
        <v>1155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1143</v>
      </c>
      <c r="D18" s="432" t="s">
        <v>1144</v>
      </c>
      <c r="E18" s="432" t="s">
        <v>1156</v>
      </c>
      <c r="F18" s="432" t="s">
        <v>1150</v>
      </c>
      <c r="G18" s="433" t="s">
        <v>1157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1143</v>
      </c>
      <c r="D19" s="432" t="s">
        <v>1144</v>
      </c>
      <c r="E19" s="432" t="s">
        <v>1156</v>
      </c>
      <c r="F19" s="432" t="s">
        <v>1150</v>
      </c>
      <c r="G19" s="433" t="s">
        <v>1158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1143</v>
      </c>
      <c r="D20" s="432" t="s">
        <v>1144</v>
      </c>
      <c r="E20" s="432" t="s">
        <v>1159</v>
      </c>
      <c r="F20" s="432" t="s">
        <v>1150</v>
      </c>
      <c r="G20" s="433" t="s">
        <v>1160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1143</v>
      </c>
      <c r="D21" s="432" t="s">
        <v>1144</v>
      </c>
      <c r="E21" s="432" t="s">
        <v>1161</v>
      </c>
      <c r="F21" s="432" t="s">
        <v>1150</v>
      </c>
      <c r="G21" s="433" t="s">
        <v>1162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1143</v>
      </c>
      <c r="D22" s="432" t="s">
        <v>1144</v>
      </c>
      <c r="E22" s="432" t="s">
        <v>1163</v>
      </c>
      <c r="F22" s="432" t="s">
        <v>1150</v>
      </c>
      <c r="G22" s="433" t="s">
        <v>1164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1143</v>
      </c>
      <c r="D23" s="432" t="s">
        <v>1144</v>
      </c>
      <c r="E23" s="432" t="s">
        <v>1163</v>
      </c>
      <c r="F23" s="432" t="s">
        <v>1150</v>
      </c>
      <c r="G23" s="433" t="s">
        <v>1165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1143</v>
      </c>
      <c r="D24" s="432" t="s">
        <v>1144</v>
      </c>
      <c r="E24" s="432" t="s">
        <v>1166</v>
      </c>
      <c r="F24" s="432" t="s">
        <v>1150</v>
      </c>
      <c r="G24" s="433" t="s">
        <v>1167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1143</v>
      </c>
      <c r="D25" s="432" t="s">
        <v>1144</v>
      </c>
      <c r="E25" s="432" t="s">
        <v>1168</v>
      </c>
      <c r="F25" s="432" t="s">
        <v>1169</v>
      </c>
      <c r="G25" s="433" t="s">
        <v>1168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1143</v>
      </c>
      <c r="D26" s="432" t="s">
        <v>1144</v>
      </c>
      <c r="E26" s="432" t="s">
        <v>1170</v>
      </c>
      <c r="F26" s="432" t="s">
        <v>1171</v>
      </c>
      <c r="G26" s="433" t="s">
        <v>1172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1143</v>
      </c>
      <c r="D27" s="432" t="s">
        <v>1144</v>
      </c>
      <c r="E27" s="432" t="s">
        <v>1173</v>
      </c>
      <c r="F27" s="432" t="s">
        <v>1171</v>
      </c>
      <c r="G27" s="433" t="s">
        <v>1174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1143</v>
      </c>
      <c r="D28" s="432" t="s">
        <v>1144</v>
      </c>
      <c r="E28" s="432" t="s">
        <v>1175</v>
      </c>
      <c r="F28" s="432" t="s">
        <v>1171</v>
      </c>
      <c r="G28" s="433" t="s">
        <v>1176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1143</v>
      </c>
      <c r="D29" s="432" t="s">
        <v>1144</v>
      </c>
      <c r="E29" s="432" t="s">
        <v>1177</v>
      </c>
      <c r="F29" s="432" t="s">
        <v>1171</v>
      </c>
      <c r="G29" s="433" t="s">
        <v>1178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1143</v>
      </c>
      <c r="D30" s="432" t="s">
        <v>1144</v>
      </c>
      <c r="E30" s="432" t="s">
        <v>1179</v>
      </c>
      <c r="F30" s="432" t="s">
        <v>1180</v>
      </c>
      <c r="G30" s="433" t="s">
        <v>1181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1143</v>
      </c>
      <c r="D31" s="432" t="s">
        <v>1144</v>
      </c>
      <c r="E31" s="432" t="s">
        <v>1182</v>
      </c>
      <c r="F31" s="432" t="s">
        <v>1180</v>
      </c>
      <c r="G31" s="433" t="s">
        <v>1183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1143</v>
      </c>
      <c r="D32" s="432" t="s">
        <v>1144</v>
      </c>
      <c r="E32" s="432" t="s">
        <v>1184</v>
      </c>
      <c r="F32" s="432" t="s">
        <v>1180</v>
      </c>
      <c r="G32" s="438" t="s">
        <v>1185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1186</v>
      </c>
      <c r="D33" s="242" t="s">
        <v>1144</v>
      </c>
      <c r="E33" s="242" t="s">
        <v>1187</v>
      </c>
      <c r="F33" s="242" t="s">
        <v>1188</v>
      </c>
      <c r="G33" s="440" t="s">
        <v>1189</v>
      </c>
      <c r="H33" s="441" t="s">
        <v>1023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1190</v>
      </c>
      <c r="D34" s="242" t="s">
        <v>1144</v>
      </c>
      <c r="E34" s="242" t="s">
        <v>1191</v>
      </c>
      <c r="F34" s="242" t="s">
        <v>1188</v>
      </c>
      <c r="G34" s="440" t="s">
        <v>1192</v>
      </c>
      <c r="H34" s="441" t="s">
        <v>1023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1190</v>
      </c>
      <c r="D35" s="242" t="s">
        <v>1144</v>
      </c>
      <c r="E35" s="242" t="s">
        <v>1191</v>
      </c>
      <c r="F35" s="242" t="s">
        <v>1188</v>
      </c>
      <c r="G35" s="440" t="s">
        <v>1193</v>
      </c>
      <c r="H35" s="441" t="s">
        <v>1023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1194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70" t="s">
        <v>7</v>
      </c>
      <c r="H59" s="971"/>
      <c r="J59" s="1016" t="s">
        <v>610</v>
      </c>
      <c r="K59" s="971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1195</v>
      </c>
      <c r="F61" s="432" t="s">
        <v>1146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1196</v>
      </c>
      <c r="F62" s="432" t="s">
        <v>1150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1169</v>
      </c>
      <c r="F63" s="432" t="s">
        <v>1169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1197</v>
      </c>
      <c r="F64" s="432" t="s">
        <v>1171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1198</v>
      </c>
      <c r="F65" s="432" t="s">
        <v>1180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1144</v>
      </c>
      <c r="L80" s="12" t="s">
        <v>1199</v>
      </c>
    </row>
    <row r="81" spans="5:15" ht="15.75" customHeight="1" x14ac:dyDescent="0.25">
      <c r="E81" s="447" t="s">
        <v>1143</v>
      </c>
      <c r="F81" s="359" t="s">
        <v>1200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1143</v>
      </c>
      <c r="F82" s="359" t="s">
        <v>1201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1202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1203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1143</v>
      </c>
      <c r="F85" s="359" t="s">
        <v>1204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1143</v>
      </c>
      <c r="F86" s="359" t="s">
        <v>1205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1143</v>
      </c>
      <c r="F87" s="359" t="s">
        <v>1206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1143</v>
      </c>
      <c r="F88" s="359" t="s">
        <v>1207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1202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1143</v>
      </c>
      <c r="F90" s="359" t="s">
        <v>1208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1209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1210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1143</v>
      </c>
      <c r="F93" s="359" t="s">
        <v>1211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70" t="s">
        <v>1212</v>
      </c>
      <c r="F103" s="971"/>
    </row>
    <row r="104" spans="5:15" ht="15.75" customHeight="1" x14ac:dyDescent="0.25">
      <c r="E104" s="14"/>
      <c r="F104" s="14" t="s">
        <v>1144</v>
      </c>
      <c r="G104" s="12" t="s">
        <v>1213</v>
      </c>
      <c r="H104" s="12" t="s">
        <v>1214</v>
      </c>
      <c r="I104" s="12" t="s">
        <v>1215</v>
      </c>
      <c r="J104" s="12" t="s">
        <v>1216</v>
      </c>
      <c r="K104" s="12" t="s">
        <v>1217</v>
      </c>
      <c r="L104" s="12" t="s">
        <v>1218</v>
      </c>
      <c r="M104" s="12" t="s">
        <v>1219</v>
      </c>
      <c r="N104" s="12" t="s">
        <v>1220</v>
      </c>
      <c r="O104" s="12" t="s">
        <v>1221</v>
      </c>
    </row>
    <row r="105" spans="5:15" ht="15.75" customHeight="1" x14ac:dyDescent="0.25">
      <c r="E105" s="14" t="s">
        <v>1222</v>
      </c>
      <c r="F105" s="14" t="s">
        <v>1223</v>
      </c>
    </row>
    <row r="106" spans="5:15" ht="15.75" customHeight="1" x14ac:dyDescent="0.25">
      <c r="E106" s="13" t="s">
        <v>1189</v>
      </c>
      <c r="F106" s="14" t="s">
        <v>1224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1225</v>
      </c>
      <c r="F107" s="14" t="s">
        <v>1226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1227</v>
      </c>
      <c r="F108" s="14" t="s">
        <v>1223</v>
      </c>
    </row>
    <row r="109" spans="5:15" ht="15.75" customHeight="1" x14ac:dyDescent="0.25">
      <c r="E109" s="14" t="s">
        <v>1228</v>
      </c>
      <c r="F109" s="14" t="s">
        <v>1223</v>
      </c>
    </row>
    <row r="110" spans="5:15" ht="15.75" customHeight="1" x14ac:dyDescent="0.25">
      <c r="E110" s="14" t="s">
        <v>1229</v>
      </c>
      <c r="F110" s="14" t="s">
        <v>1223</v>
      </c>
    </row>
    <row r="111" spans="5:15" ht="15.75" customHeight="1" x14ac:dyDescent="0.25">
      <c r="E111" s="14" t="s">
        <v>1230</v>
      </c>
      <c r="F111" s="14" t="s">
        <v>1223</v>
      </c>
    </row>
    <row r="112" spans="5:15" ht="15.75" customHeight="1" x14ac:dyDescent="0.25">
      <c r="E112" s="13" t="s">
        <v>1193</v>
      </c>
      <c r="F112" s="14" t="s">
        <v>1224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1231</v>
      </c>
      <c r="F113" s="14" t="s">
        <v>1223</v>
      </c>
    </row>
    <row r="114" spans="5:6" ht="15.75" customHeight="1" x14ac:dyDescent="0.25">
      <c r="E114" s="14" t="s">
        <v>1232</v>
      </c>
      <c r="F114" s="14"/>
    </row>
    <row r="115" spans="5:6" ht="15.75" customHeight="1" x14ac:dyDescent="0.25">
      <c r="E115" s="14" t="s">
        <v>1233</v>
      </c>
      <c r="F115" s="14" t="s">
        <v>1223</v>
      </c>
    </row>
    <row r="116" spans="5:6" ht="15.75" customHeight="1" x14ac:dyDescent="0.25">
      <c r="E116" s="14" t="s">
        <v>1234</v>
      </c>
      <c r="F116" s="14" t="s">
        <v>1223</v>
      </c>
    </row>
    <row r="117" spans="5:6" ht="15.75" customHeight="1" x14ac:dyDescent="0.25">
      <c r="E117" s="14" t="s">
        <v>1235</v>
      </c>
      <c r="F117" s="14" t="s">
        <v>1223</v>
      </c>
    </row>
    <row r="118" spans="5:6" ht="15.75" customHeight="1" x14ac:dyDescent="0.25">
      <c r="E118" s="14" t="s">
        <v>1236</v>
      </c>
      <c r="F118" s="14" t="s">
        <v>1223</v>
      </c>
    </row>
    <row r="119" spans="5:6" ht="15.75" customHeight="1" x14ac:dyDescent="0.25">
      <c r="E119" s="14" t="s">
        <v>1237</v>
      </c>
      <c r="F119" s="14" t="s">
        <v>1223</v>
      </c>
    </row>
    <row r="120" spans="5:6" ht="15.75" customHeight="1" x14ac:dyDescent="0.25">
      <c r="E120" s="14" t="s">
        <v>1238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80" priority="1">
      <formula>LEN(TRIM(F13))=0</formula>
    </cfRule>
  </conditionalFormatting>
  <conditionalFormatting sqref="H13:I24">
    <cfRule type="containsText" dxfId="79" priority="2" operator="containsText" text="Oil and Gas">
      <formula>NOT(ISERROR(SEARCH(("Oil and Gas"),(H13))))</formula>
    </cfRule>
  </conditionalFormatting>
  <conditionalFormatting sqref="H13:I24">
    <cfRule type="containsText" dxfId="78" priority="3" operator="containsText" text="Gas">
      <formula>NOT(ISERROR(SEARCH(("Gas"),(H13))))</formula>
    </cfRule>
  </conditionalFormatting>
  <conditionalFormatting sqref="H13:I24">
    <cfRule type="containsText" dxfId="77" priority="4" operator="containsText" text="Oil">
      <formula>NOT(ISERROR(SEARCH(("Oil"),(H13))))</formula>
    </cfRule>
  </conditionalFormatting>
  <conditionalFormatting sqref="H25:I32">
    <cfRule type="containsText" dxfId="76" priority="5" operator="containsText" text="Oil and Gas">
      <formula>NOT(ISERROR(SEARCH(("Oil and Gas"),(H25))))</formula>
    </cfRule>
  </conditionalFormatting>
  <conditionalFormatting sqref="H25:I32">
    <cfRule type="containsText" dxfId="75" priority="6" operator="containsText" text="Gas">
      <formula>NOT(ISERROR(SEARCH(("Gas"),(H25))))</formula>
    </cfRule>
  </conditionalFormatting>
  <conditionalFormatting sqref="H25:I32">
    <cfRule type="containsText" dxfId="74" priority="7" operator="containsText" text="Oil">
      <formula>NOT(ISERROR(SEARCH(("Oil"),(H25))))</formula>
    </cfRule>
  </conditionalFormatting>
  <conditionalFormatting sqref="N13:V32">
    <cfRule type="cellIs" dxfId="73" priority="8" operator="equal">
      <formula>0</formula>
    </cfRule>
  </conditionalFormatting>
  <conditionalFormatting sqref="F60">
    <cfRule type="containsBlanks" dxfId="72" priority="9">
      <formula>LEN(TRIM(F60))=0</formula>
    </cfRule>
  </conditionalFormatting>
  <conditionalFormatting sqref="F61">
    <cfRule type="containsBlanks" dxfId="71" priority="10">
      <formula>LEN(TRIM(F61))=0</formula>
    </cfRule>
  </conditionalFormatting>
  <conditionalFormatting sqref="F62">
    <cfRule type="containsBlanks" dxfId="70" priority="11">
      <formula>LEN(TRIM(F62))=0</formula>
    </cfRule>
  </conditionalFormatting>
  <conditionalFormatting sqref="F63">
    <cfRule type="containsBlanks" dxfId="69" priority="12">
      <formula>LEN(TRIM(F63))=0</formula>
    </cfRule>
  </conditionalFormatting>
  <conditionalFormatting sqref="F64">
    <cfRule type="containsBlanks" dxfId="68" priority="13">
      <formula>LEN(TRIM(F64))=0</formula>
    </cfRule>
  </conditionalFormatting>
  <conditionalFormatting sqref="F65">
    <cfRule type="containsBlanks" dxfId="67" priority="14">
      <formula>LEN(TRIM(F65))=0</formula>
    </cfRule>
  </conditionalFormatting>
  <conditionalFormatting sqref="H33:I35">
    <cfRule type="containsText" dxfId="66" priority="15" operator="containsText" text="Oil and Gas">
      <formula>NOT(ISERROR(SEARCH(("Oil and Gas"),(H33))))</formula>
    </cfRule>
  </conditionalFormatting>
  <conditionalFormatting sqref="H33:I35">
    <cfRule type="containsText" dxfId="65" priority="16" operator="containsText" text="Gas">
      <formula>NOT(ISERROR(SEARCH(("Gas"),(H33))))</formula>
    </cfRule>
  </conditionalFormatting>
  <conditionalFormatting sqref="H33:I35">
    <cfRule type="containsText" dxfId="64" priority="17" operator="containsText" text="Oil">
      <formula>NOT(ISERROR(SEARCH(("Oil"),(H33))))</formula>
    </cfRule>
  </conditionalFormatting>
  <conditionalFormatting sqref="N33:V35">
    <cfRule type="cellIs" dxfId="63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A10" workbookViewId="0">
      <selection activeCell="H7" sqref="H7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1239</v>
      </c>
      <c r="T1" s="12">
        <v>5.7</v>
      </c>
      <c r="U1" s="12" t="s">
        <v>1240</v>
      </c>
    </row>
    <row r="2" spans="8:61" x14ac:dyDescent="0.25">
      <c r="L2" s="306"/>
      <c r="M2" s="306"/>
      <c r="Q2" s="12">
        <f>+Q1/1000</f>
        <v>6.0871741676095338E-3</v>
      </c>
      <c r="R2" s="12" t="s">
        <v>1241</v>
      </c>
      <c r="T2" s="12">
        <f>+T1/1000</f>
        <v>5.7000000000000002E-3</v>
      </c>
      <c r="U2" s="12" t="s">
        <v>1241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1242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1243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1243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1123</v>
      </c>
      <c r="I5" s="456" t="s">
        <v>1124</v>
      </c>
      <c r="J5" s="426" t="s">
        <v>1125</v>
      </c>
      <c r="K5" s="456" t="s">
        <v>1126</v>
      </c>
      <c r="L5" s="456" t="s">
        <v>1127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1244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1245</v>
      </c>
      <c r="AT5" s="446" t="s">
        <v>1246</v>
      </c>
      <c r="AU5" s="12" t="s">
        <v>1247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1245</v>
      </c>
    </row>
    <row r="6" spans="8:61" ht="15.75" x14ac:dyDescent="0.25">
      <c r="H6" s="431" t="s">
        <v>1143</v>
      </c>
      <c r="I6" s="432" t="s">
        <v>1144</v>
      </c>
      <c r="J6" s="432" t="s">
        <v>1145</v>
      </c>
      <c r="K6" s="432" t="s">
        <v>1146</v>
      </c>
      <c r="L6" s="433" t="s">
        <v>1147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1147</v>
      </c>
      <c r="AS6" s="205"/>
      <c r="AT6" s="472" t="s">
        <v>1248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1143</v>
      </c>
      <c r="I7" s="432" t="s">
        <v>1144</v>
      </c>
      <c r="J7" s="432" t="s">
        <v>1145</v>
      </c>
      <c r="K7" s="432" t="s">
        <v>1146</v>
      </c>
      <c r="L7" s="433" t="s">
        <v>1148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1148</v>
      </c>
      <c r="AT7" s="476" t="s">
        <v>1249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1143</v>
      </c>
      <c r="I8" s="432" t="s">
        <v>1144</v>
      </c>
      <c r="J8" s="432" t="s">
        <v>1149</v>
      </c>
      <c r="K8" s="432" t="s">
        <v>1150</v>
      </c>
      <c r="L8" s="433" t="s">
        <v>1151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1151</v>
      </c>
      <c r="AT8" s="479" t="s">
        <v>1250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1143</v>
      </c>
      <c r="I9" s="432" t="s">
        <v>1144</v>
      </c>
      <c r="J9" s="432" t="s">
        <v>1152</v>
      </c>
      <c r="K9" s="432" t="s">
        <v>1150</v>
      </c>
      <c r="L9" s="433" t="s">
        <v>1153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1153</v>
      </c>
      <c r="AT9" s="479" t="s">
        <v>1251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1143</v>
      </c>
      <c r="I10" s="432" t="s">
        <v>1144</v>
      </c>
      <c r="J10" s="432" t="s">
        <v>1154</v>
      </c>
      <c r="K10" s="432" t="s">
        <v>1150</v>
      </c>
      <c r="L10" s="433" t="s">
        <v>1155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1155</v>
      </c>
      <c r="AT10" s="479" t="s">
        <v>1252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1143</v>
      </c>
      <c r="I11" s="432" t="s">
        <v>1144</v>
      </c>
      <c r="J11" s="432" t="s">
        <v>1156</v>
      </c>
      <c r="K11" s="432" t="s">
        <v>1150</v>
      </c>
      <c r="L11" s="433" t="s">
        <v>1157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1157</v>
      </c>
      <c r="AT11" s="480" t="s">
        <v>1253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1143</v>
      </c>
      <c r="I12" s="432" t="s">
        <v>1144</v>
      </c>
      <c r="J12" s="432" t="s">
        <v>1156</v>
      </c>
      <c r="K12" s="432" t="s">
        <v>1150</v>
      </c>
      <c r="L12" s="433" t="s">
        <v>1158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1158</v>
      </c>
      <c r="AT12" s="484"/>
    </row>
    <row r="13" spans="8:61" x14ac:dyDescent="0.25">
      <c r="H13" s="431" t="s">
        <v>1143</v>
      </c>
      <c r="I13" s="432" t="s">
        <v>1144</v>
      </c>
      <c r="J13" s="432" t="s">
        <v>1159</v>
      </c>
      <c r="K13" s="432" t="s">
        <v>1150</v>
      </c>
      <c r="L13" s="433" t="s">
        <v>1160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1160</v>
      </c>
      <c r="AV13" s="293">
        <f>+SUM(AV6:BH11)</f>
        <v>5175.1741990991441</v>
      </c>
    </row>
    <row r="14" spans="8:61" ht="25.5" x14ac:dyDescent="0.25">
      <c r="H14" s="431" t="s">
        <v>1143</v>
      </c>
      <c r="I14" s="432" t="s">
        <v>1144</v>
      </c>
      <c r="J14" s="432" t="s">
        <v>1161</v>
      </c>
      <c r="K14" s="432" t="s">
        <v>1150</v>
      </c>
      <c r="L14" s="433" t="s">
        <v>1162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1162</v>
      </c>
    </row>
    <row r="15" spans="8:61" x14ac:dyDescent="0.25">
      <c r="H15" s="431" t="s">
        <v>1143</v>
      </c>
      <c r="I15" s="432" t="s">
        <v>1144</v>
      </c>
      <c r="J15" s="432" t="s">
        <v>1163</v>
      </c>
      <c r="K15" s="432" t="s">
        <v>1150</v>
      </c>
      <c r="L15" s="433" t="s">
        <v>1164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1164</v>
      </c>
      <c r="BI15" s="12">
        <f>15*BI11</f>
        <v>-10.906059809289212</v>
      </c>
    </row>
    <row r="16" spans="8:61" x14ac:dyDescent="0.25">
      <c r="H16" s="431" t="s">
        <v>1143</v>
      </c>
      <c r="I16" s="432" t="s">
        <v>1144</v>
      </c>
      <c r="J16" s="432" t="s">
        <v>1163</v>
      </c>
      <c r="K16" s="432" t="s">
        <v>1150</v>
      </c>
      <c r="L16" s="433" t="s">
        <v>1165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1165</v>
      </c>
      <c r="BI16" s="293">
        <f>+AV11+BI15</f>
        <v>11.839307116564433</v>
      </c>
    </row>
    <row r="17" spans="1:61" x14ac:dyDescent="0.25">
      <c r="H17" s="431" t="s">
        <v>1143</v>
      </c>
      <c r="I17" s="432" t="s">
        <v>1144</v>
      </c>
      <c r="J17" s="432" t="s">
        <v>1166</v>
      </c>
      <c r="K17" s="432" t="s">
        <v>1150</v>
      </c>
      <c r="L17" s="433" t="s">
        <v>1167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1167</v>
      </c>
      <c r="BH17" s="293"/>
    </row>
    <row r="18" spans="1:61" x14ac:dyDescent="0.25">
      <c r="H18" s="431" t="s">
        <v>1143</v>
      </c>
      <c r="I18" s="432" t="s">
        <v>1144</v>
      </c>
      <c r="J18" s="432" t="s">
        <v>1168</v>
      </c>
      <c r="K18" s="432" t="s">
        <v>1169</v>
      </c>
      <c r="L18" s="433" t="s">
        <v>1168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1168</v>
      </c>
      <c r="BI18" s="485"/>
    </row>
    <row r="19" spans="1:61" x14ac:dyDescent="0.25">
      <c r="H19" s="431" t="s">
        <v>1143</v>
      </c>
      <c r="I19" s="432" t="s">
        <v>1144</v>
      </c>
      <c r="J19" s="432" t="s">
        <v>1170</v>
      </c>
      <c r="K19" s="432" t="s">
        <v>1171</v>
      </c>
      <c r="L19" s="433" t="s">
        <v>1172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1172</v>
      </c>
    </row>
    <row r="20" spans="1:61" x14ac:dyDescent="0.25">
      <c r="H20" s="431" t="s">
        <v>1143</v>
      </c>
      <c r="I20" s="432" t="s">
        <v>1144</v>
      </c>
      <c r="J20" s="432" t="s">
        <v>1173</v>
      </c>
      <c r="K20" s="432" t="s">
        <v>1171</v>
      </c>
      <c r="L20" s="433" t="s">
        <v>1174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1174</v>
      </c>
    </row>
    <row r="21" spans="1:61" ht="15.75" customHeight="1" x14ac:dyDescent="0.25">
      <c r="H21" s="431" t="s">
        <v>1143</v>
      </c>
      <c r="I21" s="432" t="s">
        <v>1144</v>
      </c>
      <c r="J21" s="432" t="s">
        <v>1175</v>
      </c>
      <c r="K21" s="432" t="s">
        <v>1171</v>
      </c>
      <c r="L21" s="433" t="s">
        <v>1176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1176</v>
      </c>
    </row>
    <row r="22" spans="1:61" ht="15.75" customHeight="1" x14ac:dyDescent="0.25">
      <c r="H22" s="431" t="s">
        <v>1143</v>
      </c>
      <c r="I22" s="432" t="s">
        <v>1144</v>
      </c>
      <c r="J22" s="432" t="s">
        <v>1177</v>
      </c>
      <c r="K22" s="432" t="s">
        <v>1171</v>
      </c>
      <c r="L22" s="433" t="s">
        <v>1178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1178</v>
      </c>
    </row>
    <row r="23" spans="1:61" ht="15.75" customHeight="1" x14ac:dyDescent="0.25">
      <c r="H23" s="431" t="s">
        <v>1143</v>
      </c>
      <c r="I23" s="432" t="s">
        <v>1144</v>
      </c>
      <c r="J23" s="432" t="s">
        <v>1179</v>
      </c>
      <c r="K23" s="432" t="s">
        <v>1180</v>
      </c>
      <c r="L23" s="433" t="s">
        <v>1181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1181</v>
      </c>
    </row>
    <row r="24" spans="1:61" ht="15.75" customHeight="1" x14ac:dyDescent="0.25">
      <c r="H24" s="431" t="s">
        <v>1143</v>
      </c>
      <c r="I24" s="432" t="s">
        <v>1144</v>
      </c>
      <c r="J24" s="432" t="s">
        <v>1182</v>
      </c>
      <c r="K24" s="432" t="s">
        <v>1180</v>
      </c>
      <c r="L24" s="433" t="s">
        <v>1183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1183</v>
      </c>
    </row>
    <row r="25" spans="1:61" ht="15.75" customHeight="1" x14ac:dyDescent="0.25">
      <c r="H25" s="431" t="s">
        <v>1143</v>
      </c>
      <c r="I25" s="432" t="s">
        <v>1144</v>
      </c>
      <c r="J25" s="432" t="s">
        <v>1184</v>
      </c>
      <c r="K25" s="432" t="s">
        <v>1180</v>
      </c>
      <c r="L25" s="438" t="s">
        <v>1185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1185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1189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1189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1192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1192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1193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1193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1247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667</v>
      </c>
      <c r="L33" s="306"/>
      <c r="M33" s="306"/>
    </row>
    <row r="34" spans="1:43" ht="15.75" customHeight="1" x14ac:dyDescent="0.25">
      <c r="I34" s="491">
        <v>5800000</v>
      </c>
      <c r="J34" s="12" t="s">
        <v>575</v>
      </c>
      <c r="L34" s="306"/>
      <c r="M34" s="306"/>
    </row>
    <row r="35" spans="1:43" ht="15.75" customHeight="1" x14ac:dyDescent="0.25">
      <c r="I35" s="12">
        <v>5.7</v>
      </c>
      <c r="J35" s="12" t="s">
        <v>1254</v>
      </c>
      <c r="L35" s="306"/>
      <c r="M35" s="306"/>
    </row>
    <row r="36" spans="1:43" ht="15.75" customHeight="1" x14ac:dyDescent="0.25">
      <c r="I36" s="12">
        <v>1</v>
      </c>
      <c r="J36" s="12" t="s">
        <v>1255</v>
      </c>
      <c r="L36" s="306"/>
      <c r="M36" s="306"/>
    </row>
    <row r="37" spans="1:43" ht="15.75" customHeight="1" x14ac:dyDescent="0.25">
      <c r="D37" s="14" t="s">
        <v>1247</v>
      </c>
      <c r="E37" s="14" t="s">
        <v>1247</v>
      </c>
      <c r="L37" s="306"/>
      <c r="M37" s="492"/>
      <c r="N37" s="1017" t="s">
        <v>1256</v>
      </c>
      <c r="O37" s="968"/>
      <c r="P37" s="968"/>
      <c r="Q37" s="968"/>
      <c r="R37" s="968"/>
      <c r="S37" s="968"/>
      <c r="T37" s="968"/>
      <c r="U37" s="968"/>
      <c r="V37" s="968"/>
      <c r="W37" s="969"/>
      <c r="X37" s="492"/>
      <c r="Y37" s="492"/>
      <c r="Z37" s="492"/>
      <c r="AE37" s="1018" t="s">
        <v>1257</v>
      </c>
      <c r="AF37" s="968"/>
      <c r="AG37" s="968"/>
      <c r="AH37" s="968"/>
      <c r="AI37" s="968"/>
      <c r="AJ37" s="968"/>
      <c r="AK37" s="968"/>
      <c r="AL37" s="968"/>
      <c r="AM37" s="968"/>
      <c r="AN37" s="969"/>
      <c r="AO37" s="216"/>
      <c r="AP37" s="216"/>
      <c r="AQ37" s="216"/>
    </row>
    <row r="38" spans="1:43" ht="15.75" customHeight="1" x14ac:dyDescent="0.25">
      <c r="D38" s="12" t="s">
        <v>1258</v>
      </c>
      <c r="E38" s="493" t="str">
        <f>"-RR2050"</f>
        <v>-RR2050</v>
      </c>
      <c r="F38" s="446" t="s">
        <v>1259</v>
      </c>
      <c r="G38" s="446" t="s">
        <v>1260</v>
      </c>
      <c r="H38" s="446" t="s">
        <v>1261</v>
      </c>
      <c r="I38" s="446" t="s">
        <v>1262</v>
      </c>
      <c r="J38" s="446" t="s">
        <v>1263</v>
      </c>
      <c r="K38" s="446" t="s">
        <v>1264</v>
      </c>
      <c r="L38" s="494" t="s">
        <v>1265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1266</v>
      </c>
      <c r="AB38" s="466" t="s">
        <v>1267</v>
      </c>
      <c r="AC38" s="499" t="s">
        <v>1268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1269</v>
      </c>
      <c r="C39" s="12" t="s">
        <v>1165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1165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1269</v>
      </c>
      <c r="C40" s="12" t="s">
        <v>1167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1167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1269</v>
      </c>
      <c r="C41" s="12" t="s">
        <v>1270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1270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1269</v>
      </c>
      <c r="C42" s="12" t="s">
        <v>1148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1148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1269</v>
      </c>
      <c r="C43" s="12" t="s">
        <v>1172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1172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1269</v>
      </c>
      <c r="C44" s="1" t="s">
        <v>1271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1271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1269</v>
      </c>
      <c r="C45" s="1" t="s">
        <v>1272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1272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552</v>
      </c>
      <c r="C46" s="1" t="s">
        <v>1273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1273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552</v>
      </c>
      <c r="C47" s="1" t="s">
        <v>1274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1274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552</v>
      </c>
      <c r="C48" s="1" t="s">
        <v>1164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1164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552</v>
      </c>
      <c r="C49" s="1" t="s">
        <v>1275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1275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552</v>
      </c>
      <c r="C50" s="1" t="s">
        <v>1147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1147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552</v>
      </c>
      <c r="C51" s="1" t="s">
        <v>1276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1276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1277</v>
      </c>
      <c r="C52" s="1" t="s">
        <v>1278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1278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552</v>
      </c>
      <c r="C53" s="1" t="s">
        <v>1279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1279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1277</v>
      </c>
      <c r="C54" s="1" t="s">
        <v>1280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1280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552</v>
      </c>
      <c r="C55" s="1" t="s">
        <v>1281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1281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1277</v>
      </c>
      <c r="C56" s="1" t="s">
        <v>1282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1282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1277</v>
      </c>
      <c r="C57" s="1" t="s">
        <v>1283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1283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552</v>
      </c>
      <c r="C58" s="1" t="s">
        <v>1284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1284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1277</v>
      </c>
      <c r="C59" s="1" t="s">
        <v>1285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1285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552</v>
      </c>
      <c r="C60" s="1" t="s">
        <v>1286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1286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552</v>
      </c>
      <c r="C61" s="1" t="s">
        <v>1151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1151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552</v>
      </c>
      <c r="C62" s="1" t="s">
        <v>1287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1287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552</v>
      </c>
      <c r="C63" s="1" t="s">
        <v>1178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1178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552</v>
      </c>
      <c r="C64" s="1" t="s">
        <v>1168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1168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552</v>
      </c>
      <c r="C65" s="1" t="s">
        <v>1288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1288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552</v>
      </c>
      <c r="C66" s="1" t="s">
        <v>1289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1289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552</v>
      </c>
      <c r="C67" s="1" t="s">
        <v>1160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1160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552</v>
      </c>
      <c r="C68" s="1" t="s">
        <v>1183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1183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552</v>
      </c>
      <c r="C69" s="1" t="s">
        <v>1290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1290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552</v>
      </c>
      <c r="C70" s="1" t="s">
        <v>1185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1185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552</v>
      </c>
      <c r="C71" s="12" t="s">
        <v>1176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1291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1189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1189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1192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1192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1193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1193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1292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1293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1294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1295</v>
      </c>
      <c r="M79" s="306"/>
    </row>
    <row r="80" spans="2:43" ht="15.75" customHeight="1" x14ac:dyDescent="0.25">
      <c r="F80" s="12" t="s">
        <v>1296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25">
      <c r="F81" s="12" t="s">
        <v>1297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25">
      <c r="F82" s="12" t="s">
        <v>1278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25">
      <c r="F83" s="12" t="s">
        <v>1279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1017" t="s">
        <v>1256</v>
      </c>
      <c r="O86" s="968"/>
      <c r="P86" s="968"/>
      <c r="Q86" s="968"/>
      <c r="R86" s="968"/>
      <c r="S86" s="968"/>
      <c r="T86" s="968"/>
      <c r="U86" s="968"/>
      <c r="V86" s="968"/>
      <c r="W86" s="969"/>
      <c r="X86" s="492"/>
      <c r="Y86" s="492"/>
      <c r="Z86" s="492"/>
    </row>
    <row r="87" spans="3:26" ht="15.75" customHeight="1" x14ac:dyDescent="0.25">
      <c r="H87" s="456" t="s">
        <v>1123</v>
      </c>
      <c r="I87" s="456" t="s">
        <v>1124</v>
      </c>
      <c r="J87" s="426" t="s">
        <v>1125</v>
      </c>
      <c r="K87" s="456" t="s">
        <v>1126</v>
      </c>
      <c r="L87" s="456" t="s">
        <v>1127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1143</v>
      </c>
      <c r="I88" s="432" t="s">
        <v>1144</v>
      </c>
      <c r="J88" s="432" t="s">
        <v>1145</v>
      </c>
      <c r="K88" s="432" t="s">
        <v>1146</v>
      </c>
      <c r="L88" s="389" t="s">
        <v>1147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1143</v>
      </c>
      <c r="I89" s="432" t="s">
        <v>1144</v>
      </c>
      <c r="J89" s="432" t="s">
        <v>1145</v>
      </c>
      <c r="K89" s="432" t="s">
        <v>1146</v>
      </c>
      <c r="L89" s="389" t="s">
        <v>1148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1143</v>
      </c>
      <c r="I90" s="432" t="s">
        <v>1144</v>
      </c>
      <c r="J90" s="432" t="s">
        <v>1149</v>
      </c>
      <c r="K90" s="432" t="s">
        <v>1150</v>
      </c>
      <c r="L90" s="389" t="s">
        <v>1151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1143</v>
      </c>
      <c r="I91" s="432" t="s">
        <v>1144</v>
      </c>
      <c r="J91" s="432" t="s">
        <v>1152</v>
      </c>
      <c r="K91" s="432" t="s">
        <v>1150</v>
      </c>
      <c r="L91" s="389" t="s">
        <v>1153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1143</v>
      </c>
      <c r="I92" s="432" t="s">
        <v>1144</v>
      </c>
      <c r="J92" s="432" t="s">
        <v>1154</v>
      </c>
      <c r="K92" s="432" t="s">
        <v>1150</v>
      </c>
      <c r="L92" s="389" t="s">
        <v>1155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1143</v>
      </c>
      <c r="I93" s="432" t="s">
        <v>1144</v>
      </c>
      <c r="J93" s="432" t="s">
        <v>1156</v>
      </c>
      <c r="K93" s="432" t="s">
        <v>1150</v>
      </c>
      <c r="L93" s="389" t="s">
        <v>1157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1143</v>
      </c>
      <c r="I94" s="432" t="s">
        <v>1144</v>
      </c>
      <c r="J94" s="432" t="s">
        <v>1156</v>
      </c>
      <c r="K94" s="432" t="s">
        <v>1150</v>
      </c>
      <c r="L94" s="389" t="s">
        <v>1158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1143</v>
      </c>
      <c r="I95" s="432" t="s">
        <v>1144</v>
      </c>
      <c r="J95" s="432" t="s">
        <v>1159</v>
      </c>
      <c r="K95" s="432" t="s">
        <v>1150</v>
      </c>
      <c r="L95" s="389" t="s">
        <v>1160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1143</v>
      </c>
      <c r="I96" s="432" t="s">
        <v>1144</v>
      </c>
      <c r="J96" s="432" t="s">
        <v>1161</v>
      </c>
      <c r="K96" s="432" t="s">
        <v>1150</v>
      </c>
      <c r="L96" s="389" t="s">
        <v>1162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1143</v>
      </c>
      <c r="I97" s="432" t="s">
        <v>1144</v>
      </c>
      <c r="J97" s="432" t="s">
        <v>1163</v>
      </c>
      <c r="K97" s="432" t="s">
        <v>1150</v>
      </c>
      <c r="L97" s="389" t="s">
        <v>1164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1143</v>
      </c>
      <c r="I98" s="432" t="s">
        <v>1144</v>
      </c>
      <c r="J98" s="432" t="s">
        <v>1163</v>
      </c>
      <c r="K98" s="432" t="s">
        <v>1150</v>
      </c>
      <c r="L98" s="389" t="s">
        <v>1165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1143</v>
      </c>
      <c r="I99" s="432" t="s">
        <v>1144</v>
      </c>
      <c r="J99" s="432" t="s">
        <v>1166</v>
      </c>
      <c r="K99" s="432" t="s">
        <v>1150</v>
      </c>
      <c r="L99" s="389" t="s">
        <v>1167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1143</v>
      </c>
      <c r="I100" s="432" t="s">
        <v>1144</v>
      </c>
      <c r="J100" s="432" t="s">
        <v>1168</v>
      </c>
      <c r="K100" s="432" t="s">
        <v>1169</v>
      </c>
      <c r="L100" s="389" t="s">
        <v>1168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1143</v>
      </c>
      <c r="I101" s="432" t="s">
        <v>1144</v>
      </c>
      <c r="J101" s="432" t="s">
        <v>1170</v>
      </c>
      <c r="K101" s="432" t="s">
        <v>1171</v>
      </c>
      <c r="L101" s="389" t="s">
        <v>1172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1143</v>
      </c>
      <c r="I102" s="432" t="s">
        <v>1144</v>
      </c>
      <c r="J102" s="432" t="s">
        <v>1173</v>
      </c>
      <c r="K102" s="432" t="s">
        <v>1171</v>
      </c>
      <c r="L102" s="389" t="s">
        <v>1174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1143</v>
      </c>
      <c r="I103" s="432" t="s">
        <v>1144</v>
      </c>
      <c r="J103" s="432" t="s">
        <v>1175</v>
      </c>
      <c r="K103" s="432" t="s">
        <v>1171</v>
      </c>
      <c r="L103" s="389" t="s">
        <v>1176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1143</v>
      </c>
      <c r="I104" s="432" t="s">
        <v>1144</v>
      </c>
      <c r="J104" s="432" t="s">
        <v>1177</v>
      </c>
      <c r="K104" s="432" t="s">
        <v>1171</v>
      </c>
      <c r="L104" s="389" t="s">
        <v>1178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1143</v>
      </c>
      <c r="I105" s="432" t="s">
        <v>1144</v>
      </c>
      <c r="J105" s="432" t="s">
        <v>1179</v>
      </c>
      <c r="K105" s="432" t="s">
        <v>1180</v>
      </c>
      <c r="L105" s="389" t="s">
        <v>1181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1143</v>
      </c>
      <c r="I106" s="432" t="s">
        <v>1144</v>
      </c>
      <c r="J106" s="432" t="s">
        <v>1182</v>
      </c>
      <c r="K106" s="432" t="s">
        <v>1180</v>
      </c>
      <c r="L106" s="389" t="s">
        <v>1183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1143</v>
      </c>
      <c r="I107" s="432" t="s">
        <v>1144</v>
      </c>
      <c r="J107" s="432" t="s">
        <v>1184</v>
      </c>
      <c r="K107" s="432" t="s">
        <v>1180</v>
      </c>
      <c r="L107" s="389" t="s">
        <v>1185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1189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1192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1193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1017" t="s">
        <v>1256</v>
      </c>
      <c r="O115" s="968"/>
      <c r="P115" s="968"/>
      <c r="Q115" s="968"/>
      <c r="R115" s="968"/>
      <c r="S115" s="968"/>
      <c r="T115" s="968"/>
      <c r="U115" s="968"/>
      <c r="V115" s="968"/>
      <c r="W115" s="969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1127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1147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1148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1151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1153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1155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1157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1158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1160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1162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1164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1165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1167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1168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1172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1174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1176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1178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1181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1183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1185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1189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1192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1193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2" priority="1" operator="containsText" text="Oil and Gas">
      <formula>NOT(ISERROR(SEARCH(("Oil and Gas"),(I39))))</formula>
    </cfRule>
  </conditionalFormatting>
  <conditionalFormatting sqref="I39:I71">
    <cfRule type="containsText" dxfId="61" priority="2" operator="containsText" text="Oil">
      <formula>NOT(ISERROR(SEARCH(("Oil"),(I39))))</formula>
    </cfRule>
  </conditionalFormatting>
  <conditionalFormatting sqref="I39:I71">
    <cfRule type="containsText" dxfId="60" priority="3" operator="containsText" text="Gas">
      <formula>NOT(ISERROR(SEARCH(("Gas"),(I39))))</formula>
    </cfRule>
  </conditionalFormatting>
  <conditionalFormatting sqref="K6:K28">
    <cfRule type="containsBlanks" dxfId="59" priority="4">
      <formula>LEN(TRIM(K6))=0</formula>
    </cfRule>
  </conditionalFormatting>
  <conditionalFormatting sqref="AT6">
    <cfRule type="containsBlanks" dxfId="58" priority="5">
      <formula>LEN(TRIM(AT6))=0</formula>
    </cfRule>
  </conditionalFormatting>
  <conditionalFormatting sqref="K88:K107">
    <cfRule type="containsBlanks" dxfId="57" priority="6">
      <formula>LEN(TRIM(K88))=0</formula>
    </cfRule>
  </conditionalFormatting>
  <conditionalFormatting sqref="I72:I74">
    <cfRule type="containsText" dxfId="56" priority="7" operator="containsText" text="Oil and Gas">
      <formula>NOT(ISERROR(SEARCH(("Oil and Gas"),(I72))))</formula>
    </cfRule>
  </conditionalFormatting>
  <conditionalFormatting sqref="I72:I74">
    <cfRule type="containsText" dxfId="55" priority="8" operator="containsText" text="Oil">
      <formula>NOT(ISERROR(SEARCH(("Oil"),(I72))))</formula>
    </cfRule>
  </conditionalFormatting>
  <conditionalFormatting sqref="I72:I74">
    <cfRule type="containsText" dxfId="54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O208" workbookViewId="0">
      <selection activeCell="O221" sqref="A221:XFD221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20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3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1298</v>
      </c>
      <c r="O3" s="14" t="s">
        <v>1298</v>
      </c>
      <c r="P3" s="14" t="s">
        <v>1298</v>
      </c>
      <c r="Q3" s="14" t="s">
        <v>1298</v>
      </c>
      <c r="R3" s="14" t="s">
        <v>1298</v>
      </c>
      <c r="S3" s="14" t="s">
        <v>1298</v>
      </c>
      <c r="T3" s="14" t="s">
        <v>1298</v>
      </c>
      <c r="U3" s="14" t="s">
        <v>1298</v>
      </c>
      <c r="V3" s="14" t="s">
        <v>1298</v>
      </c>
      <c r="W3" s="14" t="s">
        <v>1298</v>
      </c>
      <c r="X3" s="14" t="s">
        <v>1298</v>
      </c>
      <c r="Y3" s="14" t="s">
        <v>1299</v>
      </c>
      <c r="Z3" s="14" t="s">
        <v>1298</v>
      </c>
      <c r="AA3" s="1"/>
      <c r="AB3" s="1028">
        <v>2019</v>
      </c>
      <c r="AC3" s="968"/>
      <c r="AD3" s="968"/>
      <c r="AE3" s="968"/>
      <c r="AF3" s="969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477</v>
      </c>
      <c r="E4" s="14" t="s">
        <v>478</v>
      </c>
      <c r="I4" s="428" t="s">
        <v>1126</v>
      </c>
      <c r="J4" s="428" t="s">
        <v>1127</v>
      </c>
      <c r="K4" s="428" t="s">
        <v>1128</v>
      </c>
      <c r="L4" s="429"/>
      <c r="M4" s="428" t="str">
        <f>+'5. ANH'!J12</f>
        <v>Type of Oil producing</v>
      </c>
      <c r="N4" s="430" t="s">
        <v>1300</v>
      </c>
      <c r="O4" s="430" t="s">
        <v>1301</v>
      </c>
      <c r="P4" s="430" t="s">
        <v>1302</v>
      </c>
      <c r="Q4" s="428" t="s">
        <v>1303</v>
      </c>
      <c r="R4" s="428" t="s">
        <v>1304</v>
      </c>
      <c r="S4" s="428" t="s">
        <v>1305</v>
      </c>
      <c r="T4" s="428" t="s">
        <v>1306</v>
      </c>
      <c r="U4" s="428" t="s">
        <v>1307</v>
      </c>
      <c r="V4" s="428" t="s">
        <v>1308</v>
      </c>
      <c r="W4" s="428" t="s">
        <v>1309</v>
      </c>
      <c r="X4" s="428" t="s">
        <v>1310</v>
      </c>
      <c r="Y4" s="428" t="s">
        <v>1311</v>
      </c>
      <c r="Z4" s="430" t="s">
        <v>1312</v>
      </c>
      <c r="AA4" s="1"/>
      <c r="AB4" s="426" t="s">
        <v>1313</v>
      </c>
      <c r="AC4" s="214" t="s">
        <v>1314</v>
      </c>
      <c r="AD4" s="426" t="s">
        <v>1315</v>
      </c>
      <c r="AE4" s="426" t="s">
        <v>1316</v>
      </c>
      <c r="AF4" s="426" t="s">
        <v>1317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480</v>
      </c>
      <c r="I5" s="432" t="s">
        <v>1146</v>
      </c>
      <c r="J5" s="433" t="s">
        <v>1147</v>
      </c>
      <c r="K5" s="431" t="s">
        <v>1023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481</v>
      </c>
      <c r="D6" s="14" t="s">
        <v>485</v>
      </c>
      <c r="E6" s="14" t="s">
        <v>486</v>
      </c>
      <c r="I6" s="432" t="s">
        <v>1146</v>
      </c>
      <c r="J6" s="433" t="s">
        <v>1148</v>
      </c>
      <c r="K6" s="431" t="s">
        <v>1023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1150</v>
      </c>
      <c r="J7" s="433" t="s">
        <v>1151</v>
      </c>
      <c r="K7" s="431" t="s">
        <v>1023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1150</v>
      </c>
      <c r="J8" s="433" t="s">
        <v>1153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1150</v>
      </c>
      <c r="J9" s="433" t="s">
        <v>1155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1150</v>
      </c>
      <c r="J10" s="433" t="s">
        <v>1157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1150</v>
      </c>
      <c r="J11" s="433" t="s">
        <v>1158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1150</v>
      </c>
      <c r="J12" s="433" t="s">
        <v>1160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1150</v>
      </c>
      <c r="J13" s="433" t="s">
        <v>1162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1150</v>
      </c>
      <c r="J14" s="433" t="s">
        <v>1164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1150</v>
      </c>
      <c r="J15" s="433" t="s">
        <v>1165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1150</v>
      </c>
      <c r="J16" s="433" t="s">
        <v>1167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1169</v>
      </c>
      <c r="J17" s="433" t="s">
        <v>1168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524</v>
      </c>
      <c r="I18" s="432" t="s">
        <v>1171</v>
      </c>
      <c r="J18" s="433" t="s">
        <v>1172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1171</v>
      </c>
      <c r="J19" s="433" t="s">
        <v>1174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1255</v>
      </c>
      <c r="D20" s="343">
        <v>6117863200</v>
      </c>
      <c r="E20" s="12" t="s">
        <v>1318</v>
      </c>
      <c r="I20" s="432" t="s">
        <v>1171</v>
      </c>
      <c r="J20" s="433" t="s">
        <v>1176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1255</v>
      </c>
      <c r="D21" s="343">
        <f>+D20*1000/(1000000000000)</f>
        <v>6.1178632000000004</v>
      </c>
      <c r="E21" s="12" t="s">
        <v>1239</v>
      </c>
      <c r="I21" s="432" t="s">
        <v>1171</v>
      </c>
      <c r="J21" s="433" t="s">
        <v>1178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1319</v>
      </c>
      <c r="I22" s="432" t="s">
        <v>1180</v>
      </c>
      <c r="J22" s="433" t="s">
        <v>1181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1180</v>
      </c>
      <c r="J23" s="433" t="s">
        <v>1183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1180</v>
      </c>
      <c r="J24" s="438" t="s">
        <v>1185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1188</v>
      </c>
      <c r="J25" s="438" t="s">
        <v>1189</v>
      </c>
      <c r="K25" s="431" t="s">
        <v>1023</v>
      </c>
      <c r="L25" s="434" t="s">
        <v>7</v>
      </c>
      <c r="M25" s="434" t="s">
        <v>1320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1188</v>
      </c>
      <c r="J26" s="438" t="s">
        <v>1192</v>
      </c>
      <c r="K26" s="431" t="s">
        <v>1023</v>
      </c>
      <c r="L26" s="434" t="s">
        <v>7</v>
      </c>
      <c r="M26" s="434" t="s">
        <v>1320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1188</v>
      </c>
      <c r="J27" s="438" t="s">
        <v>1193</v>
      </c>
      <c r="K27" s="431" t="s">
        <v>1023</v>
      </c>
      <c r="L27" s="434" t="s">
        <v>7</v>
      </c>
      <c r="M27" s="434" t="s">
        <v>1320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1028"/>
      <c r="AB33" s="968"/>
      <c r="AC33" s="968"/>
      <c r="AD33" s="968"/>
      <c r="AE33" s="968"/>
      <c r="AF33" s="968"/>
      <c r="AG33" s="968"/>
      <c r="AH33" s="968"/>
      <c r="AI33" s="968"/>
      <c r="AJ33" s="968"/>
      <c r="AK33" s="968"/>
      <c r="AL33" s="968"/>
      <c r="AM33" s="969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1126</v>
      </c>
      <c r="J34" s="428" t="s">
        <v>1127</v>
      </c>
      <c r="K34" s="428" t="s">
        <v>1128</v>
      </c>
      <c r="L34" s="429"/>
      <c r="M34" s="428" t="str">
        <f>+'5. ANH'!J12</f>
        <v>Type of Oil producing</v>
      </c>
      <c r="N34" s="430" t="s">
        <v>1321</v>
      </c>
      <c r="O34" s="430" t="s">
        <v>1322</v>
      </c>
      <c r="P34" s="430" t="s">
        <v>1323</v>
      </c>
      <c r="Q34" s="428" t="s">
        <v>1324</v>
      </c>
      <c r="R34" s="428" t="s">
        <v>1325</v>
      </c>
      <c r="S34" s="428" t="s">
        <v>1326</v>
      </c>
      <c r="T34" s="428" t="s">
        <v>1327</v>
      </c>
      <c r="U34" s="428" t="s">
        <v>1328</v>
      </c>
      <c r="V34" s="428" t="s">
        <v>1329</v>
      </c>
      <c r="W34" s="428" t="s">
        <v>1330</v>
      </c>
      <c r="X34" s="428" t="s">
        <v>1331</v>
      </c>
      <c r="Y34" s="428" t="s">
        <v>1332</v>
      </c>
      <c r="Z34" s="430" t="s">
        <v>1333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1146</v>
      </c>
      <c r="J35" s="433" t="s">
        <v>1147</v>
      </c>
      <c r="K35" s="431" t="s">
        <v>1023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1146</v>
      </c>
      <c r="J36" s="433" t="s">
        <v>1148</v>
      </c>
      <c r="K36" s="431" t="s">
        <v>1023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1150</v>
      </c>
      <c r="J37" s="433" t="s">
        <v>1151</v>
      </c>
      <c r="K37" s="431" t="s">
        <v>1023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1150</v>
      </c>
      <c r="J38" s="433" t="s">
        <v>1153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1150</v>
      </c>
      <c r="J39" s="433" t="s">
        <v>1155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1150</v>
      </c>
      <c r="J40" s="433" t="s">
        <v>1157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1150</v>
      </c>
      <c r="J41" s="433" t="s">
        <v>1158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1150</v>
      </c>
      <c r="J42" s="433" t="s">
        <v>1160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1150</v>
      </c>
      <c r="J43" s="433" t="s">
        <v>1162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1150</v>
      </c>
      <c r="J44" s="433" t="s">
        <v>1164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1150</v>
      </c>
      <c r="J45" s="433" t="s">
        <v>1165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1150</v>
      </c>
      <c r="J46" s="433" t="s">
        <v>1167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1169</v>
      </c>
      <c r="J47" s="433" t="s">
        <v>1168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1171</v>
      </c>
      <c r="J48" s="433" t="s">
        <v>1172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1171</v>
      </c>
      <c r="J49" s="433" t="s">
        <v>1174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1171</v>
      </c>
      <c r="J50" s="433" t="s">
        <v>1176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1171</v>
      </c>
      <c r="J51" s="433" t="s">
        <v>1178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1180</v>
      </c>
      <c r="J52" s="433" t="s">
        <v>1181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1180</v>
      </c>
      <c r="J53" s="433" t="s">
        <v>1183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1180</v>
      </c>
      <c r="J54" s="438" t="s">
        <v>1185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1188</v>
      </c>
      <c r="J55" s="440" t="s">
        <v>1189</v>
      </c>
      <c r="K55" s="431" t="s">
        <v>1023</v>
      </c>
      <c r="L55" s="434" t="s">
        <v>7</v>
      </c>
      <c r="M55" s="434" t="s">
        <v>1320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1188</v>
      </c>
      <c r="J56" s="440" t="s">
        <v>1192</v>
      </c>
      <c r="K56" s="431" t="s">
        <v>1023</v>
      </c>
      <c r="L56" s="434" t="s">
        <v>7</v>
      </c>
      <c r="M56" s="434" t="s">
        <v>1320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1188</v>
      </c>
      <c r="J57" s="440" t="s">
        <v>1193</v>
      </c>
      <c r="K57" s="431" t="s">
        <v>1023</v>
      </c>
      <c r="L57" s="434" t="s">
        <v>7</v>
      </c>
      <c r="M57" s="434" t="s">
        <v>1320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1334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1024" t="s">
        <v>1335</v>
      </c>
      <c r="S64" s="968"/>
      <c r="T64" s="968"/>
      <c r="U64" s="968"/>
      <c r="V64" s="969"/>
      <c r="W64" s="1026" t="s">
        <v>1336</v>
      </c>
      <c r="X64" s="968"/>
      <c r="Y64" s="968"/>
      <c r="Z64" s="969"/>
      <c r="AA64" s="541" t="s">
        <v>1337</v>
      </c>
      <c r="AB64" s="12" t="s">
        <v>1338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1339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1339</v>
      </c>
      <c r="X65" s="544" t="s">
        <v>1339</v>
      </c>
      <c r="Y65" s="544" t="s">
        <v>1339</v>
      </c>
      <c r="Z65" s="544" t="s">
        <v>1339</v>
      </c>
      <c r="AA65" s="263" t="s">
        <v>1339</v>
      </c>
      <c r="AB65" s="439" t="s">
        <v>59</v>
      </c>
      <c r="AC65" s="439" t="s">
        <v>1340</v>
      </c>
      <c r="AD65" s="542" t="s">
        <v>59</v>
      </c>
      <c r="AE65" s="542" t="s">
        <v>1340</v>
      </c>
      <c r="AF65" s="542" t="s">
        <v>59</v>
      </c>
      <c r="AG65" s="542" t="s">
        <v>1340</v>
      </c>
      <c r="AH65" s="14" t="s">
        <v>59</v>
      </c>
      <c r="AI65" s="1025" t="s">
        <v>1341</v>
      </c>
      <c r="AJ65" s="1004"/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994"/>
      <c r="AW65" s="1025" t="s">
        <v>1342</v>
      </c>
      <c r="AX65" s="1004"/>
      <c r="AY65" s="1004"/>
      <c r="AZ65" s="1004"/>
      <c r="BA65" s="1004"/>
      <c r="BB65" s="1004"/>
      <c r="BC65" s="1004"/>
      <c r="BD65" s="1004"/>
      <c r="BE65" s="1004"/>
      <c r="BF65" s="1004"/>
      <c r="BG65" s="1004"/>
      <c r="BH65" s="1004"/>
      <c r="BI65" s="1004"/>
      <c r="BJ65" s="994"/>
      <c r="BK65" s="1025" t="s">
        <v>1343</v>
      </c>
      <c r="BL65" s="1004"/>
      <c r="BM65" s="1004"/>
      <c r="BN65" s="1004"/>
      <c r="BO65" s="1004"/>
      <c r="BP65" s="1004"/>
      <c r="BQ65" s="1004"/>
      <c r="BR65" s="1004"/>
      <c r="BS65" s="1004"/>
      <c r="BT65" s="1004"/>
      <c r="BU65" s="1004"/>
      <c r="BV65" s="1004"/>
      <c r="BW65" s="1004"/>
      <c r="BX65" s="994"/>
      <c r="BY65" s="545"/>
      <c r="BZ65" s="545"/>
      <c r="CA65" s="545"/>
      <c r="CB65" s="546" t="s">
        <v>1341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1342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1343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1126</v>
      </c>
      <c r="J66" s="428" t="s">
        <v>1127</v>
      </c>
      <c r="K66" s="428" t="s">
        <v>1128</v>
      </c>
      <c r="L66" s="429"/>
      <c r="M66" s="428" t="str">
        <f t="shared" ref="M66:M86" si="36">M34</f>
        <v>Type of Oil producing</v>
      </c>
      <c r="N66" s="428" t="s">
        <v>1344</v>
      </c>
      <c r="O66" s="428" t="s">
        <v>1345</v>
      </c>
      <c r="P66" s="549" t="s">
        <v>1346</v>
      </c>
      <c r="Q66" s="549" t="s">
        <v>1347</v>
      </c>
      <c r="R66" s="430" t="s">
        <v>1348</v>
      </c>
      <c r="S66" s="430" t="s">
        <v>1349</v>
      </c>
      <c r="T66" s="430" t="s">
        <v>1350</v>
      </c>
      <c r="U66" s="430" t="s">
        <v>1351</v>
      </c>
      <c r="V66" s="430" t="s">
        <v>1352</v>
      </c>
      <c r="W66" s="550" t="s">
        <v>1353</v>
      </c>
      <c r="X66" s="550" t="s">
        <v>1354</v>
      </c>
      <c r="Y66" s="550" t="s">
        <v>1355</v>
      </c>
      <c r="Z66" s="550" t="s">
        <v>1356</v>
      </c>
      <c r="AA66" s="551" t="s">
        <v>1357</v>
      </c>
      <c r="AB66" s="552" t="s">
        <v>1358</v>
      </c>
      <c r="AC66" s="552" t="s">
        <v>1359</v>
      </c>
      <c r="AD66" s="549" t="s">
        <v>1360</v>
      </c>
      <c r="AE66" s="549" t="s">
        <v>1361</v>
      </c>
      <c r="AF66" s="549" t="s">
        <v>1362</v>
      </c>
      <c r="AG66" s="549" t="s">
        <v>1363</v>
      </c>
      <c r="AH66" s="553" t="s">
        <v>1364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1146</v>
      </c>
      <c r="J67" s="433" t="s">
        <v>1147</v>
      </c>
      <c r="K67" s="431" t="s">
        <v>1023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1365</v>
      </c>
      <c r="DJ67" s="573" t="s">
        <v>1365</v>
      </c>
      <c r="DK67" s="573" t="s">
        <v>1365</v>
      </c>
      <c r="DL67" s="573" t="s">
        <v>1365</v>
      </c>
      <c r="DM67" s="573" t="s">
        <v>1365</v>
      </c>
      <c r="DN67" s="573" t="s">
        <v>1365</v>
      </c>
      <c r="DO67" s="573" t="s">
        <v>1365</v>
      </c>
      <c r="DP67" s="573" t="s">
        <v>1365</v>
      </c>
      <c r="DQ67" s="574" t="s">
        <v>1365</v>
      </c>
    </row>
    <row r="68" spans="1:121" ht="15.75" customHeight="1" x14ac:dyDescent="0.25">
      <c r="I68" s="432" t="s">
        <v>1146</v>
      </c>
      <c r="J68" s="433" t="s">
        <v>1148</v>
      </c>
      <c r="K68" s="431" t="s">
        <v>1023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1365</v>
      </c>
      <c r="DN68" s="573" t="s">
        <v>1365</v>
      </c>
      <c r="DO68" s="573" t="s">
        <v>1365</v>
      </c>
      <c r="DP68" s="573" t="s">
        <v>1365</v>
      </c>
      <c r="DQ68" s="574" t="s">
        <v>1365</v>
      </c>
    </row>
    <row r="69" spans="1:121" ht="15.75" customHeight="1" x14ac:dyDescent="0.25">
      <c r="I69" s="432" t="s">
        <v>1150</v>
      </c>
      <c r="J69" s="433" t="s">
        <v>1151</v>
      </c>
      <c r="K69" s="431" t="s">
        <v>1023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1365</v>
      </c>
      <c r="DJ69" s="573" t="s">
        <v>1365</v>
      </c>
      <c r="DK69" s="573" t="s">
        <v>1365</v>
      </c>
      <c r="DL69" s="573" t="s">
        <v>1365</v>
      </c>
      <c r="DM69" s="573" t="s">
        <v>1365</v>
      </c>
      <c r="DN69" s="573" t="s">
        <v>1365</v>
      </c>
      <c r="DO69" s="573" t="s">
        <v>1365</v>
      </c>
      <c r="DP69" s="573" t="s">
        <v>1365</v>
      </c>
      <c r="DQ69" s="574" t="s">
        <v>1365</v>
      </c>
    </row>
    <row r="70" spans="1:121" ht="15.75" customHeight="1" x14ac:dyDescent="0.25">
      <c r="I70" s="431" t="s">
        <v>1150</v>
      </c>
      <c r="J70" s="434" t="s">
        <v>1153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1150</v>
      </c>
      <c r="J71" s="434" t="s">
        <v>1155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1365</v>
      </c>
      <c r="DI71" s="573" t="s">
        <v>1365</v>
      </c>
      <c r="DJ71" s="573" t="s">
        <v>1365</v>
      </c>
      <c r="DK71" s="573" t="s">
        <v>1365</v>
      </c>
      <c r="DL71" s="573" t="s">
        <v>1365</v>
      </c>
      <c r="DM71" s="573" t="s">
        <v>1365</v>
      </c>
      <c r="DN71" s="573" t="s">
        <v>1365</v>
      </c>
      <c r="DO71" s="573" t="s">
        <v>1365</v>
      </c>
      <c r="DP71" s="573" t="s">
        <v>1365</v>
      </c>
      <c r="DQ71" s="574" t="s">
        <v>1365</v>
      </c>
    </row>
    <row r="72" spans="1:121" ht="15.75" customHeight="1" x14ac:dyDescent="0.25">
      <c r="I72" s="431" t="s">
        <v>1150</v>
      </c>
      <c r="J72" s="434" t="s">
        <v>1157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1365</v>
      </c>
      <c r="DO72" s="573" t="s">
        <v>1365</v>
      </c>
      <c r="DP72" s="573" t="s">
        <v>1365</v>
      </c>
      <c r="DQ72" s="574" t="s">
        <v>1365</v>
      </c>
    </row>
    <row r="73" spans="1:121" ht="15.75" customHeight="1" x14ac:dyDescent="0.25">
      <c r="I73" s="431" t="s">
        <v>1150</v>
      </c>
      <c r="J73" s="434" t="s">
        <v>1158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1150</v>
      </c>
      <c r="J74" s="434" t="s">
        <v>1160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1365</v>
      </c>
      <c r="DM74" s="573" t="s">
        <v>1365</v>
      </c>
      <c r="DN74" s="573" t="s">
        <v>1365</v>
      </c>
      <c r="DO74" s="573" t="s">
        <v>1365</v>
      </c>
      <c r="DP74" s="573" t="s">
        <v>1365</v>
      </c>
      <c r="DQ74" s="574" t="s">
        <v>1365</v>
      </c>
    </row>
    <row r="75" spans="1:121" ht="15.75" customHeight="1" x14ac:dyDescent="0.25">
      <c r="I75" s="431" t="s">
        <v>1150</v>
      </c>
      <c r="J75" s="434" t="s">
        <v>1162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1150</v>
      </c>
      <c r="J76" s="434" t="s">
        <v>1164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1365</v>
      </c>
      <c r="DP76" s="573" t="s">
        <v>1365</v>
      </c>
      <c r="DQ76" s="574" t="s">
        <v>1365</v>
      </c>
    </row>
    <row r="77" spans="1:121" ht="15.75" customHeight="1" x14ac:dyDescent="0.25">
      <c r="I77" s="431" t="s">
        <v>1150</v>
      </c>
      <c r="J77" s="434" t="s">
        <v>1165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1365</v>
      </c>
    </row>
    <row r="78" spans="1:121" ht="15.75" customHeight="1" x14ac:dyDescent="0.25">
      <c r="I78" s="431" t="s">
        <v>1150</v>
      </c>
      <c r="J78" s="434" t="s">
        <v>1167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1365</v>
      </c>
      <c r="DO78" s="573" t="s">
        <v>1365</v>
      </c>
      <c r="DP78" s="573" t="s">
        <v>1365</v>
      </c>
      <c r="DQ78" s="574" t="s">
        <v>1365</v>
      </c>
    </row>
    <row r="79" spans="1:121" ht="15.75" customHeight="1" x14ac:dyDescent="0.25">
      <c r="I79" s="431" t="s">
        <v>1169</v>
      </c>
      <c r="J79" s="434" t="s">
        <v>1168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1365</v>
      </c>
      <c r="DP79" s="573" t="s">
        <v>1365</v>
      </c>
      <c r="DQ79" s="574" t="s">
        <v>1365</v>
      </c>
    </row>
    <row r="80" spans="1:121" ht="15.75" customHeight="1" x14ac:dyDescent="0.25">
      <c r="I80" s="431" t="s">
        <v>1171</v>
      </c>
      <c r="J80" s="434" t="s">
        <v>1172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1365</v>
      </c>
    </row>
    <row r="81" spans="9:121" ht="15.75" customHeight="1" x14ac:dyDescent="0.25">
      <c r="I81" s="431" t="s">
        <v>1171</v>
      </c>
      <c r="J81" s="434" t="s">
        <v>1174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1365</v>
      </c>
      <c r="DQ81" s="574" t="s">
        <v>1365</v>
      </c>
    </row>
    <row r="82" spans="9:121" ht="15.75" customHeight="1" x14ac:dyDescent="0.25">
      <c r="I82" s="431" t="s">
        <v>1171</v>
      </c>
      <c r="J82" s="434" t="s">
        <v>1176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1171</v>
      </c>
      <c r="J83" s="434" t="s">
        <v>1178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1365</v>
      </c>
      <c r="DO83" s="573" t="s">
        <v>1365</v>
      </c>
      <c r="DP83" s="573" t="s">
        <v>1365</v>
      </c>
      <c r="DQ83" s="574" t="s">
        <v>1365</v>
      </c>
    </row>
    <row r="84" spans="9:121" ht="15.75" customHeight="1" x14ac:dyDescent="0.25">
      <c r="I84" s="431" t="s">
        <v>1180</v>
      </c>
      <c r="J84" s="434" t="s">
        <v>1181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1180</v>
      </c>
      <c r="J85" s="434" t="s">
        <v>1183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1180</v>
      </c>
      <c r="J86" s="434" t="s">
        <v>1185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1188</v>
      </c>
      <c r="J87" s="440" t="s">
        <v>1189</v>
      </c>
      <c r="K87" s="431" t="s">
        <v>1023</v>
      </c>
      <c r="L87" s="434" t="s">
        <v>7</v>
      </c>
      <c r="M87" s="434" t="s">
        <v>1320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1188</v>
      </c>
      <c r="J88" s="440" t="s">
        <v>1192</v>
      </c>
      <c r="K88" s="431" t="s">
        <v>1023</v>
      </c>
      <c r="L88" s="434" t="s">
        <v>7</v>
      </c>
      <c r="M88" s="434" t="s">
        <v>1320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1365</v>
      </c>
    </row>
    <row r="89" spans="9:121" ht="15.75" customHeight="1" x14ac:dyDescent="0.25">
      <c r="I89" s="432" t="s">
        <v>1188</v>
      </c>
      <c r="J89" s="440" t="s">
        <v>1193</v>
      </c>
      <c r="K89" s="431" t="s">
        <v>1023</v>
      </c>
      <c r="L89" s="434" t="s">
        <v>7</v>
      </c>
      <c r="M89" s="434" t="s">
        <v>1320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1365</v>
      </c>
      <c r="DO89" s="599" t="s">
        <v>1365</v>
      </c>
      <c r="DP89" s="599" t="s">
        <v>1365</v>
      </c>
      <c r="DQ89" s="600" t="s">
        <v>1365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1366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1367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1024" t="s">
        <v>1335</v>
      </c>
      <c r="S96" s="968"/>
      <c r="T96" s="968"/>
      <c r="U96" s="968"/>
      <c r="V96" s="969"/>
      <c r="W96" s="1026" t="s">
        <v>1336</v>
      </c>
      <c r="X96" s="968"/>
      <c r="Y96" s="968"/>
      <c r="Z96" s="969"/>
      <c r="AA96" s="541" t="s">
        <v>1337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1339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1339</v>
      </c>
      <c r="X97" s="544" t="s">
        <v>1339</v>
      </c>
      <c r="Y97" s="544" t="s">
        <v>1339</v>
      </c>
      <c r="Z97" s="544" t="s">
        <v>1339</v>
      </c>
      <c r="AA97" s="263" t="s">
        <v>1339</v>
      </c>
      <c r="AB97" s="439" t="s">
        <v>59</v>
      </c>
      <c r="AC97" s="439" t="s">
        <v>1340</v>
      </c>
      <c r="AD97" s="542" t="s">
        <v>59</v>
      </c>
      <c r="AE97" s="542" t="s">
        <v>1340</v>
      </c>
      <c r="AF97" s="542" t="s">
        <v>59</v>
      </c>
      <c r="AG97" s="542" t="s">
        <v>1340</v>
      </c>
      <c r="AH97" s="14" t="s">
        <v>59</v>
      </c>
      <c r="AI97" s="1027" t="s">
        <v>1368</v>
      </c>
      <c r="AJ97" s="1004"/>
      <c r="AK97" s="1004"/>
      <c r="AL97" s="1004"/>
      <c r="AM97" s="1004"/>
      <c r="AN97" s="1004"/>
      <c r="AO97" s="1004"/>
      <c r="AP97" s="1004"/>
      <c r="AQ97" s="1004"/>
      <c r="AR97" s="1004"/>
      <c r="AS97" s="1004"/>
      <c r="AT97" s="1004"/>
      <c r="AU97" s="1004"/>
      <c r="AV97" s="994"/>
      <c r="AW97" s="1027" t="s">
        <v>1369</v>
      </c>
      <c r="AX97" s="1004"/>
      <c r="AY97" s="1004"/>
      <c r="AZ97" s="1004"/>
      <c r="BA97" s="1004"/>
      <c r="BB97" s="1004"/>
      <c r="BC97" s="1004"/>
      <c r="BD97" s="1004"/>
      <c r="BE97" s="1004"/>
      <c r="BF97" s="1004"/>
      <c r="BG97" s="1004"/>
      <c r="BH97" s="1004"/>
      <c r="BI97" s="1004"/>
      <c r="BJ97" s="994"/>
      <c r="BK97" s="1027" t="s">
        <v>1370</v>
      </c>
      <c r="BL97" s="1004"/>
      <c r="BM97" s="1004"/>
      <c r="BN97" s="1004"/>
      <c r="BO97" s="1004"/>
      <c r="BP97" s="1004"/>
      <c r="BQ97" s="1004"/>
      <c r="BR97" s="1004"/>
      <c r="BS97" s="1004"/>
      <c r="BT97" s="1004"/>
      <c r="BU97" s="1004"/>
      <c r="BV97" s="1004"/>
      <c r="BW97" s="1004"/>
      <c r="BX97" s="994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1126</v>
      </c>
      <c r="K98" s="608" t="s">
        <v>1371</v>
      </c>
      <c r="L98" s="608" t="s">
        <v>1372</v>
      </c>
      <c r="M98" s="608" t="str">
        <f>+M66</f>
        <v>Type of Oil producing</v>
      </c>
      <c r="N98" s="608" t="s">
        <v>1373</v>
      </c>
      <c r="O98" s="608" t="s">
        <v>1374</v>
      </c>
      <c r="P98" s="609" t="s">
        <v>1346</v>
      </c>
      <c r="Q98" s="609" t="s">
        <v>1375</v>
      </c>
      <c r="R98" s="610" t="s">
        <v>1376</v>
      </c>
      <c r="S98" s="610" t="s">
        <v>1377</v>
      </c>
      <c r="T98" s="610" t="s">
        <v>1378</v>
      </c>
      <c r="U98" s="610" t="s">
        <v>1379</v>
      </c>
      <c r="V98" s="610" t="s">
        <v>1380</v>
      </c>
      <c r="W98" s="611" t="s">
        <v>1381</v>
      </c>
      <c r="X98" s="611" t="s">
        <v>1382</v>
      </c>
      <c r="Y98" s="611" t="s">
        <v>1383</v>
      </c>
      <c r="Z98" s="611" t="s">
        <v>1384</v>
      </c>
      <c r="AA98" s="612" t="s">
        <v>1385</v>
      </c>
      <c r="AB98" s="552" t="s">
        <v>1386</v>
      </c>
      <c r="AC98" s="552" t="s">
        <v>1359</v>
      </c>
      <c r="AD98" s="549" t="s">
        <v>1387</v>
      </c>
      <c r="AE98" s="549" t="s">
        <v>1388</v>
      </c>
      <c r="AF98" s="549" t="s">
        <v>1389</v>
      </c>
      <c r="AG98" s="549" t="s">
        <v>1390</v>
      </c>
      <c r="AH98" s="553" t="s">
        <v>1391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1146</v>
      </c>
      <c r="K99" s="103" t="s">
        <v>1320</v>
      </c>
      <c r="L99" s="614" t="s">
        <v>6</v>
      </c>
      <c r="M99" s="615" t="s">
        <v>1392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1150</v>
      </c>
      <c r="K100" s="103" t="s">
        <v>1120</v>
      </c>
      <c r="L100" s="614" t="s">
        <v>12</v>
      </c>
      <c r="M100" s="626" t="s">
        <v>1393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1150</v>
      </c>
      <c r="K101" s="103" t="s">
        <v>1118</v>
      </c>
      <c r="L101" s="614" t="s">
        <v>16</v>
      </c>
      <c r="M101" s="34" t="s">
        <v>1394</v>
      </c>
      <c r="N101" s="616">
        <f>+SUMIFS(N$67:N$89,$I$67:$I$89,$J101,$M$67:$M$89,$K101)</f>
        <v>724.65339318846713</v>
      </c>
      <c r="O101" s="616">
        <f t="shared" ref="O101" si="198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1169</v>
      </c>
      <c r="K102" s="103" t="s">
        <v>1120</v>
      </c>
      <c r="L102" s="614" t="s">
        <v>20</v>
      </c>
      <c r="M102" s="34" t="s">
        <v>1395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1171</v>
      </c>
      <c r="K103" s="103" t="s">
        <v>1119</v>
      </c>
      <c r="L103" s="614" t="s">
        <v>24</v>
      </c>
      <c r="M103" s="34" t="s">
        <v>1396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1180</v>
      </c>
      <c r="K104" s="103" t="s">
        <v>1119</v>
      </c>
      <c r="L104" s="614" t="s">
        <v>28</v>
      </c>
      <c r="M104" s="626" t="s">
        <v>1397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1188</v>
      </c>
      <c r="K105" s="103" t="s">
        <v>1320</v>
      </c>
      <c r="L105" s="614" t="s">
        <v>31</v>
      </c>
      <c r="M105" s="626" t="s">
        <v>1398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1150</v>
      </c>
      <c r="K106" s="103" t="s">
        <v>1119</v>
      </c>
      <c r="L106" s="614" t="s">
        <v>1399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1169</v>
      </c>
      <c r="K107" s="103" t="s">
        <v>1119</v>
      </c>
      <c r="L107" s="614" t="s">
        <v>1399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1169</v>
      </c>
      <c r="K108" s="103" t="s">
        <v>1118</v>
      </c>
      <c r="L108" s="614" t="s">
        <v>1399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1171</v>
      </c>
      <c r="K109" s="103" t="s">
        <v>1120</v>
      </c>
      <c r="L109" s="614" t="s">
        <v>1399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1171</v>
      </c>
      <c r="K110" s="103" t="s">
        <v>1118</v>
      </c>
      <c r="L110" s="614" t="s">
        <v>1399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1180</v>
      </c>
      <c r="K111" s="103" t="s">
        <v>1120</v>
      </c>
      <c r="L111" s="614" t="s">
        <v>1399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1180</v>
      </c>
      <c r="K112" s="103" t="s">
        <v>1118</v>
      </c>
      <c r="L112" s="614" t="s">
        <v>1399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1019" t="s">
        <v>1400</v>
      </c>
      <c r="K116" s="1020"/>
      <c r="L116" s="1020"/>
      <c r="M116" s="1020"/>
      <c r="N116" s="1020"/>
      <c r="O116" s="1020"/>
      <c r="P116" s="1020"/>
      <c r="Q116" s="1020"/>
      <c r="R116" s="1020"/>
      <c r="S116" s="1020"/>
      <c r="T116" s="1020"/>
      <c r="U116" s="1020"/>
      <c r="V116" s="1020"/>
      <c r="W116" s="1020"/>
      <c r="X116" s="1020"/>
      <c r="Y116" s="1020"/>
      <c r="Z116" s="1020"/>
      <c r="AA116" s="1020"/>
      <c r="AB116" s="1020"/>
      <c r="AC116" s="1020"/>
      <c r="AD116" s="1020"/>
      <c r="AE116" s="1020"/>
      <c r="AF116" s="1020"/>
      <c r="AG116" s="1021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1401</v>
      </c>
      <c r="AC118" s="12" t="s">
        <v>1402</v>
      </c>
      <c r="AF118" s="12">
        <f>+AF117*(1000/D8)/1000</f>
        <v>302.87191322450025</v>
      </c>
      <c r="AV118" s="47" t="s">
        <v>586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1403</v>
      </c>
      <c r="AC119" s="12" t="s">
        <v>1404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1405</v>
      </c>
      <c r="Y120" s="639" t="s">
        <v>1346</v>
      </c>
      <c r="Z120" s="639" t="s">
        <v>1406</v>
      </c>
      <c r="AA120" s="640" t="s">
        <v>1407</v>
      </c>
      <c r="AB120" s="640" t="s">
        <v>1408</v>
      </c>
      <c r="AC120" s="640" t="s">
        <v>1409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1410</v>
      </c>
      <c r="S121" s="12">
        <v>11.07</v>
      </c>
      <c r="U121" s="12">
        <f t="shared" ref="U121:U127" si="280">+S121*N121</f>
        <v>0.11714274000000001</v>
      </c>
      <c r="X121" s="615" t="s">
        <v>1392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1226</v>
      </c>
      <c r="AB121" s="12" t="s">
        <v>1226</v>
      </c>
      <c r="AC121" s="12" t="s">
        <v>531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1410</v>
      </c>
      <c r="S122" s="12">
        <v>363.69</v>
      </c>
      <c r="U122" s="12">
        <f t="shared" si="280"/>
        <v>3.8485675800000005</v>
      </c>
      <c r="X122" s="626" t="s">
        <v>1393</v>
      </c>
      <c r="Y122" s="400">
        <v>0.70411500249785086</v>
      </c>
      <c r="Z122" s="641">
        <v>209.74608813235034</v>
      </c>
      <c r="AA122" s="12" t="s">
        <v>1226</v>
      </c>
      <c r="AB122" s="12" t="s">
        <v>1226</v>
      </c>
      <c r="AC122" s="12" t="s">
        <v>531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1410</v>
      </c>
      <c r="S123" s="12">
        <v>726.7</v>
      </c>
      <c r="U123" s="12">
        <f t="shared" si="280"/>
        <v>10.899046600000002</v>
      </c>
      <c r="X123" s="34" t="s">
        <v>1394</v>
      </c>
      <c r="Y123" s="400">
        <v>2.8224919834781799E-3</v>
      </c>
      <c r="Z123" s="641">
        <v>0.23786180586758954</v>
      </c>
      <c r="AA123" s="12" t="s">
        <v>1226</v>
      </c>
      <c r="AB123" s="12" t="s">
        <v>531</v>
      </c>
      <c r="AC123" s="12" t="s">
        <v>1226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1410</v>
      </c>
      <c r="P124" s="1"/>
      <c r="S124" s="12">
        <v>5.64</v>
      </c>
      <c r="U124" s="12">
        <f t="shared" si="280"/>
        <v>5.9682480000000003E-2</v>
      </c>
      <c r="X124" s="34" t="s">
        <v>1395</v>
      </c>
      <c r="Y124" s="400">
        <v>0.2264193930205074</v>
      </c>
      <c r="Z124" s="641">
        <v>0</v>
      </c>
      <c r="AA124" s="12" t="s">
        <v>1226</v>
      </c>
      <c r="AB124" s="12" t="s">
        <v>531</v>
      </c>
      <c r="AC124" s="12" t="s">
        <v>1226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1410</v>
      </c>
      <c r="P125" s="1"/>
      <c r="S125" s="12">
        <v>165.44</v>
      </c>
      <c r="U125" s="12">
        <f t="shared" si="280"/>
        <v>1.7506860800000001</v>
      </c>
      <c r="X125" s="34" t="s">
        <v>1396</v>
      </c>
      <c r="Y125" s="400">
        <v>2.9005932398423979E-2</v>
      </c>
      <c r="Z125" s="641">
        <v>2.2768748695271519</v>
      </c>
      <c r="AA125" s="12" t="s">
        <v>1226</v>
      </c>
      <c r="AB125" s="12" t="s">
        <v>531</v>
      </c>
      <c r="AC125" s="12" t="s">
        <v>1226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1410</v>
      </c>
      <c r="P126" s="1"/>
      <c r="S126" s="12">
        <v>29.86</v>
      </c>
      <c r="U126" s="12">
        <f t="shared" si="280"/>
        <v>0.31597852000000004</v>
      </c>
      <c r="X126" s="626" t="s">
        <v>1397</v>
      </c>
      <c r="Y126" s="400">
        <v>4.9174002504380532E-2</v>
      </c>
      <c r="Z126" s="641">
        <v>0.61987830491387741</v>
      </c>
      <c r="AA126" s="12" t="s">
        <v>1226</v>
      </c>
      <c r="AB126" s="12" t="s">
        <v>531</v>
      </c>
      <c r="AC126" s="12" t="s">
        <v>1226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1188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1410</v>
      </c>
      <c r="P127" s="1"/>
      <c r="S127" s="12">
        <v>11.13</v>
      </c>
      <c r="U127" s="12">
        <f t="shared" si="280"/>
        <v>0.11777766000000002</v>
      </c>
      <c r="X127" s="626" t="s">
        <v>1398</v>
      </c>
      <c r="Y127" s="400">
        <v>0.99457310605335914</v>
      </c>
      <c r="Z127" s="641">
        <v>13.465657577297089</v>
      </c>
      <c r="AA127" s="12" t="s">
        <v>1226</v>
      </c>
      <c r="AB127" s="12" t="s">
        <v>1226</v>
      </c>
      <c r="AC127" s="12" t="s">
        <v>531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1411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1411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1411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1411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022" t="s">
        <v>1412</v>
      </c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1413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2" t="s">
        <v>1564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1415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1407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1416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1409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1417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1022" t="s">
        <v>1418</v>
      </c>
      <c r="K152" s="1020"/>
      <c r="L152" s="1020"/>
      <c r="M152" s="1020"/>
      <c r="N152" s="1020"/>
      <c r="O152" s="1020"/>
      <c r="P152" s="1020"/>
      <c r="Q152" s="1020"/>
      <c r="R152" s="1020"/>
      <c r="S152" s="1020"/>
      <c r="T152" s="1020"/>
      <c r="U152" s="1020"/>
      <c r="V152" s="1020"/>
      <c r="W152" s="1020"/>
      <c r="X152" s="1020"/>
      <c r="Y152" s="1020"/>
      <c r="Z152" s="1020"/>
      <c r="AA152" s="1020"/>
      <c r="AB152" s="1020"/>
      <c r="AC152" s="1020"/>
      <c r="AD152" s="1020"/>
      <c r="AE152" s="1020"/>
      <c r="AF152" s="1020"/>
      <c r="AG152" s="1021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1419</v>
      </c>
      <c r="W154" s="282" t="s">
        <v>1420</v>
      </c>
      <c r="X154" s="282"/>
      <c r="Y154" s="282"/>
      <c r="Z154" s="282"/>
      <c r="AA154" s="282"/>
      <c r="AB154" s="282"/>
      <c r="AC154" s="282"/>
      <c r="AF154" s="282" t="s">
        <v>1421</v>
      </c>
      <c r="AG154" s="282"/>
      <c r="AH154" s="282"/>
      <c r="AI154" s="282"/>
      <c r="AJ154" s="282"/>
      <c r="AK154" s="282"/>
      <c r="AL154" s="282"/>
      <c r="AY154" s="282" t="s">
        <v>1422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1016" t="s">
        <v>1423</v>
      </c>
      <c r="O155" s="971"/>
      <c r="P155" s="1016" t="s">
        <v>1423</v>
      </c>
      <c r="Q155" s="971"/>
      <c r="R155" s="643" t="s">
        <v>1424</v>
      </c>
      <c r="S155" s="643" t="s">
        <v>1425</v>
      </c>
      <c r="W155" s="12" t="s">
        <v>1426</v>
      </c>
      <c r="X155" s="12" t="s">
        <v>1427</v>
      </c>
      <c r="Y155" s="12" t="s">
        <v>1167</v>
      </c>
      <c r="Z155" s="12" t="s">
        <v>1276</v>
      </c>
      <c r="AA155" s="12" t="s">
        <v>1280</v>
      </c>
      <c r="AB155" s="12" t="s">
        <v>1181</v>
      </c>
      <c r="AC155" s="12" t="s">
        <v>1428</v>
      </c>
      <c r="AF155" s="12" t="s">
        <v>1426</v>
      </c>
      <c r="AG155" s="12" t="s">
        <v>1427</v>
      </c>
      <c r="AH155" s="12" t="s">
        <v>1167</v>
      </c>
      <c r="AI155" s="12" t="s">
        <v>1276</v>
      </c>
      <c r="AJ155" s="12" t="s">
        <v>1280</v>
      </c>
      <c r="AK155" s="12" t="s">
        <v>1181</v>
      </c>
      <c r="AL155" s="12" t="s">
        <v>1428</v>
      </c>
      <c r="AO155" s="12" t="s">
        <v>1426</v>
      </c>
      <c r="AP155" s="12" t="s">
        <v>1427</v>
      </c>
      <c r="AQ155" s="12" t="s">
        <v>1167</v>
      </c>
      <c r="AR155" s="12" t="s">
        <v>1276</v>
      </c>
      <c r="AS155" s="12" t="s">
        <v>1280</v>
      </c>
      <c r="AT155" s="12" t="s">
        <v>1181</v>
      </c>
      <c r="AU155" s="12" t="s">
        <v>1428</v>
      </c>
      <c r="AY155" s="12" t="s">
        <v>1426</v>
      </c>
      <c r="AZ155" s="12" t="s">
        <v>1427</v>
      </c>
      <c r="BA155" s="12" t="s">
        <v>1167</v>
      </c>
      <c r="BB155" s="12" t="s">
        <v>1276</v>
      </c>
      <c r="BC155" s="12" t="s">
        <v>1280</v>
      </c>
      <c r="BD155" s="12" t="s">
        <v>1181</v>
      </c>
      <c r="BE155" s="12" t="s">
        <v>1428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509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509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509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509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509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509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509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1429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1019" t="s">
        <v>1430</v>
      </c>
      <c r="K169" s="1020"/>
      <c r="L169" s="1020"/>
      <c r="M169" s="1020"/>
      <c r="N169" s="1020"/>
      <c r="O169" s="1020"/>
      <c r="P169" s="1020"/>
      <c r="Q169" s="1020"/>
      <c r="R169" s="1020"/>
      <c r="S169" s="1020"/>
      <c r="T169" s="1020"/>
      <c r="U169" s="1020"/>
      <c r="V169" s="1020"/>
      <c r="W169" s="1020"/>
      <c r="X169" s="1020"/>
      <c r="Y169" s="1020"/>
      <c r="Z169" s="1020"/>
      <c r="AA169" s="1020"/>
      <c r="AB169" s="1020"/>
      <c r="AC169" s="1020"/>
      <c r="AD169" s="1020"/>
      <c r="AE169" s="1020"/>
      <c r="AF169" s="1020"/>
      <c r="AG169" s="1021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1006" t="s">
        <v>1431</v>
      </c>
      <c r="K174" s="971"/>
      <c r="L174" s="971"/>
      <c r="M174" s="971"/>
      <c r="N174" s="971"/>
      <c r="O174" s="971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1432</v>
      </c>
      <c r="K176" s="12">
        <v>4.9000000000000004</v>
      </c>
      <c r="L176" s="12" t="s">
        <v>1433</v>
      </c>
      <c r="M176" s="12">
        <f>+K176/1000</f>
        <v>4.9000000000000007E-3</v>
      </c>
      <c r="N176" s="12" t="s">
        <v>1434</v>
      </c>
      <c r="P176" s="12" t="s">
        <v>1435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536</v>
      </c>
      <c r="K177" s="12">
        <v>0.32500000000000001</v>
      </c>
      <c r="L177" s="12" t="s">
        <v>1436</v>
      </c>
      <c r="P177" s="12" t="s">
        <v>1437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1438</v>
      </c>
      <c r="P178" s="12" t="s">
        <v>1439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1440</v>
      </c>
      <c r="P179" s="12" t="s">
        <v>920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1441</v>
      </c>
      <c r="U181" s="14" t="s">
        <v>1442</v>
      </c>
      <c r="V181" s="12" t="s">
        <v>1443</v>
      </c>
      <c r="Y181" s="215" t="s">
        <v>1444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1445</v>
      </c>
      <c r="U182" s="446" t="s">
        <v>1446</v>
      </c>
      <c r="V182" s="12" t="s">
        <v>63</v>
      </c>
      <c r="W182" s="12" t="s">
        <v>1447</v>
      </c>
      <c r="X182" s="12" t="s">
        <v>845</v>
      </c>
      <c r="Y182" s="215" t="s">
        <v>1448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1449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533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1450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1451</v>
      </c>
      <c r="Q193" s="330" t="s">
        <v>1452</v>
      </c>
      <c r="R193" s="12">
        <v>3.33</v>
      </c>
      <c r="S193" s="12" t="s">
        <v>1453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1454</v>
      </c>
      <c r="R194" s="12">
        <v>4.5</v>
      </c>
      <c r="S194" s="12" t="s">
        <v>1453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1455</v>
      </c>
      <c r="T197" s="12">
        <v>8.2176851262728707</v>
      </c>
      <c r="U197" s="12" t="s">
        <v>1453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1451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1019" t="s">
        <v>1456</v>
      </c>
      <c r="K203" s="1020"/>
      <c r="L203" s="1020"/>
      <c r="M203" s="1020"/>
      <c r="N203" s="1020"/>
      <c r="O203" s="1020"/>
      <c r="P203" s="1020"/>
      <c r="Q203" s="1020"/>
      <c r="R203" s="1020"/>
      <c r="S203" s="1020"/>
      <c r="T203" s="1020"/>
      <c r="U203" s="1020"/>
      <c r="V203" s="1020"/>
      <c r="W203" s="1020"/>
      <c r="X203" s="1020"/>
      <c r="Y203" s="1020"/>
      <c r="Z203" s="1020"/>
      <c r="AA203" s="1020"/>
      <c r="AB203" s="1020"/>
      <c r="AC203" s="1020"/>
      <c r="AD203" s="1020"/>
      <c r="AE203" s="1020"/>
      <c r="AF203" s="1020"/>
      <c r="AG203" s="1021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1016" t="s">
        <v>1457</v>
      </c>
      <c r="P206" s="971"/>
      <c r="Q206" s="971"/>
      <c r="R206" s="971"/>
      <c r="T206" s="970" t="s">
        <v>1458</v>
      </c>
      <c r="U206" s="971"/>
      <c r="V206" s="971"/>
      <c r="W206" s="971"/>
      <c r="Z206" s="1023" t="s">
        <v>1459</v>
      </c>
      <c r="AA206" s="968"/>
      <c r="AB206" s="968"/>
      <c r="AC206" s="969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845</v>
      </c>
      <c r="Q207" s="446" t="s">
        <v>1460</v>
      </c>
      <c r="R207" s="446" t="s">
        <v>1020</v>
      </c>
      <c r="T207" s="446" t="s">
        <v>22</v>
      </c>
      <c r="U207" s="446" t="s">
        <v>845</v>
      </c>
      <c r="V207" s="446" t="s">
        <v>1460</v>
      </c>
      <c r="W207" s="446" t="s">
        <v>1020</v>
      </c>
      <c r="Z207" s="499" t="s">
        <v>22</v>
      </c>
      <c r="AA207" s="499" t="s">
        <v>845</v>
      </c>
      <c r="AB207" s="499" t="s">
        <v>1460</v>
      </c>
      <c r="AC207" s="499" t="s">
        <v>1020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914">
        <v>0</v>
      </c>
      <c r="R209" s="917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4">+(P209*24*365/1000)*0.0036</f>
        <v>4.7328116359723582</v>
      </c>
      <c r="AB209" s="471">
        <f>+(Q210*24*365/1000)*0.0036</f>
        <v>1.5220623656853185</v>
      </c>
      <c r="AC209" s="471">
        <f t="shared" si="354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913">
        <v>0</v>
      </c>
      <c r="P210" s="651"/>
      <c r="Q210" s="287">
        <v>48.264281002198075</v>
      </c>
      <c r="R210" s="917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6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7">J196</f>
        <v>Putumayo</v>
      </c>
      <c r="K211" s="103" t="str">
        <f t="shared" si="357"/>
        <v>Light Oil</v>
      </c>
      <c r="L211" s="614" t="str">
        <f t="shared" si="357"/>
        <v>CAM4</v>
      </c>
      <c r="M211" s="34" t="str">
        <f t="shared" si="357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8">+(O211*24*365/1000)*0.0036</f>
        <v>0</v>
      </c>
      <c r="AA211" s="471">
        <f t="shared" si="358"/>
        <v>0</v>
      </c>
      <c r="AB211" s="471">
        <f t="shared" si="358"/>
        <v>0.66944714800759952</v>
      </c>
      <c r="AC211" s="471">
        <f t="shared" si="358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9">J197</f>
        <v>VMM</v>
      </c>
      <c r="K212" s="103" t="str">
        <f t="shared" si="359"/>
        <v>Medium Oil</v>
      </c>
      <c r="L212" s="614" t="str">
        <f t="shared" si="359"/>
        <v>CAM5</v>
      </c>
      <c r="M212" s="34" t="str">
        <f t="shared" si="359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60">+(O212*24*365/1000)*0.0036</f>
        <v>0</v>
      </c>
      <c r="AA212" s="471">
        <f t="shared" si="360"/>
        <v>0.61324097015441748</v>
      </c>
      <c r="AB212" s="471">
        <f t="shared" si="360"/>
        <v>1.3049984589915189</v>
      </c>
      <c r="AC212" s="471">
        <f t="shared" si="360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1">J198</f>
        <v>VSM</v>
      </c>
      <c r="K213" s="103" t="str">
        <f t="shared" si="361"/>
        <v>Medium Oil</v>
      </c>
      <c r="L213" s="614" t="str">
        <f t="shared" si="361"/>
        <v>CAM6</v>
      </c>
      <c r="M213" s="626" t="str">
        <f t="shared" si="361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2">+(O213*24*365/1000)*0.0036</f>
        <v>0</v>
      </c>
      <c r="AA213" s="471">
        <f t="shared" si="362"/>
        <v>7.2015258812680727E-2</v>
      </c>
      <c r="AB213" s="471">
        <f t="shared" si="362"/>
        <v>0.62054333297305764</v>
      </c>
      <c r="AC213" s="471">
        <f t="shared" si="362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3">J199</f>
        <v>VIM</v>
      </c>
      <c r="K214" s="103" t="str">
        <f t="shared" si="363"/>
        <v>Doesn't Apply</v>
      </c>
      <c r="L214" s="614" t="str">
        <f t="shared" si="363"/>
        <v>CAM7</v>
      </c>
      <c r="M214" s="626" t="str">
        <f t="shared" si="363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4">+(O214*24*365/1000)*0.0036</f>
        <v>0</v>
      </c>
      <c r="AA214" s="471">
        <f t="shared" si="364"/>
        <v>8.0173996489854554E-3</v>
      </c>
      <c r="AB214" s="471">
        <f t="shared" si="364"/>
        <v>0</v>
      </c>
      <c r="AC214" s="471">
        <f t="shared" si="364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67" t="s">
        <v>1461</v>
      </c>
      <c r="P218" s="968"/>
      <c r="Q218" s="969"/>
      <c r="T218" s="970" t="s">
        <v>1458</v>
      </c>
      <c r="U218" s="971"/>
      <c r="V218" s="971"/>
      <c r="W218" s="971"/>
      <c r="Z218" s="1024" t="s">
        <v>1462</v>
      </c>
      <c r="AA218" s="968"/>
      <c r="AB218" s="969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5">J207</f>
        <v>Basin</v>
      </c>
      <c r="K219" s="608" t="str">
        <f t="shared" si="365"/>
        <v>Type Fluid</v>
      </c>
      <c r="L219" s="608" t="str">
        <f t="shared" si="365"/>
        <v>CAM</v>
      </c>
      <c r="M219" s="608" t="str">
        <f t="shared" si="365"/>
        <v>Type of Oil producing</v>
      </c>
      <c r="O219" s="429" t="s">
        <v>487</v>
      </c>
      <c r="P219" s="429" t="s">
        <v>1460</v>
      </c>
      <c r="Q219" s="429" t="s">
        <v>63</v>
      </c>
      <c r="T219" s="446" t="s">
        <v>22</v>
      </c>
      <c r="U219" s="446" t="s">
        <v>845</v>
      </c>
      <c r="V219" s="446" t="s">
        <v>1460</v>
      </c>
      <c r="W219" s="446" t="s">
        <v>1020</v>
      </c>
      <c r="Z219" s="652" t="s">
        <v>487</v>
      </c>
      <c r="AA219" s="652" t="s">
        <v>1460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6">J208</f>
        <v>Guajira</v>
      </c>
      <c r="K220" s="103" t="str">
        <f t="shared" si="366"/>
        <v>Doesn't Apply</v>
      </c>
      <c r="L220" s="614" t="str">
        <f t="shared" si="366"/>
        <v>CAM1</v>
      </c>
      <c r="M220" s="615" t="str">
        <f t="shared" si="366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7">+(P220*24*0.365)*0.0036</f>
        <v>0</v>
      </c>
      <c r="AB220" s="654">
        <f t="shared" si="367"/>
        <v>0</v>
      </c>
      <c r="AC220" s="543"/>
      <c r="AE220" s="222">
        <f>+SUM(Z220:AB227)</f>
        <v>2.0858923588608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8">J209</f>
        <v>Llanos Orientales</v>
      </c>
      <c r="K221" s="103" t="str">
        <f t="shared" si="368"/>
        <v>Light Oil</v>
      </c>
      <c r="L221" s="614" t="str">
        <f t="shared" si="368"/>
        <v>CAM2</v>
      </c>
      <c r="M221" s="626" t="str">
        <f t="shared" si="368"/>
        <v>LLO - Ligth</v>
      </c>
      <c r="O221" s="390">
        <v>2.7140832000000001</v>
      </c>
      <c r="P221" s="918">
        <v>0</v>
      </c>
      <c r="Q221" s="919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>+(O221*24*0.365)*0.0036</f>
        <v>8.5591327795199984E-2</v>
      </c>
      <c r="AA221" s="654">
        <f>+(P222*24*0.365)*0.0036</f>
        <v>0.34236531118079994</v>
      </c>
      <c r="AB221" s="654">
        <f t="shared" ref="AB221:AB222" si="369">+(Q221*24*0.365)*0.0036</f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70">J210</f>
        <v>Llanos Orientales</v>
      </c>
      <c r="K222" s="103" t="str">
        <f t="shared" si="370"/>
        <v>Heavy Oil</v>
      </c>
      <c r="L222" s="614" t="str">
        <f t="shared" si="370"/>
        <v>CAM3</v>
      </c>
      <c r="M222" s="34" t="str">
        <f t="shared" si="370"/>
        <v>LLO - Heavy</v>
      </c>
      <c r="O222" s="918">
        <v>0</v>
      </c>
      <c r="P222" s="390">
        <v>10.856332800000001</v>
      </c>
      <c r="Q222" s="919">
        <f>20.355624/2</f>
        <v>10.177811999999999</v>
      </c>
      <c r="T222" s="228">
        <v>0.35</v>
      </c>
      <c r="U222" s="228">
        <v>0.35</v>
      </c>
      <c r="V222" s="228">
        <v>0.35</v>
      </c>
      <c r="W222" s="228">
        <v>0.35</v>
      </c>
      <c r="Z222" s="654">
        <f>+(O222*24*0.365)*0.0036</f>
        <v>0</v>
      </c>
      <c r="AA222" s="654">
        <f t="shared" ref="AA222" si="371">+(P222*24*0.365)*0.0036</f>
        <v>0.34236531118079994</v>
      </c>
      <c r="AB222" s="654">
        <f t="shared" si="369"/>
        <v>0.32096747923199992</v>
      </c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2">J211</f>
        <v>Putumayo</v>
      </c>
      <c r="K223" s="103" t="str">
        <f t="shared" si="372"/>
        <v>Light Oil</v>
      </c>
      <c r="L223" s="614" t="str">
        <f t="shared" si="372"/>
        <v>CAM4</v>
      </c>
      <c r="M223" s="34" t="str">
        <f t="shared" si="372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3">+(O223*24*0.365)*0.0036</f>
        <v>1.1095172121600003E-2</v>
      </c>
      <c r="AA223" s="654">
        <f t="shared" si="373"/>
        <v>4.4380688486400012E-2</v>
      </c>
      <c r="AB223" s="654">
        <f t="shared" si="373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4">J212</f>
        <v>VMM</v>
      </c>
      <c r="K224" s="103" t="str">
        <f t="shared" si="374"/>
        <v>Medium Oil</v>
      </c>
      <c r="L224" s="614" t="str">
        <f t="shared" si="374"/>
        <v>CAM5</v>
      </c>
      <c r="M224" s="34" t="str">
        <f t="shared" si="374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5">+(O224*24*0.365)*0.0036</f>
        <v>2.8530442598399999E-2</v>
      </c>
      <c r="AA224" s="654">
        <f t="shared" si="375"/>
        <v>0.1141217703936</v>
      </c>
      <c r="AB224" s="654">
        <f t="shared" si="375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6">J213</f>
        <v>VSM</v>
      </c>
      <c r="K225" s="103" t="str">
        <f t="shared" si="376"/>
        <v>Medium Oil</v>
      </c>
      <c r="L225" s="614" t="str">
        <f t="shared" si="376"/>
        <v>CAM6</v>
      </c>
      <c r="M225" s="626" t="str">
        <f t="shared" si="376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7">+(O225*24*0.365)*0.0036</f>
        <v>1.1095172121600003E-2</v>
      </c>
      <c r="AA225" s="654">
        <f t="shared" si="377"/>
        <v>4.4380688486400012E-2</v>
      </c>
      <c r="AB225" s="654">
        <f t="shared" si="377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8">J214</f>
        <v>VIM</v>
      </c>
      <c r="K226" s="103" t="str">
        <f t="shared" si="378"/>
        <v>Doesn't Apply</v>
      </c>
      <c r="L226" s="614" t="str">
        <f t="shared" si="378"/>
        <v>CAM7</v>
      </c>
      <c r="M226" s="626" t="str">
        <f t="shared" si="378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9">+(O226*24*0.365)*0.0036</f>
        <v>3.1700491776000001E-3</v>
      </c>
      <c r="AA226" s="654">
        <f t="shared" si="379"/>
        <v>1.26801967104E-2</v>
      </c>
      <c r="AB226" s="654">
        <f t="shared" si="379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3" priority="1">
      <formula>LEN(TRIM(I5))=0</formula>
    </cfRule>
  </conditionalFormatting>
  <conditionalFormatting sqref="K5:L16">
    <cfRule type="containsText" dxfId="52" priority="2" operator="containsText" text="Oil and Gas">
      <formula>NOT(ISERROR(SEARCH(("Oil and Gas"),(K5))))</formula>
    </cfRule>
  </conditionalFormatting>
  <conditionalFormatting sqref="K5:L16">
    <cfRule type="containsText" dxfId="51" priority="3" operator="containsText" text="Gas">
      <formula>NOT(ISERROR(SEARCH(("Gas"),(K5))))</formula>
    </cfRule>
  </conditionalFormatting>
  <conditionalFormatting sqref="K5:L16">
    <cfRule type="containsText" dxfId="50" priority="4" operator="containsText" text="Oil">
      <formula>NOT(ISERROR(SEARCH(("Oil"),(K5))))</formula>
    </cfRule>
  </conditionalFormatting>
  <conditionalFormatting sqref="K17:L27">
    <cfRule type="containsText" dxfId="49" priority="5" operator="containsText" text="Oil and Gas">
      <formula>NOT(ISERROR(SEARCH(("Oil and Gas"),(K17))))</formula>
    </cfRule>
  </conditionalFormatting>
  <conditionalFormatting sqref="K17:L27">
    <cfRule type="containsText" dxfId="48" priority="6" operator="containsText" text="Gas">
      <formula>NOT(ISERROR(SEARCH(("Gas"),(K17))))</formula>
    </cfRule>
  </conditionalFormatting>
  <conditionalFormatting sqref="K17:L27">
    <cfRule type="containsText" dxfId="47" priority="7" operator="containsText" text="Oil">
      <formula>NOT(ISERROR(SEARCH(("Oil"),(K17))))</formula>
    </cfRule>
  </conditionalFormatting>
  <conditionalFormatting sqref="Q5:Y27 W67:AA92">
    <cfRule type="cellIs" dxfId="46" priority="8" operator="equal">
      <formula>0</formula>
    </cfRule>
  </conditionalFormatting>
  <conditionalFormatting sqref="I35:I54">
    <cfRule type="containsBlanks" dxfId="45" priority="9">
      <formula>LEN(TRIM(I35))=0</formula>
    </cfRule>
  </conditionalFormatting>
  <conditionalFormatting sqref="K35:L46">
    <cfRule type="containsText" dxfId="44" priority="10" operator="containsText" text="Oil and Gas">
      <formula>NOT(ISERROR(SEARCH(("Oil and Gas"),(K35))))</formula>
    </cfRule>
  </conditionalFormatting>
  <conditionalFormatting sqref="K35:L46">
    <cfRule type="containsText" dxfId="43" priority="11" operator="containsText" text="Gas">
      <formula>NOT(ISERROR(SEARCH(("Gas"),(K35))))</formula>
    </cfRule>
  </conditionalFormatting>
  <conditionalFormatting sqref="K35:L46">
    <cfRule type="containsText" dxfId="42" priority="12" operator="containsText" text="Oil">
      <formula>NOT(ISERROR(SEARCH(("Oil"),(K35))))</formula>
    </cfRule>
  </conditionalFormatting>
  <conditionalFormatting sqref="K47:L54 K58:L60">
    <cfRule type="containsText" dxfId="41" priority="13" operator="containsText" text="Oil and Gas">
      <formula>NOT(ISERROR(SEARCH(("Oil and Gas"),(K47))))</formula>
    </cfRule>
  </conditionalFormatting>
  <conditionalFormatting sqref="K47:L54 K58:L60">
    <cfRule type="containsText" dxfId="40" priority="14" operator="containsText" text="Gas">
      <formula>NOT(ISERROR(SEARCH(("Gas"),(K47))))</formula>
    </cfRule>
  </conditionalFormatting>
  <conditionalFormatting sqref="K47:L54 K58:L60">
    <cfRule type="containsText" dxfId="39" priority="15" operator="containsText" text="Oil">
      <formula>NOT(ISERROR(SEARCH(("Oil"),(K47))))</formula>
    </cfRule>
  </conditionalFormatting>
  <conditionalFormatting sqref="Q35:Y60">
    <cfRule type="cellIs" dxfId="38" priority="16" operator="equal">
      <formula>0</formula>
    </cfRule>
  </conditionalFormatting>
  <conditionalFormatting sqref="I67:I86">
    <cfRule type="containsBlanks" dxfId="37" priority="17">
      <formula>LEN(TRIM(I67))=0</formula>
    </cfRule>
  </conditionalFormatting>
  <conditionalFormatting sqref="K67:L78">
    <cfRule type="containsText" dxfId="36" priority="18" operator="containsText" text="Oil and Gas">
      <formula>NOT(ISERROR(SEARCH(("Oil and Gas"),(K67))))</formula>
    </cfRule>
  </conditionalFormatting>
  <conditionalFormatting sqref="K67:L78">
    <cfRule type="containsText" dxfId="35" priority="19" operator="containsText" text="Gas">
      <formula>NOT(ISERROR(SEARCH(("Gas"),(K67))))</formula>
    </cfRule>
  </conditionalFormatting>
  <conditionalFormatting sqref="K67:L78">
    <cfRule type="containsText" dxfId="34" priority="20" operator="containsText" text="Oil">
      <formula>NOT(ISERROR(SEARCH(("Oil"),(K67))))</formula>
    </cfRule>
  </conditionalFormatting>
  <conditionalFormatting sqref="K79:L86 K90:L92">
    <cfRule type="containsText" dxfId="33" priority="21" operator="containsText" text="Oil and Gas">
      <formula>NOT(ISERROR(SEARCH(("Oil and Gas"),(K79))))</formula>
    </cfRule>
  </conditionalFormatting>
  <conditionalFormatting sqref="K79:L86 K90:L92">
    <cfRule type="containsText" dxfId="32" priority="22" operator="containsText" text="Gas">
      <formula>NOT(ISERROR(SEARCH(("Gas"),(K79))))</formula>
    </cfRule>
  </conditionalFormatting>
  <conditionalFormatting sqref="K79:L86 K90:L92">
    <cfRule type="containsText" dxfId="31" priority="23" operator="containsText" text="Oil">
      <formula>NOT(ISERROR(SEARCH(("Oil"),(K79))))</formula>
    </cfRule>
  </conditionalFormatting>
  <conditionalFormatting sqref="N67:N92">
    <cfRule type="cellIs" dxfId="30" priority="24" operator="equal">
      <formula>0</formula>
    </cfRule>
  </conditionalFormatting>
  <conditionalFormatting sqref="R67:V92">
    <cfRule type="cellIs" dxfId="29" priority="25" operator="equal">
      <formula>0</formula>
    </cfRule>
  </conditionalFormatting>
  <conditionalFormatting sqref="P67:P92">
    <cfRule type="cellIs" dxfId="28" priority="26" operator="equal">
      <formula>0</formula>
    </cfRule>
  </conditionalFormatting>
  <conditionalFormatting sqref="Q67:Q92">
    <cfRule type="cellIs" dxfId="27" priority="27" operator="equal">
      <formula>0</formula>
    </cfRule>
  </conditionalFormatting>
  <conditionalFormatting sqref="M99">
    <cfRule type="containsBlanks" dxfId="26" priority="28">
      <formula>LEN(TRIM(M99))=0</formula>
    </cfRule>
  </conditionalFormatting>
  <conditionalFormatting sqref="N99:V112">
    <cfRule type="cellIs" dxfId="25" priority="29" operator="equal">
      <formula>0</formula>
    </cfRule>
  </conditionalFormatting>
  <conditionalFormatting sqref="W99:Z112">
    <cfRule type="cellIs" dxfId="24" priority="30" operator="equal">
      <formula>0</formula>
    </cfRule>
  </conditionalFormatting>
  <conditionalFormatting sqref="AA99:AA112">
    <cfRule type="cellIs" dxfId="23" priority="31" operator="equal">
      <formula>0</formula>
    </cfRule>
  </conditionalFormatting>
  <conditionalFormatting sqref="AB99:AC112">
    <cfRule type="cellIs" dxfId="22" priority="32" operator="equal">
      <formula>0</formula>
    </cfRule>
  </conditionalFormatting>
  <conditionalFormatting sqref="AH99:BJ112">
    <cfRule type="cellIs" dxfId="21" priority="33" operator="equal">
      <formula>0</formula>
    </cfRule>
  </conditionalFormatting>
  <conditionalFormatting sqref="BK99:BX112">
    <cfRule type="cellIs" dxfId="20" priority="34" operator="equal">
      <formula>0</formula>
    </cfRule>
  </conditionalFormatting>
  <conditionalFormatting sqref="M121">
    <cfRule type="containsBlanks" dxfId="19" priority="35">
      <formula>LEN(TRIM(M121))=0</formula>
    </cfRule>
  </conditionalFormatting>
  <conditionalFormatting sqref="M156">
    <cfRule type="containsBlanks" dxfId="18" priority="36">
      <formula>LEN(TRIM(M156))=0</formula>
    </cfRule>
  </conditionalFormatting>
  <conditionalFormatting sqref="M183">
    <cfRule type="containsBlanks" dxfId="17" priority="37">
      <formula>LEN(TRIM(M183))=0</formula>
    </cfRule>
  </conditionalFormatting>
  <conditionalFormatting sqref="I55:I57">
    <cfRule type="containsBlanks" dxfId="16" priority="38">
      <formula>LEN(TRIM(I55))=0</formula>
    </cfRule>
  </conditionalFormatting>
  <conditionalFormatting sqref="K55:L57">
    <cfRule type="containsText" dxfId="15" priority="39" operator="containsText" text="Oil and Gas">
      <formula>NOT(ISERROR(SEARCH(("Oil and Gas"),(K55))))</formula>
    </cfRule>
  </conditionalFormatting>
  <conditionalFormatting sqref="K55:L57">
    <cfRule type="containsText" dxfId="14" priority="40" operator="containsText" text="Gas">
      <formula>NOT(ISERROR(SEARCH(("Gas"),(K55))))</formula>
    </cfRule>
  </conditionalFormatting>
  <conditionalFormatting sqref="K55:L57">
    <cfRule type="containsText" dxfId="13" priority="41" operator="containsText" text="Oil">
      <formula>NOT(ISERROR(SEARCH(("Oil"),(K55))))</formula>
    </cfRule>
  </conditionalFormatting>
  <conditionalFormatting sqref="I87:I89">
    <cfRule type="containsBlanks" dxfId="12" priority="42">
      <formula>LEN(TRIM(I87))=0</formula>
    </cfRule>
  </conditionalFormatting>
  <conditionalFormatting sqref="K87:L89">
    <cfRule type="containsText" dxfId="11" priority="43" operator="containsText" text="Oil and Gas">
      <formula>NOT(ISERROR(SEARCH(("Oil and Gas"),(K87))))</formula>
    </cfRule>
  </conditionalFormatting>
  <conditionalFormatting sqref="K87:L89">
    <cfRule type="containsText" dxfId="10" priority="44" operator="containsText" text="Gas">
      <formula>NOT(ISERROR(SEARCH(("Gas"),(K87))))</formula>
    </cfRule>
  </conditionalFormatting>
  <conditionalFormatting sqref="K87:L89">
    <cfRule type="containsText" dxfId="9" priority="45" operator="containsText" text="Oil">
      <formula>NOT(ISERROR(SEARCH(("Oil"),(K87))))</formula>
    </cfRule>
  </conditionalFormatting>
  <conditionalFormatting sqref="X121">
    <cfRule type="containsBlanks" dxfId="8" priority="46">
      <formula>LEN(TRIM(X121))=0</formula>
    </cfRule>
  </conditionalFormatting>
  <conditionalFormatting sqref="Z121:Z127">
    <cfRule type="cellIs" dxfId="7" priority="47" operator="equal">
      <formula>0</formula>
    </cfRule>
  </conditionalFormatting>
  <conditionalFormatting sqref="AA121:AC127">
    <cfRule type="containsText" dxfId="6" priority="48" operator="containsText" text="No">
      <formula>NOT(ISERROR(SEARCH(("No"),(AA121))))</formula>
    </cfRule>
  </conditionalFormatting>
  <conditionalFormatting sqref="AA121:AC127">
    <cfRule type="containsText" dxfId="5" priority="49" operator="containsText" text="Sí">
      <formula>NOT(ISERROR(SEARCH(("Sí"),(AA121))))</formula>
    </cfRule>
  </conditionalFormatting>
  <conditionalFormatting sqref="M141">
    <cfRule type="containsBlanks" dxfId="4" priority="50">
      <formula>LEN(TRIM(M141))=0</formula>
    </cfRule>
  </conditionalFormatting>
  <conditionalFormatting sqref="M193">
    <cfRule type="containsBlanks" dxfId="3" priority="51">
      <formula>LEN(TRIM(M193))=0</formula>
    </cfRule>
  </conditionalFormatting>
  <conditionalFormatting sqref="M208">
    <cfRule type="containsBlanks" dxfId="2" priority="52">
      <formula>LEN(TRIM(M208))=0</formula>
    </cfRule>
  </conditionalFormatting>
  <conditionalFormatting sqref="M220">
    <cfRule type="containsBlanks" dxfId="1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abSelected="1" topLeftCell="V6" zoomScale="85" zoomScaleNormal="85" workbookViewId="0">
      <selection activeCell="AC31" sqref="AC31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12.85546875" customWidth="1"/>
    <col min="43" max="43" width="25" style="916" customWidth="1"/>
    <col min="44" max="44" width="20.28515625" style="916" customWidth="1"/>
    <col min="45" max="45" width="7.42578125" style="916" customWidth="1"/>
    <col min="46" max="46" width="14.140625" customWidth="1"/>
    <col min="47" max="47" width="23.140625" customWidth="1"/>
    <col min="48" max="48" width="19.140625" customWidth="1"/>
    <col min="49" max="49" width="15.5703125" customWidth="1"/>
    <col min="50" max="50" width="9" customWidth="1"/>
    <col min="51" max="51" width="4.140625" customWidth="1"/>
    <col min="52" max="52" width="23.140625" customWidth="1"/>
    <col min="53" max="53" width="14.140625" customWidth="1"/>
    <col min="54" max="54" width="10.5703125" customWidth="1"/>
    <col min="55" max="55" width="16" customWidth="1"/>
    <col min="56" max="56" width="28.7109375" customWidth="1"/>
    <col min="57" max="57" width="17.140625" customWidth="1"/>
    <col min="58" max="58" width="21.28515625" customWidth="1"/>
    <col min="59" max="59" width="10.5703125" customWidth="1"/>
    <col min="60" max="60" width="6" customWidth="1"/>
    <col min="61" max="61" width="26.7109375" customWidth="1"/>
    <col min="62" max="63" width="10.5703125" customWidth="1"/>
    <col min="64" max="64" width="8.5703125" customWidth="1"/>
    <col min="65" max="65" width="11.42578125" customWidth="1"/>
    <col min="66" max="66" width="6.140625" customWidth="1"/>
    <col min="67" max="67" width="14.140625" customWidth="1"/>
    <col min="68" max="68" width="8.42578125" customWidth="1"/>
    <col min="69" max="70" width="10.7109375" customWidth="1"/>
    <col min="71" max="71" width="13.5703125" customWidth="1"/>
    <col min="72" max="72" width="15.85546875" customWidth="1"/>
    <col min="73" max="73" width="11.85546875" customWidth="1"/>
    <col min="74" max="74" width="9" customWidth="1"/>
    <col min="75" max="75" width="16.28515625" customWidth="1"/>
    <col min="76" max="76" width="14.42578125" customWidth="1"/>
    <col min="77" max="77" width="15" customWidth="1"/>
    <col min="78" max="78" width="5.28515625" customWidth="1"/>
    <col min="79" max="79" width="22" customWidth="1"/>
    <col min="80" max="80" width="11.28515625" customWidth="1"/>
    <col min="81" max="81" width="25.28515625" customWidth="1"/>
    <col min="82" max="82" width="23.85546875" customWidth="1"/>
    <col min="83" max="83" width="21.28515625" customWidth="1"/>
    <col min="84" max="84" width="5.5703125" customWidth="1"/>
    <col min="85" max="85" width="20.28515625" customWidth="1"/>
    <col min="86" max="87" width="11.28515625" customWidth="1"/>
    <col min="88" max="88" width="20.7109375" customWidth="1"/>
    <col min="89" max="89" width="23.140625" customWidth="1"/>
    <col min="90" max="90" width="19.85546875" customWidth="1"/>
    <col min="91" max="91" width="11.5703125" customWidth="1"/>
    <col min="92" max="92" width="5" customWidth="1"/>
    <col min="93" max="93" width="20.42578125" customWidth="1"/>
    <col min="94" max="94" width="11.42578125" customWidth="1"/>
    <col min="95" max="95" width="10.7109375" customWidth="1"/>
    <col min="96" max="96" width="6.5703125" customWidth="1"/>
    <col min="97" max="97" width="22.28515625" customWidth="1"/>
    <col min="98" max="98" width="7.42578125" customWidth="1"/>
    <col min="99" max="99" width="21.7109375" customWidth="1"/>
    <col min="100" max="100" width="21.28515625" customWidth="1"/>
    <col min="101" max="101" width="7.42578125" customWidth="1"/>
    <col min="102" max="102" width="5.7109375" customWidth="1"/>
    <col min="103" max="103" width="19.7109375" customWidth="1"/>
    <col min="104" max="104" width="16.42578125" customWidth="1"/>
    <col min="105" max="105" width="10.7109375" customWidth="1"/>
    <col min="106" max="106" width="8.85546875" customWidth="1"/>
    <col min="107" max="107" width="19.5703125" customWidth="1"/>
    <col min="108" max="108" width="20.28515625" customWidth="1"/>
    <col min="109" max="110" width="11.42578125" customWidth="1"/>
    <col min="111" max="111" width="25.85546875" customWidth="1"/>
    <col min="112" max="113" width="11.42578125" customWidth="1"/>
    <col min="114" max="114" width="7.28515625" customWidth="1"/>
    <col min="115" max="115" width="23.42578125" customWidth="1"/>
    <col min="116" max="116" width="11.42578125" customWidth="1"/>
    <col min="117" max="117" width="33.28515625" customWidth="1"/>
    <col min="118" max="118" width="17" customWidth="1"/>
    <col min="119" max="119" width="18.85546875" customWidth="1"/>
    <col min="120" max="121" width="10.7109375" customWidth="1"/>
    <col min="122" max="122" width="31.28515625" customWidth="1"/>
    <col min="123" max="123" width="19.42578125" customWidth="1"/>
    <col min="124" max="124" width="21.5703125" customWidth="1"/>
    <col min="125" max="126" width="10.7109375" customWidth="1"/>
    <col min="127" max="127" width="31.7109375" customWidth="1"/>
    <col min="128" max="128" width="21.85546875" customWidth="1"/>
    <col min="129" max="129" width="21.42578125" customWidth="1"/>
    <col min="130" max="130" width="10.7109375" customWidth="1"/>
  </cols>
  <sheetData>
    <row r="1" spans="1:130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35">
      <c r="B3" s="116"/>
      <c r="C3" s="1031" t="s">
        <v>1463</v>
      </c>
      <c r="D3" s="971"/>
      <c r="E3" s="971"/>
      <c r="F3" s="971"/>
      <c r="G3" s="971"/>
      <c r="H3" s="971"/>
      <c r="I3" s="657"/>
      <c r="K3" s="116"/>
      <c r="L3" s="1031" t="s">
        <v>1464</v>
      </c>
      <c r="M3" s="971"/>
      <c r="N3" s="971"/>
      <c r="O3" s="971"/>
      <c r="P3" s="971"/>
      <c r="Q3" s="971"/>
      <c r="R3" s="971"/>
      <c r="S3" s="971"/>
      <c r="T3" s="971"/>
      <c r="U3" s="971"/>
      <c r="V3" s="971"/>
      <c r="W3" s="971"/>
      <c r="X3" s="658"/>
      <c r="Y3" s="658"/>
      <c r="Z3" s="658"/>
      <c r="AA3" s="658"/>
      <c r="AB3" s="657"/>
      <c r="AC3" s="380"/>
      <c r="AD3" s="116"/>
      <c r="AE3" s="1031" t="s">
        <v>1465</v>
      </c>
      <c r="AF3" s="971"/>
      <c r="AG3" s="971"/>
      <c r="AH3" s="971"/>
      <c r="AI3" s="971"/>
      <c r="AJ3" s="971"/>
      <c r="AK3" s="971"/>
      <c r="AL3" s="655"/>
      <c r="AM3" s="1"/>
      <c r="AN3" s="1035" t="s">
        <v>1466</v>
      </c>
      <c r="AO3" s="968"/>
      <c r="AP3" s="968"/>
      <c r="AQ3" s="1034"/>
      <c r="AR3" s="1034"/>
      <c r="AS3" s="1034"/>
      <c r="AT3" s="968"/>
      <c r="AU3" s="968"/>
      <c r="AV3" s="968"/>
      <c r="AW3" s="968"/>
      <c r="AX3" s="968"/>
      <c r="AY3" s="968"/>
      <c r="AZ3" s="968"/>
      <c r="BA3" s="968"/>
      <c r="BB3" s="968"/>
      <c r="BC3" s="968"/>
      <c r="BD3" s="968"/>
      <c r="BE3" s="968"/>
      <c r="BF3" s="968"/>
      <c r="BG3" s="968"/>
      <c r="BH3" s="968"/>
      <c r="BI3" s="968"/>
      <c r="BJ3" s="968"/>
      <c r="BK3" s="968"/>
      <c r="BL3" s="969"/>
      <c r="BM3" s="43"/>
      <c r="BN3" s="116"/>
      <c r="BO3" s="1031" t="s">
        <v>1467</v>
      </c>
      <c r="BP3" s="971"/>
      <c r="BQ3" s="971"/>
      <c r="BR3" s="971"/>
      <c r="BS3" s="971"/>
      <c r="BT3" s="971"/>
      <c r="BU3" s="971"/>
      <c r="BV3" s="971"/>
      <c r="BW3" s="658"/>
      <c r="BX3" s="658"/>
      <c r="BY3" s="658"/>
      <c r="BZ3" s="655"/>
      <c r="CB3" s="659"/>
      <c r="CC3" s="1031" t="s">
        <v>1468</v>
      </c>
      <c r="CD3" s="971"/>
      <c r="CE3" s="971"/>
      <c r="CF3" s="971"/>
      <c r="CG3" s="971"/>
      <c r="CH3" s="971"/>
      <c r="CI3" s="971"/>
      <c r="CJ3" s="971"/>
      <c r="CK3" s="971"/>
      <c r="CL3" s="971"/>
      <c r="CM3" s="971"/>
      <c r="CN3" s="971"/>
      <c r="CO3" s="971"/>
      <c r="CP3" s="971"/>
      <c r="CQ3" s="288"/>
      <c r="CR3" s="305"/>
      <c r="CT3" s="116"/>
      <c r="CU3" s="1031" t="s">
        <v>1469</v>
      </c>
      <c r="CV3" s="971"/>
      <c r="CW3" s="971"/>
      <c r="CX3" s="971"/>
      <c r="CY3" s="971"/>
      <c r="CZ3" s="971"/>
      <c r="DA3" s="971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1470</v>
      </c>
    </row>
    <row r="4" spans="1:130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1030" t="s">
        <v>1471</v>
      </c>
      <c r="M5" s="971"/>
      <c r="N5" s="971"/>
      <c r="O5" s="971"/>
      <c r="P5" s="660"/>
      <c r="Q5" s="1030" t="s">
        <v>1472</v>
      </c>
      <c r="R5" s="971"/>
      <c r="S5" s="971"/>
      <c r="T5" s="660"/>
      <c r="U5" s="1030" t="s">
        <v>1473</v>
      </c>
      <c r="V5" s="971"/>
      <c r="W5" s="660"/>
      <c r="X5" s="664"/>
      <c r="Y5" s="1029" t="s">
        <v>1474</v>
      </c>
      <c r="Z5" s="968"/>
      <c r="AA5" s="969"/>
      <c r="AB5" s="662"/>
      <c r="AC5" s="380"/>
      <c r="AD5" s="661"/>
      <c r="AE5" s="1030" t="s">
        <v>1475</v>
      </c>
      <c r="AF5" s="971"/>
      <c r="AG5" s="971"/>
      <c r="AH5" s="660"/>
      <c r="AI5" s="1030" t="s">
        <v>1476</v>
      </c>
      <c r="AJ5" s="971"/>
      <c r="AK5" s="971"/>
      <c r="AL5" s="662"/>
      <c r="AM5" s="665"/>
      <c r="AN5" s="1030" t="s">
        <v>1477</v>
      </c>
      <c r="AO5" s="971"/>
      <c r="AP5" s="971"/>
      <c r="AT5" s="665"/>
      <c r="AU5" s="1029" t="s">
        <v>1478</v>
      </c>
      <c r="AV5" s="968"/>
      <c r="AW5" s="968"/>
      <c r="AX5" s="968"/>
      <c r="AY5" s="968"/>
      <c r="AZ5" s="968"/>
      <c r="BA5" s="968"/>
      <c r="BB5" s="969"/>
      <c r="BC5" s="665"/>
      <c r="BD5" s="666" t="s">
        <v>1479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1030" t="s">
        <v>1480</v>
      </c>
      <c r="BP5" s="971"/>
      <c r="BQ5" s="971"/>
      <c r="BR5" s="660"/>
      <c r="BS5" s="668" t="s">
        <v>1481</v>
      </c>
      <c r="BT5" s="660"/>
      <c r="BU5" s="663"/>
      <c r="BV5" s="663"/>
      <c r="BW5" s="666" t="s">
        <v>1482</v>
      </c>
      <c r="BX5" s="664"/>
      <c r="BY5" s="664"/>
      <c r="BZ5" s="662"/>
      <c r="CA5" s="660"/>
      <c r="CB5" s="669"/>
      <c r="CC5" s="1032" t="s">
        <v>1483</v>
      </c>
      <c r="CD5" s="1033"/>
      <c r="CE5" s="1033"/>
      <c r="CF5" s="1033"/>
      <c r="CG5" s="1033"/>
      <c r="CH5" s="1033"/>
      <c r="CI5" s="1034"/>
      <c r="CJ5" s="665"/>
      <c r="CK5" s="1030" t="s">
        <v>1484</v>
      </c>
      <c r="CL5" s="971"/>
      <c r="CM5" s="971"/>
      <c r="CN5" s="971"/>
      <c r="CO5" s="971"/>
      <c r="CP5" s="971"/>
      <c r="CQ5" s="971"/>
      <c r="CR5" s="670"/>
      <c r="CS5" s="660"/>
      <c r="CT5" s="661"/>
      <c r="CU5" s="1032" t="s">
        <v>1485</v>
      </c>
      <c r="CV5" s="1033"/>
      <c r="CW5" s="1033"/>
      <c r="CX5" s="1033"/>
      <c r="CY5" s="1033"/>
      <c r="CZ5" s="1033"/>
      <c r="DA5" s="1033"/>
      <c r="DB5" s="1034"/>
      <c r="DC5" s="668" t="s">
        <v>1486</v>
      </c>
      <c r="DD5" s="664"/>
      <c r="DE5" s="664"/>
      <c r="DF5" s="1029" t="s">
        <v>1487</v>
      </c>
      <c r="DG5" s="968"/>
      <c r="DH5" s="968"/>
      <c r="DI5" s="969"/>
      <c r="DJ5" s="662"/>
      <c r="DK5" s="660"/>
      <c r="DL5" s="661"/>
      <c r="DM5" s="660" t="s">
        <v>1488</v>
      </c>
      <c r="DN5" s="660"/>
      <c r="DO5" s="660"/>
      <c r="DP5" s="660"/>
      <c r="DQ5" s="660"/>
      <c r="DR5" s="660" t="s">
        <v>1489</v>
      </c>
      <c r="DS5" s="660"/>
      <c r="DT5" s="660"/>
      <c r="DU5" s="660"/>
      <c r="DV5" s="660"/>
      <c r="DW5" s="660" t="s">
        <v>1489</v>
      </c>
      <c r="DX5" s="660"/>
      <c r="DY5" s="660"/>
      <c r="DZ5" s="660"/>
    </row>
    <row r="6" spans="1:130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x14ac:dyDescent="0.25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x14ac:dyDescent="0.25">
      <c r="B8" s="116"/>
      <c r="C8" s="354" t="s">
        <v>272</v>
      </c>
      <c r="D8" s="671" t="s">
        <v>806</v>
      </c>
      <c r="E8" s="671" t="s">
        <v>46</v>
      </c>
      <c r="F8" s="671" t="s">
        <v>1490</v>
      </c>
      <c r="G8" s="671" t="s">
        <v>1491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1038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1491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1492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964" t="s">
        <v>1039</v>
      </c>
      <c r="BB8" s="964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1039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1039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1492</v>
      </c>
      <c r="BZ8" s="686"/>
      <c r="CB8" s="687"/>
      <c r="CC8" s="688" t="s">
        <v>272</v>
      </c>
      <c r="CD8" s="689" t="s">
        <v>805</v>
      </c>
      <c r="CE8" s="688" t="s">
        <v>974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974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1039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1">+AE9</f>
        <v>SEP-CAM1</v>
      </c>
      <c r="AJ9" s="12" t="s">
        <v>1493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936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935" t="str">
        <f t="array" ref="AU9:AU11">+PROCESS!N107:N109</f>
        <v>AUTO-GAS-CAM1</v>
      </c>
      <c r="AV9" s="716" t="str">
        <f>AR24</f>
        <v>FUEL-GAS-CAM1</v>
      </c>
      <c r="AW9" s="935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>+PROCESS!N134</f>
        <v>AUTO-COL-GAS-CAM1</v>
      </c>
      <c r="BE9" s="19" t="str">
        <f>AV9</f>
        <v>FUEL-GAS-CAM1</v>
      </c>
      <c r="BF9" s="19" t="str">
        <f>+COMM!D97</f>
        <v>ELC-COL-CAM1</v>
      </c>
      <c r="BG9" s="19">
        <f t="array" ref="BG9:BG11">+TRANSPOSE('5. Data'!U220:W220)</f>
        <v>0.35</v>
      </c>
      <c r="BH9" s="19"/>
      <c r="BI9" s="19" t="str">
        <f>BD9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tr">
        <f t="shared" ref="BT9:BT15" si="2">(AO9)</f>
        <v>DSL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3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1493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1493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4">100%-DE26</f>
        <v>0.99790440075840736</v>
      </c>
      <c r="DJ9" s="708"/>
      <c r="DL9" s="116"/>
      <c r="DM9" s="12" t="str">
        <f>PROCESS!N166</f>
        <v>COMPRA-ELC-CAM1</v>
      </c>
      <c r="DN9" s="12" t="str">
        <f>+'1. EXP_IMP'!$K$66</f>
        <v>ELC-SIN</v>
      </c>
      <c r="DO9" s="11" t="str">
        <f>+AW9</f>
        <v>ELC-CAM1</v>
      </c>
      <c r="DP9" s="292">
        <v>1</v>
      </c>
      <c r="DR9" s="12" t="str">
        <f>PROCESS!N174</f>
        <v>COMPRA-ELC-COLO-CAM1</v>
      </c>
      <c r="DS9" s="14" t="str">
        <f>+'1. EXP_IMP'!$K$66</f>
        <v>ELC-SIN</v>
      </c>
      <c r="DT9" s="11" t="str">
        <f>COMM!D105</f>
        <v>ELC-O-COL-CAM1</v>
      </c>
      <c r="DU9" s="292">
        <v>1</v>
      </c>
      <c r="DW9" s="12" t="str">
        <f>DW22</f>
        <v>COMPRA-ELC-COLG-CAM1</v>
      </c>
      <c r="DX9" s="14" t="str">
        <f>+'1. EXP_IMP'!$K$66</f>
        <v>ELC-SIN</v>
      </c>
      <c r="DY9" s="11" t="str">
        <f>COMM!D113</f>
        <v>ELC-G-COL-CAM1</v>
      </c>
      <c r="DZ9" s="292">
        <v>1</v>
      </c>
    </row>
    <row r="10" spans="1:130" x14ac:dyDescent="0.25">
      <c r="B10" s="116"/>
      <c r="C10" s="14" t="str">
        <v>MIN-CAM2</v>
      </c>
      <c r="D10" s="14" t="str">
        <v>R-CAM2</v>
      </c>
      <c r="E10" s="214" t="s">
        <v>897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1039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FTE-FUEL-DSL-CAM2</v>
      </c>
      <c r="AO10" s="936" t="s">
        <v>14</v>
      </c>
      <c r="AP10" s="228"/>
      <c r="AQ10" s="228" t="str">
        <f t="shared" ref="AQ10:AQ23" si="5">AN10</f>
        <v>FTE-FUEL-DSL-CAM2</v>
      </c>
      <c r="AR10" s="12" t="str">
        <v>FUEL-DSL-CAM2</v>
      </c>
      <c r="AS10" s="228">
        <v>1</v>
      </c>
      <c r="AT10" s="19"/>
      <c r="AU10" s="935" t="str">
        <v>AUTO-OIL-CAM1</v>
      </c>
      <c r="AV10" t="str">
        <f>AR16</f>
        <v>FUEL-OIL-CAM1</v>
      </c>
      <c r="AW10" s="935" t="str">
        <f t="shared" ref="AW10:AW11" si="6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f>+PROCESS!N135</f>
        <v>AUTO-COL-OIL-CAM1</v>
      </c>
      <c r="BE10" s="19" t="str">
        <f t="shared" ref="BE10:BE14" si="7">AV10</f>
        <v>FUEL-OIL-CAM1</v>
      </c>
      <c r="BF10" s="19" t="str">
        <f>+BF9</f>
        <v>ELC-COL-CAM1</v>
      </c>
      <c r="BG10" s="19">
        <v>0.35</v>
      </c>
      <c r="BH10" s="19"/>
      <c r="BI10" s="19" t="str">
        <f t="shared" ref="BI10:BI29" si="8">BD10</f>
        <v>AUTO-COL-OIL-CAM1</v>
      </c>
      <c r="BJ10" s="401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107.23543684510712</v>
      </c>
      <c r="BS10" t="str">
        <v>PLT-CAM2</v>
      </c>
      <c r="BT10" s="11" t="str">
        <f t="shared" si="2"/>
        <v>DSL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966" t="str">
        <f>DT10</f>
        <v>ELC-O-COL-CAM2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3"/>
        <v>HOIL</v>
      </c>
      <c r="CI10" s="698">
        <f>1/(1+'5. Data'!Y185)</f>
        <v>0.99789444272584837</v>
      </c>
      <c r="CJ10" s="309"/>
      <c r="CL10" s="966" t="str">
        <f>BF12</f>
        <v>ELC-COL-CAM2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1494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f>PROCESS!N168</f>
        <v>COMPRA-ELC-CAM2</v>
      </c>
      <c r="DN10" s="12" t="str">
        <f>+'1. EXP_IMP'!$K$66</f>
        <v>ELC-SIN</v>
      </c>
      <c r="DO10" s="12" t="str">
        <f>COMM!D64</f>
        <v>ELC-CAM2</v>
      </c>
      <c r="DP10" s="292">
        <v>1</v>
      </c>
      <c r="DR10" s="12" t="str">
        <f>PROCESS!N176</f>
        <v>COMPRA-ELC-COLO-CAM2</v>
      </c>
      <c r="DS10" s="14" t="str">
        <f>+'1. EXP_IMP'!$K$66</f>
        <v>ELC-SIN</v>
      </c>
      <c r="DT10" s="11" t="str">
        <f>COMM!D107</f>
        <v>ELC-O-COL-CAM2</v>
      </c>
      <c r="DU10" s="292">
        <v>1</v>
      </c>
      <c r="DW10" s="12" t="str">
        <f t="shared" ref="DW10:DW15" si="9">DW23</f>
        <v>COMPRA-ELC-COLG-CAM2</v>
      </c>
      <c r="DX10" s="14" t="str">
        <f>+'1. EXP_IMP'!$K$66</f>
        <v>ELC-SIN</v>
      </c>
      <c r="DY10" s="11" t="str">
        <f>COMM!D115</f>
        <v>ELC-G-COL-CAM2</v>
      </c>
      <c r="DZ10" s="292">
        <v>1</v>
      </c>
    </row>
    <row r="11" spans="1:130" x14ac:dyDescent="0.25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1039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FTE-FUEL-DSL-CAM3</v>
      </c>
      <c r="AO11" s="936" t="s">
        <v>14</v>
      </c>
      <c r="AP11" s="228"/>
      <c r="AQ11" s="228" t="str">
        <f t="shared" si="5"/>
        <v>FTE-FUEL-DSL-CAM3</v>
      </c>
      <c r="AR11" s="12" t="str">
        <v>FUEL-DSL-CAM3</v>
      </c>
      <c r="AS11" s="228">
        <v>1</v>
      </c>
      <c r="AT11" s="19"/>
      <c r="AU11" s="935" t="str">
        <v>AUTO-DSL-CAM1</v>
      </c>
      <c r="AV11" t="str">
        <f>AR9</f>
        <v>FUEL-DSL-CAM1</v>
      </c>
      <c r="AW11" s="935" t="str">
        <f t="shared" si="6"/>
        <v>ELC-CAM1</v>
      </c>
      <c r="AX11" s="322">
        <v>0.35</v>
      </c>
      <c r="AY11" s="370"/>
      <c r="AZ11" s="19" t="str">
        <v>AUTO-DSL-CAM1</v>
      </c>
      <c r="BA11" s="962">
        <v>0</v>
      </c>
      <c r="BB11" s="19" t="s">
        <v>897</v>
      </c>
      <c r="BC11" s="19"/>
      <c r="BD11" s="19" t="str">
        <f>+PROCESS!N136</f>
        <v>AUTO-COL-DSL-CAM1</v>
      </c>
      <c r="BE11" s="19" t="str">
        <f t="shared" si="7"/>
        <v>FUEL-DSL-CAM1</v>
      </c>
      <c r="BF11" s="19" t="str">
        <f>+BF9</f>
        <v>ELC-COL-CAM1</v>
      </c>
      <c r="BG11" s="19">
        <v>0.35</v>
      </c>
      <c r="BH11" s="19"/>
      <c r="BI11" s="19" t="str">
        <f t="shared" si="8"/>
        <v>AUTO-COL-DSL-CAM1</v>
      </c>
      <c r="BJ11" s="401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tr">
        <f t="shared" si="2"/>
        <v>DSL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0.79566503548561762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3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4"/>
        <v>0.99790440075840736</v>
      </c>
      <c r="DJ11" s="708"/>
      <c r="DL11" s="116"/>
      <c r="DM11" s="12" t="str">
        <f>PROCESS!N169</f>
        <v>COMPRA-ELC-CAM3</v>
      </c>
      <c r="DN11" s="12" t="str">
        <f>+'1. EXP_IMP'!$K$66</f>
        <v>ELC-SIN</v>
      </c>
      <c r="DO11" s="12" t="str">
        <f>COMM!D65</f>
        <v>ELC-CAM3</v>
      </c>
      <c r="DP11" s="292">
        <v>1</v>
      </c>
      <c r="DR11" s="12" t="str">
        <f>PROCESS!N177</f>
        <v>COMPRA-ELC-COLO-CAM3</v>
      </c>
      <c r="DS11" s="14" t="str">
        <f>+'1. EXP_IMP'!$K$66</f>
        <v>ELC-SIN</v>
      </c>
      <c r="DT11" s="11" t="str">
        <f>COMM!D108</f>
        <v>ELC-O-COL-CAM3</v>
      </c>
      <c r="DU11" s="292">
        <v>1</v>
      </c>
      <c r="DW11" s="12" t="str">
        <f t="shared" si="9"/>
        <v>COMPRA-ELC-COLG-CAM3</v>
      </c>
      <c r="DX11" s="14" t="str">
        <f>+'1. EXP_IMP'!$K$66</f>
        <v>ELC-SIN</v>
      </c>
      <c r="DY11" s="11" t="str">
        <f>COMM!D116</f>
        <v>ELC-G-COL-CAM3</v>
      </c>
      <c r="DZ11" s="292">
        <v>1</v>
      </c>
    </row>
    <row r="12" spans="1:130" x14ac:dyDescent="0.25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1039</v>
      </c>
      <c r="N12" s="214">
        <v>2025</v>
      </c>
      <c r="O12" s="287">
        <v>38.921861734744084</v>
      </c>
      <c r="Q12" s="18"/>
      <c r="R12" s="18" t="str">
        <f>+DO10</f>
        <v>ELC-CAM2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936" t="s">
        <v>14</v>
      </c>
      <c r="AP12" s="228"/>
      <c r="AQ12" s="228" t="str">
        <f t="shared" si="5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961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>+PROCESS!N140</f>
        <v>AUTO-COL-GAS-CAM2</v>
      </c>
      <c r="BE12" s="19" t="str">
        <f t="shared" si="7"/>
        <v>FUEL-GAS-CAM2</v>
      </c>
      <c r="BF12" s="19" t="str">
        <f>+COMM!D99</f>
        <v>ELC-COL-CAM2</v>
      </c>
      <c r="BG12" s="841" cm="1">
        <f t="array" ref="BG12:BG14">+TRANSPOSE('5. Data'!U221:W221)</f>
        <v>0.35</v>
      </c>
      <c r="BH12" s="19"/>
      <c r="BI12" s="19" t="str">
        <f t="shared" si="8"/>
        <v>AUTO-COL-GAS-CAM2</v>
      </c>
      <c r="BJ12" s="965" cm="1">
        <f t="array" ref="BJ12:BJ14">TRANSPOSE('5. Data'!Z221:AB221)</f>
        <v>8.5591327795199984E-2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tr">
        <f t="shared" si="2"/>
        <v>DSL</v>
      </c>
      <c r="BU12" s="228">
        <v>1</v>
      </c>
      <c r="BW12" s="228"/>
      <c r="BX12" s="228" t="s">
        <v>22</v>
      </c>
      <c r="BY12" s="295">
        <f>+'5. Data'!R157</f>
        <v>0.20433496451438232</v>
      </c>
      <c r="BZ12" s="704"/>
      <c r="CB12" s="705"/>
      <c r="CD12" s="966" t="str">
        <f>DT11</f>
        <v>ELC-O-COL-CAM3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3"/>
        <v>MOIL</v>
      </c>
      <c r="CI12" s="698">
        <f>1/(1+'5. Data'!Y187)</f>
        <v>0.99789444272584837</v>
      </c>
      <c r="CJ12" s="309"/>
      <c r="CL12" s="966" t="str">
        <f>BF15</f>
        <v>ELC-COL-CAM3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4"/>
        <v>0.99790440075840736</v>
      </c>
      <c r="DJ12" s="708"/>
      <c r="DL12" s="116"/>
      <c r="DM12" s="12" t="str">
        <f>PROCESS!N170</f>
        <v>COMPRA-ELC-CAM4</v>
      </c>
      <c r="DN12" s="12" t="str">
        <f>+'1. EXP_IMP'!$K$66</f>
        <v>ELC-SIN</v>
      </c>
      <c r="DO12" s="11" t="str">
        <f>+AW19</f>
        <v>ELC-CAM4</v>
      </c>
      <c r="DP12" s="292">
        <v>1</v>
      </c>
      <c r="DR12" s="12" t="str">
        <f>PROCESS!N178</f>
        <v>COMPRA-ELC-COLO-CAM4</v>
      </c>
      <c r="DS12" s="14" t="str">
        <f>+'1. EXP_IMP'!$K$66</f>
        <v>ELC-SIN</v>
      </c>
      <c r="DT12" s="11" t="str">
        <f>COMM!D109</f>
        <v>ELC-O-COL-CAM4</v>
      </c>
      <c r="DU12" s="292">
        <v>1</v>
      </c>
      <c r="DW12" s="12" t="str">
        <f t="shared" si="9"/>
        <v>COMPRA-ELC-COLG-CAM4</v>
      </c>
      <c r="DX12" s="14" t="str">
        <f>+'1. EXP_IMP'!$K$66</f>
        <v>ELC-SIN</v>
      </c>
      <c r="DY12" s="11" t="str">
        <f>COMM!D117</f>
        <v>ELC-G-COL-CAM4</v>
      </c>
      <c r="DZ12" s="292">
        <v>1</v>
      </c>
    </row>
    <row r="13" spans="1:130" x14ac:dyDescent="0.25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1039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936" t="s">
        <v>14</v>
      </c>
      <c r="AP13" s="228"/>
      <c r="AQ13" s="228" t="str">
        <f t="shared" si="5"/>
        <v>FTE-FUEL-DSL-CAM5</v>
      </c>
      <c r="AR13" s="12" t="str">
        <v>FUEL-DSL-CAM5</v>
      </c>
      <c r="AS13" s="228">
        <v>1</v>
      </c>
      <c r="AT13" s="19"/>
      <c r="AU13" s="916" t="str">
        <f>PROCESS!N115</f>
        <v>AUTO-OIL-CAM2</v>
      </c>
      <c r="AV13" t="str">
        <f>AR17</f>
        <v>FUEL-OIL-CAM2</v>
      </c>
      <c r="AW13" s="916" t="str">
        <f>COMM!$D$64</f>
        <v>ELC-CAM2</v>
      </c>
      <c r="AX13" s="961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f>+PROCESS!N141</f>
        <v>AUTO-COL-OIL-CAM2</v>
      </c>
      <c r="BE13" s="19" t="str">
        <f t="shared" si="7"/>
        <v>FUEL-OIL-CAM2</v>
      </c>
      <c r="BF13" s="900" t="str">
        <f>BF12</f>
        <v>ELC-COL-CAM2</v>
      </c>
      <c r="BG13" s="841">
        <v>0.35</v>
      </c>
      <c r="BH13" s="19"/>
      <c r="BI13" s="19" t="str">
        <f t="shared" si="8"/>
        <v>AUTO-COL-OIL-CAM2</v>
      </c>
      <c r="BJ13" s="965">
        <v>0.34236531118079994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tr">
        <f t="shared" si="2"/>
        <v>DSL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3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4"/>
        <v>0.99790440075840736</v>
      </c>
      <c r="DJ13" s="708"/>
      <c r="DL13" s="116"/>
      <c r="DM13" s="12" t="str">
        <f>PROCESS!N171</f>
        <v>COMPRA-ELC-CAM5</v>
      </c>
      <c r="DN13" s="12" t="str">
        <f>+'1. EXP_IMP'!$K$66</f>
        <v>ELC-SIN</v>
      </c>
      <c r="DO13" s="11" t="str">
        <f>+AW22</f>
        <v>ELC-CAM5</v>
      </c>
      <c r="DP13" s="292">
        <v>1</v>
      </c>
      <c r="DR13" s="12" t="str">
        <f>PROCESS!N179</f>
        <v>COMPRA-ELC-COLO-CAM5</v>
      </c>
      <c r="DS13" s="14" t="str">
        <f>+'1. EXP_IMP'!$K$66</f>
        <v>ELC-SIN</v>
      </c>
      <c r="DT13" s="11" t="str">
        <f>COMM!D110</f>
        <v>ELC-O-COL-CAM5</v>
      </c>
      <c r="DU13" s="292">
        <v>1</v>
      </c>
      <c r="DW13" s="12" t="str">
        <f t="shared" si="9"/>
        <v>COMPRA-ELC-COLG-CAM5</v>
      </c>
      <c r="DX13" s="14" t="str">
        <f>+'1. EXP_IMP'!$K$66</f>
        <v>ELC-SIN</v>
      </c>
      <c r="DY13" s="11" t="str">
        <f>COMM!D118</f>
        <v>ELC-G-COL-CAM5</v>
      </c>
      <c r="DZ13" s="292">
        <v>1</v>
      </c>
    </row>
    <row r="14" spans="1:130" x14ac:dyDescent="0.25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1039</v>
      </c>
      <c r="N14" s="214">
        <v>2030</v>
      </c>
      <c r="O14" s="287">
        <v>20.101904077407454</v>
      </c>
      <c r="Q14" s="18"/>
      <c r="R14" s="18" t="str">
        <f>COMM!D65</f>
        <v>ELC-CAM3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936" t="s">
        <v>14</v>
      </c>
      <c r="AP14" s="228"/>
      <c r="AQ14" s="228" t="str">
        <f t="shared" si="5"/>
        <v>FTE-FUEL-DSL-CAM6</v>
      </c>
      <c r="AR14" s="12" t="str">
        <v>FUEL-DSL-CAM6</v>
      </c>
      <c r="AS14" s="228">
        <v>1</v>
      </c>
      <c r="AT14" s="309"/>
      <c r="AU14" s="916" t="str">
        <f>PROCESS!N116</f>
        <v>AUTO-DSL-CAM2</v>
      </c>
      <c r="AV14" t="str">
        <f>AR10</f>
        <v>FUEL-DSL-CAM2</v>
      </c>
      <c r="AW14" s="916" t="str">
        <f>COMM!$D$64</f>
        <v>ELC-CAM2</v>
      </c>
      <c r="AX14" s="961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f>+PROCESS!N142</f>
        <v>AUTO-COL-DSL-CAM2</v>
      </c>
      <c r="BE14" s="19" t="str">
        <f t="shared" si="7"/>
        <v>FUEL-DSL-CAM2</v>
      </c>
      <c r="BF14" s="19" t="str">
        <f>BF13</f>
        <v>ELC-COL-CAM2</v>
      </c>
      <c r="BG14" s="841">
        <v>0.35</v>
      </c>
      <c r="BH14" s="19"/>
      <c r="BI14" s="19" t="str">
        <f t="shared" si="8"/>
        <v>AUTO-COL-DSL-CAM2</v>
      </c>
      <c r="BJ14" s="965">
        <v>0.32096747923199992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tr">
        <f t="shared" si="2"/>
        <v>DSL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DT12</f>
        <v>ELC-O-COL-CAM4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BF18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4"/>
        <v>0.99790440075840736</v>
      </c>
      <c r="DJ14" s="708"/>
      <c r="DL14" s="116"/>
      <c r="DM14" s="12" t="str">
        <f>PROCESS!N172</f>
        <v>COMPRA-ELC-CAM6</v>
      </c>
      <c r="DN14" s="12" t="str">
        <f>+'1. EXP_IMP'!$K$66</f>
        <v>ELC-SIN</v>
      </c>
      <c r="DO14" s="11" t="str">
        <f>+AW25</f>
        <v>ELC-CAM6</v>
      </c>
      <c r="DP14" s="292">
        <v>1</v>
      </c>
      <c r="DR14" s="12" t="str">
        <f>PROCESS!N180</f>
        <v>COMPRA-ELC-COLO-CAM6</v>
      </c>
      <c r="DS14" s="14" t="str">
        <f>+'1. EXP_IMP'!$K$66</f>
        <v>ELC-SIN</v>
      </c>
      <c r="DT14" s="11" t="str">
        <f>COMM!D111</f>
        <v>ELC-O-COL-CAM6</v>
      </c>
      <c r="DU14" s="292">
        <v>1</v>
      </c>
      <c r="DW14" s="12" t="str">
        <f t="shared" si="9"/>
        <v>COMPRA-ELC-COLG-CAM6</v>
      </c>
      <c r="DX14" s="14" t="str">
        <f>+'1. EXP_IMP'!$K$66</f>
        <v>ELC-SIN</v>
      </c>
      <c r="DY14" s="11" t="str">
        <f>COMM!D119</f>
        <v>ELC-G-COL-CAM6</v>
      </c>
      <c r="DZ14" s="292">
        <v>1</v>
      </c>
    </row>
    <row r="15" spans="1:130" x14ac:dyDescent="0.25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1039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936" t="s">
        <v>14</v>
      </c>
      <c r="AP15" s="228"/>
      <c r="AQ15" s="228" t="str">
        <f t="shared" si="5"/>
        <v>FTE-FUEL-DSL-CAM7</v>
      </c>
      <c r="AR15" s="12" t="str">
        <v>FUEL-DSL-CAM7</v>
      </c>
      <c r="AS15" s="228">
        <v>1</v>
      </c>
      <c r="AT15" s="19"/>
      <c r="AU15" s="916" t="str">
        <f>PROCESS!N117</f>
        <v>AUTO-LPG-CAM2</v>
      </c>
      <c r="AV15" t="str">
        <f>AR23</f>
        <v>FUEL-LPG-CAM2</v>
      </c>
      <c r="AW15" s="916" t="str">
        <f>COMM!$D$64</f>
        <v>ELC-CAM2</v>
      </c>
      <c r="AX15" s="961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f>+PROCESS!N143</f>
        <v>AUTO-COL-GAS-CAM3</v>
      </c>
      <c r="BE15" s="19" t="str">
        <f t="shared" ref="BE15:BE29" si="10">AV16</f>
        <v>FUEL-GAS-CAM3</v>
      </c>
      <c r="BF15" s="19" t="str">
        <f>+COMM!D100</f>
        <v>ELC-COL-CAM3</v>
      </c>
      <c r="BG15" s="841" cm="1">
        <f t="array" ref="BG15:BG17">+TRANSPOSE('5. Data'!U222:W222)</f>
        <v>0.35</v>
      </c>
      <c r="BH15" s="19"/>
      <c r="BI15" s="19" t="str">
        <f t="shared" si="8"/>
        <v>AUTO-COL-GAS-CAM3</v>
      </c>
      <c r="BJ15" s="965" cm="1">
        <f t="array" ref="BJ15:BJ17">TRANSPOSE('5. Data'!Z222:AB222)</f>
        <v>0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tr">
        <f t="shared" si="2"/>
        <v>DSL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4"/>
        <v>0.99790440075840736</v>
      </c>
      <c r="DJ15" s="655"/>
      <c r="DL15" s="116"/>
      <c r="DM15" s="12" t="str">
        <f>PROCESS!N173</f>
        <v>COMPRA-ELC-CAM7</v>
      </c>
      <c r="DN15" s="12" t="str">
        <f>+'1. EXP_IMP'!$K$66</f>
        <v>ELC-SIN</v>
      </c>
      <c r="DO15" s="11" t="str">
        <f>+AW28</f>
        <v>ELC-CAM7</v>
      </c>
      <c r="DP15" s="292">
        <v>1</v>
      </c>
      <c r="DR15" s="12" t="str">
        <f>PROCESS!N181</f>
        <v>COMPRA-ELC-COLO-CAM7</v>
      </c>
      <c r="DS15" s="934" t="str">
        <f>+'1. EXP_IMP'!$K$66</f>
        <v>ELC-SIN</v>
      </c>
      <c r="DT15" s="11" t="str">
        <f>COMM!D112</f>
        <v>ELC-O-COL-CAM7</v>
      </c>
      <c r="DU15" s="292">
        <v>1</v>
      </c>
      <c r="DW15" s="12" t="str">
        <f t="shared" si="9"/>
        <v>COMPRA-ELC-COLG-CAM7</v>
      </c>
      <c r="DX15" s="934" t="str">
        <f>+'1. EXP_IMP'!$K$66</f>
        <v>ELC-SIN</v>
      </c>
      <c r="DY15" s="11" t="str">
        <f>COMM!D120</f>
        <v>ELC-G-COL-CAM7</v>
      </c>
      <c r="DZ15" s="292">
        <v>1</v>
      </c>
    </row>
    <row r="16" spans="1:130" x14ac:dyDescent="0.25">
      <c r="B16" s="116"/>
      <c r="I16" s="655"/>
      <c r="K16" s="116"/>
      <c r="L16" s="214"/>
      <c r="M16" s="214" t="s">
        <v>1039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936" t="s">
        <v>13</v>
      </c>
      <c r="AP16" s="228"/>
      <c r="AQ16" s="228" t="str">
        <f t="shared" si="5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s="9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961" cm="1">
        <f t="array" ref="AX16:AX18">TRANSPOSE('5. Data'!U210:W210)</f>
        <v>0.35</v>
      </c>
      <c r="AY16" s="370"/>
      <c r="AZ16" s="19" t="str">
        <v>AUTO-GAS-CAM3</v>
      </c>
      <c r="BA16" s="963"/>
      <c r="BB16" s="19" t="s">
        <v>897</v>
      </c>
      <c r="BC16" s="19"/>
      <c r="BD16" s="19" t="str">
        <f>+PROCESS!N144</f>
        <v>AUTO-COL-OIL-CAM3</v>
      </c>
      <c r="BE16" s="19" t="str">
        <f t="shared" si="10"/>
        <v>FUEL-OIL-CAM3</v>
      </c>
      <c r="BF16" s="900" t="str">
        <f>BF15</f>
        <v>ELC-COL-CAM3</v>
      </c>
      <c r="BG16" s="841">
        <v>0.35</v>
      </c>
      <c r="BH16" s="19"/>
      <c r="BI16" s="19" t="str">
        <f t="shared" si="8"/>
        <v>AUTO-COL-OIL-CAM3</v>
      </c>
      <c r="BJ16" s="965">
        <v>0.34236531118079994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DT13</f>
        <v>ELC-O-COL-CAM5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BF21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x14ac:dyDescent="0.25">
      <c r="B17" s="116"/>
      <c r="F17" s="231"/>
      <c r="I17" s="655"/>
      <c r="K17" s="116"/>
      <c r="L17" s="214"/>
      <c r="M17" s="214" t="s">
        <v>1039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5"/>
        <v>FTE-FUEL-OIL-CAM2</v>
      </c>
      <c r="AR17" t="str">
        <v>FUEL-OIL-CAM2</v>
      </c>
      <c r="AS17" s="228">
        <v>1</v>
      </c>
      <c r="AT17" s="19"/>
      <c r="AU17" s="916" t="str">
        <f>PROCESS!N119</f>
        <v>AUTO-OIL-CAM3</v>
      </c>
      <c r="AV17" t="str">
        <f>AR18</f>
        <v>FUEL-OIL-CAM3</v>
      </c>
      <c r="AW17" s="916" t="str">
        <f>COMM!$D$65</f>
        <v>ELC-CAM3</v>
      </c>
      <c r="AX17" s="961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f>+PROCESS!N145</f>
        <v>AUTO-COL-DSL-CAM3</v>
      </c>
      <c r="BE17" s="19" t="str">
        <f t="shared" si="10"/>
        <v>FUEL-DSL-CAM3</v>
      </c>
      <c r="BF17" s="900" t="str">
        <f>BF16</f>
        <v>ELC-COL-CAM3</v>
      </c>
      <c r="BG17" s="841">
        <v>0.35</v>
      </c>
      <c r="BH17" s="19"/>
      <c r="BI17" s="19" t="str">
        <f t="shared" si="8"/>
        <v>AUTO-COL-DSL-CAM3</v>
      </c>
      <c r="BJ17" s="965">
        <v>0.32096747923199992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  <c r="DY17" s="11"/>
    </row>
    <row r="18" spans="2:129" x14ac:dyDescent="0.25">
      <c r="B18" s="116"/>
      <c r="I18" s="655"/>
      <c r="K18" s="116"/>
      <c r="L18" s="214"/>
      <c r="M18" s="214" t="s">
        <v>1039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5"/>
        <v>FTE-FUEL-OIL-CAM3</v>
      </c>
      <c r="AR18" t="str">
        <v>FUEL-OIL-CAM3</v>
      </c>
      <c r="AS18" s="228">
        <v>1</v>
      </c>
      <c r="AT18" s="19"/>
      <c r="AU18" s="916" t="str">
        <f>PROCESS!N120</f>
        <v>AUTO-DSL-CAM3</v>
      </c>
      <c r="AV18" t="str">
        <f>AR11</f>
        <v>FUEL-DSL-CAM3</v>
      </c>
      <c r="AW18" s="916" t="str">
        <f>COMM!$D$65</f>
        <v>ELC-CAM3</v>
      </c>
      <c r="AX18" s="961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f>+PROCESS!N146</f>
        <v>AUTO-COL-GAS-CAM4</v>
      </c>
      <c r="BE18" s="19" t="str">
        <f t="shared" si="10"/>
        <v>FUEL-GAS-CAM4</v>
      </c>
      <c r="BF18" s="19" t="str">
        <f>+COMM!D101</f>
        <v>ELC-COL-CAM4</v>
      </c>
      <c r="BG18" s="19">
        <f t="array" ref="BG18:BG20">+TRANSPOSE('5. Data'!U223:W223)</f>
        <v>0.35</v>
      </c>
      <c r="BH18" s="19"/>
      <c r="BI18" s="19" t="str">
        <f t="shared" si="8"/>
        <v>AUTO-COL-GAS-CAM4</v>
      </c>
      <c r="BJ18" s="401">
        <f t="array" ref="BJ18:BJ20">+TRANSPOSE('5. Data'!Z223:AB223)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DT14</f>
        <v>ELC-O-COL-CAM6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BF24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x14ac:dyDescent="0.25">
      <c r="B19" s="116"/>
      <c r="I19" s="655"/>
      <c r="K19" s="116"/>
      <c r="L19" s="214"/>
      <c r="M19" s="214" t="s">
        <v>1039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1495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5"/>
        <v>FTE-FUEL-OIL-CAM4</v>
      </c>
      <c r="AR19" t="str">
        <v>FUEL-OIL-CAM4</v>
      </c>
      <c r="AS19" s="228">
        <v>1</v>
      </c>
      <c r="AT19" s="19"/>
      <c r="AU19" s="935" t="str">
        <f t="array" ref="AU19:AU30">+PROCESS!N122:N133</f>
        <v>AUTO-GAS-CAM4</v>
      </c>
      <c r="AV19" s="716" t="str">
        <f>AR27</f>
        <v>FUEL-GAS-CAM4</v>
      </c>
      <c r="AW19" s="935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f>+PROCESS!N147</f>
        <v>AUTO-COL-OIL-CAM4</v>
      </c>
      <c r="BE19" s="19" t="str">
        <f t="shared" si="10"/>
        <v>FUEL-OIL-CAM4</v>
      </c>
      <c r="BF19" s="19" t="str">
        <f t="shared" ref="BF19:BF20" si="11">+BF18</f>
        <v>ELC-COL-CAM4</v>
      </c>
      <c r="BG19" s="19">
        <v>0.35</v>
      </c>
      <c r="BH19" s="19"/>
      <c r="BI19" s="19" t="str">
        <f t="shared" si="8"/>
        <v>AUTO-COL-OIL-CAM4</v>
      </c>
      <c r="BJ19" s="401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x14ac:dyDescent="0.25">
      <c r="B20" s="116"/>
      <c r="I20" s="655"/>
      <c r="K20" s="116"/>
      <c r="L20" s="214"/>
      <c r="M20" s="214" t="s">
        <v>1039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5"/>
        <v>FTE-FUEL-OIL-CAM5</v>
      </c>
      <c r="AR20" t="str">
        <v>FUEL-OIL-CAM5</v>
      </c>
      <c r="AS20" s="228">
        <v>1</v>
      </c>
      <c r="AT20" s="1"/>
      <c r="AU20" s="935" t="str">
        <v>AUTO-OIL-CAM4</v>
      </c>
      <c r="AV20" s="716" t="str">
        <f>AR19</f>
        <v>FUEL-OIL-CAM4</v>
      </c>
      <c r="AW20" s="935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f>+PROCESS!N148</f>
        <v>AUTO-COL-DSL-CAM4</v>
      </c>
      <c r="BE20" s="19" t="str">
        <f t="shared" si="10"/>
        <v>FUEL-DSL-CAM4</v>
      </c>
      <c r="BF20" s="19" t="str">
        <f t="shared" si="11"/>
        <v>ELC-COL-CAM4</v>
      </c>
      <c r="BG20" s="19">
        <v>0.35</v>
      </c>
      <c r="BH20" s="19"/>
      <c r="BI20" s="19" t="str">
        <f t="shared" si="8"/>
        <v>AUTO-COL-DSL-CAM4</v>
      </c>
      <c r="BJ20" s="401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25">
      <c r="B21" s="116"/>
      <c r="I21" s="655"/>
      <c r="K21" s="116"/>
      <c r="L21" s="214"/>
      <c r="M21" s="214" t="s">
        <v>1039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5"/>
        <v>FTE-FUEL-OIL-CAM6</v>
      </c>
      <c r="AR21" t="str">
        <v>FUEL-OIL-CAM6</v>
      </c>
      <c r="AS21" s="228">
        <v>1</v>
      </c>
      <c r="AT21" s="1"/>
      <c r="AU21" s="935" t="str">
        <v>AUTO-DSL-CAM4</v>
      </c>
      <c r="AV21" s="344" t="str">
        <f>AR12</f>
        <v>FUEL-DSL-CAM4</v>
      </c>
      <c r="AW21" s="935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f>+PROCESS!N149</f>
        <v>AUTO-COL-GAS-CAM5</v>
      </c>
      <c r="BE21" s="19" t="str">
        <f t="shared" si="10"/>
        <v>FUEL-GAS-CAM5</v>
      </c>
      <c r="BF21" s="19" t="str">
        <f>+COMM!D102</f>
        <v>ELC-COL-CAM5</v>
      </c>
      <c r="BG21" s="19">
        <f t="array" ref="BG21:BG23">+TRANSPOSE('5. Data'!U224:W224)</f>
        <v>0.35</v>
      </c>
      <c r="BH21" s="19"/>
      <c r="BI21" s="19" t="str">
        <f t="shared" si="8"/>
        <v>AUTO-COL-GAS-CAM5</v>
      </c>
      <c r="BJ21" s="401">
        <f t="array" ref="BJ21:BJ23">+TRANSPOSE('5. Data'!Z224:AB224)</f>
        <v>2.8530442598399999E-2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978</v>
      </c>
      <c r="DR21" s="337" t="s">
        <v>272</v>
      </c>
      <c r="DS21" s="337" t="s">
        <v>806</v>
      </c>
      <c r="DT21" s="337" t="s">
        <v>978</v>
      </c>
      <c r="DW21" s="337" t="s">
        <v>272</v>
      </c>
      <c r="DX21" s="337" t="s">
        <v>806</v>
      </c>
      <c r="DY21" s="337" t="s">
        <v>978</v>
      </c>
    </row>
    <row r="22" spans="2:129" ht="15.75" customHeight="1" x14ac:dyDescent="0.25">
      <c r="B22" s="116"/>
      <c r="I22" s="655"/>
      <c r="K22" s="116"/>
      <c r="L22" s="214"/>
      <c r="M22" s="214" t="s">
        <v>1039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5"/>
        <v>FTE-FUEL-OIL-CAM7</v>
      </c>
      <c r="AR22" t="str">
        <v>FUEL-OIL-CAM7</v>
      </c>
      <c r="AS22" s="228">
        <v>1</v>
      </c>
      <c r="AT22" s="1"/>
      <c r="AU22" s="935" t="str">
        <v>AUTO-GAS-CAM5</v>
      </c>
      <c r="AV22" s="716" t="str">
        <f>AR28</f>
        <v>FUEL-GAS-CAM5</v>
      </c>
      <c r="AW22" s="935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f>+PROCESS!N150</f>
        <v>AUTO-COL-OIL-CAM5</v>
      </c>
      <c r="BE22" s="19" t="str">
        <f t="shared" si="10"/>
        <v>FUEL-OIL-CAM5</v>
      </c>
      <c r="BF22" s="19" t="str">
        <f t="shared" ref="BF22:BF23" si="12">+BF21</f>
        <v>ELC-COL-CAM5</v>
      </c>
      <c r="BG22" s="19">
        <v>0.35</v>
      </c>
      <c r="BH22" s="19"/>
      <c r="BI22" s="19" t="str">
        <f t="shared" si="8"/>
        <v>AUTO-COL-OIL-CAM5</v>
      </c>
      <c r="BJ22" s="401">
        <v>0.1141217703936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1496</v>
      </c>
      <c r="DO22" s="222">
        <f>+'3. Scope3'!$G$19</f>
        <v>46.111111111111114</v>
      </c>
      <c r="DR22" s="12" t="str">
        <f>DR9</f>
        <v>COMPRA-ELC-COLO-CAM1</v>
      </c>
      <c r="DS22" s="12" t="str">
        <f>DN22</f>
        <v>CO2e-CAM1</v>
      </c>
      <c r="DT22" s="222">
        <f>+'3. Scope3'!$G$19</f>
        <v>46.111111111111114</v>
      </c>
      <c r="DW22" s="12" t="str">
        <f>PROCESS!N158</f>
        <v>COMPRA-ELC-COLG-CAM1</v>
      </c>
      <c r="DX22" s="12" t="str">
        <f>DS22</f>
        <v>CO2e-CAM1</v>
      </c>
      <c r="DY22" s="222">
        <f>+'3. Scope3'!$G$19</f>
        <v>46.111111111111114</v>
      </c>
    </row>
    <row r="23" spans="2:129" ht="15.75" customHeight="1" x14ac:dyDescent="0.25">
      <c r="B23" s="116"/>
      <c r="I23" s="655"/>
      <c r="K23" s="116"/>
      <c r="L23" s="214" t="str">
        <f>+PROCESS!N25</f>
        <v>PROF-CAM2</v>
      </c>
      <c r="M23" s="214" t="s">
        <v>1039</v>
      </c>
      <c r="N23" s="214">
        <v>2019</v>
      </c>
      <c r="O23" s="287">
        <f t="array" ref="O23:O36">+TRANSPOSE('5. Data'!AI100:AV100)</f>
        <v>363.68563536317856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936" t="s">
        <v>22</v>
      </c>
      <c r="AP23" s="228"/>
      <c r="AQ23" s="228" t="str">
        <f t="shared" si="5"/>
        <v>FTE-FUEL-LPG-CAM2</v>
      </c>
      <c r="AR23" s="12" t="str">
        <f>COMM!D94</f>
        <v>FUEL-LPG-CAM2</v>
      </c>
      <c r="AS23" s="228">
        <v>1</v>
      </c>
      <c r="AT23" s="1"/>
      <c r="AU23" s="935" t="str">
        <v>AUTO-OIL-CAM5</v>
      </c>
      <c r="AV23" s="344" t="str">
        <f>AR20</f>
        <v>FUEL-OIL-CAM5</v>
      </c>
      <c r="AW23" s="935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f>+PROCESS!N151</f>
        <v>AUTO-COL-DSL-CAM5</v>
      </c>
      <c r="BE23" s="19" t="str">
        <f t="shared" si="10"/>
        <v>FUEL-DSL-CAM5</v>
      </c>
      <c r="BF23" s="19" t="str">
        <f t="shared" si="12"/>
        <v>ELC-COL-CAM5</v>
      </c>
      <c r="BG23" s="19">
        <v>0.35</v>
      </c>
      <c r="BH23" s="19"/>
      <c r="BI23" s="19" t="str">
        <f t="shared" si="8"/>
        <v>AUTO-COL-DSL-CAM5</v>
      </c>
      <c r="BJ23" s="401">
        <v>0.21397831948799997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1491</v>
      </c>
      <c r="CR23" s="305"/>
      <c r="CT23" s="116"/>
      <c r="DB23" s="1"/>
      <c r="DJ23" s="655"/>
      <c r="DL23" s="116"/>
      <c r="DM23" s="12" t="str">
        <f t="shared" ref="DM23:DM28" si="13">+(DM10)</f>
        <v>COMPRA-ELC-CAM2</v>
      </c>
      <c r="DN23" s="12" t="str">
        <f>COMM!AK21</f>
        <v>CO2e-CAM2</v>
      </c>
      <c r="DO23" s="222">
        <f>+'3. Scope3'!$G$19</f>
        <v>46.111111111111114</v>
      </c>
      <c r="DR23" s="12" t="str">
        <f t="shared" ref="DR23:DR28" si="14">DR10</f>
        <v>COMPRA-ELC-COLO-CAM2</v>
      </c>
      <c r="DS23" s="12" t="str">
        <f t="shared" ref="DS23:DS28" si="15">DN23</f>
        <v>CO2e-CAM2</v>
      </c>
      <c r="DT23" s="222">
        <f>+'3. Scope3'!$G$19</f>
        <v>46.111111111111114</v>
      </c>
      <c r="DW23" s="12" t="str">
        <f>PROCESS!N160</f>
        <v>COMPRA-ELC-COLG-CAM2</v>
      </c>
      <c r="DX23" s="12" t="str">
        <f t="shared" ref="DX23:DX28" si="16">DS23</f>
        <v>CO2e-CAM2</v>
      </c>
      <c r="DY23" s="222">
        <f>+'3. Scope3'!$G$19</f>
        <v>46.111111111111114</v>
      </c>
    </row>
    <row r="24" spans="2:129" ht="15.75" customHeight="1" x14ac:dyDescent="0.25">
      <c r="B24" s="116"/>
      <c r="I24" s="655"/>
      <c r="K24" s="116"/>
      <c r="M24" s="214" t="s">
        <v>1039</v>
      </c>
      <c r="N24" s="214">
        <v>2020</v>
      </c>
      <c r="O24" s="287">
        <v>357.03963544887284</v>
      </c>
      <c r="U24" s="337" t="s">
        <v>272</v>
      </c>
      <c r="V24" s="337" t="s">
        <v>806</v>
      </c>
      <c r="W24" s="337" t="s">
        <v>978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935" t="str">
        <v>AUTO-DSL-CAM5</v>
      </c>
      <c r="AV24" s="344" t="str">
        <f>AR13</f>
        <v>FUEL-DSL-CAM5</v>
      </c>
      <c r="AW24" s="935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 t="str">
        <f>+PROCESS!N152</f>
        <v>AUTO-COL-GAS-CAM6</v>
      </c>
      <c r="BE24" s="19" t="str">
        <f t="shared" si="10"/>
        <v>FUEL-GAS-CAM6</v>
      </c>
      <c r="BF24" s="19" t="str">
        <f>+COMM!D103</f>
        <v>ELC-COL-CAM6</v>
      </c>
      <c r="BG24" s="19">
        <f t="array" ref="BG24:BG26">+TRANSPOSE('5. Data'!U225:W225)</f>
        <v>0.35</v>
      </c>
      <c r="BH24" s="19"/>
      <c r="BI24" s="19" t="str">
        <f t="shared" si="8"/>
        <v>AUTO-COL-GAS-CAM6</v>
      </c>
      <c r="BJ24" s="401">
        <f t="array" ref="BJ24:BJ26">+TRANSPOSE('5. Data'!Z225:AB225)</f>
        <v>1.1095172121600003E-2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3"/>
        <v>COMPRA-ELC-CAM3</v>
      </c>
      <c r="DN24" s="12" t="str">
        <f>COMM!AK22</f>
        <v>CO2e-CAM3</v>
      </c>
      <c r="DO24" s="222">
        <f>+'3. Scope3'!$G$19</f>
        <v>46.111111111111114</v>
      </c>
      <c r="DR24" s="12" t="str">
        <f t="shared" si="14"/>
        <v>COMPRA-ELC-COLO-CAM3</v>
      </c>
      <c r="DS24" s="12" t="str">
        <f t="shared" si="15"/>
        <v>CO2e-CAM3</v>
      </c>
      <c r="DT24" s="222">
        <f>+'3. Scope3'!$G$19</f>
        <v>46.111111111111114</v>
      </c>
      <c r="DW24" s="12" t="str">
        <f>PROCESS!N161</f>
        <v>COMPRA-ELC-COLG-CAM3</v>
      </c>
      <c r="DX24" s="12" t="str">
        <f t="shared" si="16"/>
        <v>CO2e-CAM3</v>
      </c>
      <c r="DY24" s="222">
        <f>+'3. Scope3'!$G$19</f>
        <v>46.111111111111114</v>
      </c>
    </row>
    <row r="25" spans="2:129" ht="15.75" customHeight="1" x14ac:dyDescent="0.25">
      <c r="B25" s="116"/>
      <c r="I25" s="655"/>
      <c r="K25" s="116"/>
      <c r="M25" s="214" t="s">
        <v>1039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978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935" t="str">
        <v>AUTO-GAS-CAM6</v>
      </c>
      <c r="AV25" s="716" t="str">
        <f>AR29</f>
        <v>FUEL-GAS-CAM6</v>
      </c>
      <c r="AW25" s="935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 t="str">
        <f>+PROCESS!N153</f>
        <v>AUTO-COL-OIL-CAM6</v>
      </c>
      <c r="BE25" s="19" t="str">
        <f t="shared" si="10"/>
        <v>FUEL-OIL-CAM6</v>
      </c>
      <c r="BF25" s="19" t="str">
        <f t="shared" ref="BF25:BF26" si="17">+BF24</f>
        <v>ELC-COL-CAM6</v>
      </c>
      <c r="BG25" s="19">
        <v>0.35</v>
      </c>
      <c r="BH25" s="19"/>
      <c r="BI25" s="19" t="str">
        <f t="shared" si="8"/>
        <v>AUTO-COL-OIL-CAM6</v>
      </c>
      <c r="BJ25" s="401">
        <v>4.4380688486400012E-2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974</v>
      </c>
      <c r="DB25" s="1"/>
      <c r="DC25" s="334" t="s">
        <v>272</v>
      </c>
      <c r="DD25" s="678" t="s">
        <v>805</v>
      </c>
      <c r="DE25" s="371" t="s">
        <v>974</v>
      </c>
      <c r="DJ25" s="655"/>
      <c r="DL25" s="116"/>
      <c r="DM25" s="12" t="str">
        <f t="shared" si="13"/>
        <v>COMPRA-ELC-CAM4</v>
      </c>
      <c r="DN25" s="12" t="s">
        <v>68</v>
      </c>
      <c r="DO25" s="222">
        <f>+'3. Scope3'!$G$19</f>
        <v>46.111111111111114</v>
      </c>
      <c r="DR25" s="12" t="str">
        <f t="shared" si="14"/>
        <v>COMPRA-ELC-COLO-CAM4</v>
      </c>
      <c r="DS25" s="12" t="str">
        <f t="shared" si="15"/>
        <v>CO2e-CAM4</v>
      </c>
      <c r="DT25" s="222">
        <f>+'3. Scope3'!$G$19</f>
        <v>46.111111111111114</v>
      </c>
      <c r="DW25" s="12" t="str">
        <f>PROCESS!N162</f>
        <v>COMPRA-ELC-COLG-CAM4</v>
      </c>
      <c r="DX25" s="12" t="str">
        <f t="shared" si="16"/>
        <v>CO2e-CAM4</v>
      </c>
      <c r="DY25" s="222">
        <f>+'3. Scope3'!$G$19</f>
        <v>46.111111111111114</v>
      </c>
    </row>
    <row r="26" spans="2:129" ht="15.75" customHeight="1" x14ac:dyDescent="0.25">
      <c r="B26" s="116"/>
      <c r="I26" s="655"/>
      <c r="K26" s="116"/>
      <c r="M26" s="214" t="s">
        <v>1039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935" t="str">
        <v>AUTO-OIL-CAM6</v>
      </c>
      <c r="AV26" s="344" t="str">
        <f>AR21</f>
        <v>FUEL-OIL-CAM6</v>
      </c>
      <c r="AW26" s="935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 t="str">
        <f>+PROCESS!N154</f>
        <v>AUTO-COL-DSL-CAM6</v>
      </c>
      <c r="BE26" s="19" t="str">
        <f t="shared" si="10"/>
        <v>FUEL-DSL-CAM6</v>
      </c>
      <c r="BF26" s="19" t="str">
        <f t="shared" si="17"/>
        <v>ELC-COL-CAM6</v>
      </c>
      <c r="BG26" s="19">
        <v>0.35</v>
      </c>
      <c r="BH26" s="19"/>
      <c r="BI26" s="19" t="str">
        <f t="shared" si="8"/>
        <v>AUTO-COL-DSL-CAM6</v>
      </c>
      <c r="BJ26" s="401">
        <v>8.3213790912000027E-2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" si="18">+DY9</f>
        <v>ELC-G-COL-CAM1</v>
      </c>
      <c r="CW26" s="266">
        <v>1.1268327155444839E-2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3"/>
        <v>COMPRA-ELC-CAM5</v>
      </c>
      <c r="DN26" s="12" t="s">
        <v>71</v>
      </c>
      <c r="DO26" s="222">
        <f>+'3. Scope3'!$G$19</f>
        <v>46.111111111111114</v>
      </c>
      <c r="DR26" s="12" t="str">
        <f t="shared" si="14"/>
        <v>COMPRA-ELC-COLO-CAM5</v>
      </c>
      <c r="DS26" s="12" t="str">
        <f t="shared" si="15"/>
        <v>CO2e-CAM5</v>
      </c>
      <c r="DT26" s="222">
        <f>+'3. Scope3'!$G$19</f>
        <v>46.111111111111114</v>
      </c>
      <c r="DW26" s="12" t="str">
        <f>PROCESS!N163</f>
        <v>COMPRA-ELC-COLG-CAM5</v>
      </c>
      <c r="DX26" s="12" t="str">
        <f t="shared" si="16"/>
        <v>CO2e-CAM5</v>
      </c>
      <c r="DY26" s="222">
        <f>+'3. Scope3'!$G$19</f>
        <v>46.111111111111114</v>
      </c>
    </row>
    <row r="27" spans="2:129" ht="15.75" customHeight="1" x14ac:dyDescent="0.25">
      <c r="B27" s="116"/>
      <c r="I27" s="655"/>
      <c r="K27" s="116"/>
      <c r="M27" s="214" t="s">
        <v>1039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935" t="str">
        <v>AUTO-DSL-CAM6</v>
      </c>
      <c r="AV27" s="344" t="str">
        <f>AR14</f>
        <v>FUEL-DSL-CAM6</v>
      </c>
      <c r="AW27" s="935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9" t="str">
        <f>+PROCESS!N155</f>
        <v>AUTO-COL-GAS-CAM7</v>
      </c>
      <c r="BE27" s="19" t="str">
        <f t="shared" si="10"/>
        <v>FUEL-GAS-CAM7</v>
      </c>
      <c r="BF27" s="19" t="str">
        <f>+COMM!D104</f>
        <v>ELC-COL-CAM7</v>
      </c>
      <c r="BG27" s="19">
        <f t="array" ref="BG27:BG29">+TRANSPOSE('5. Data'!U226:W226)</f>
        <v>0.35</v>
      </c>
      <c r="BH27" s="1"/>
      <c r="BI27" s="19" t="str">
        <f t="shared" si="8"/>
        <v>AUTO-COL-GAS-CAM7</v>
      </c>
      <c r="BJ27" s="401">
        <f t="array" ref="BJ27:BJ29">+TRANSPOSE('5. Data'!Z226:AB226)</f>
        <v>3.1700491776000001E-3</v>
      </c>
      <c r="BK27" s="19" t="s">
        <v>897</v>
      </c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9">+(CY10)</f>
        <v>COLELC-GAS-CAM2</v>
      </c>
      <c r="CV27" s="11" t="str">
        <f>+DY10</f>
        <v>ELC-G-COL-CAM2</v>
      </c>
      <c r="CW27" s="266">
        <v>1.1268327155444867E-2</v>
      </c>
      <c r="CZ27" s="14"/>
      <c r="DA27" s="14" t="s">
        <v>480</v>
      </c>
      <c r="DB27" s="2"/>
      <c r="DC27" s="12" t="str">
        <f t="shared" ref="DC27:DC32" si="20">+(DG10)</f>
        <v>COLFUEL-GAS-CAM2</v>
      </c>
      <c r="DD27" s="966" t="str">
        <f>+BF12</f>
        <v>ELC-COL-CAM2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3"/>
        <v>COMPRA-ELC-CAM6</v>
      </c>
      <c r="DN27" s="12" t="s">
        <v>73</v>
      </c>
      <c r="DO27" s="222">
        <f>+'3. Scope3'!$G$19</f>
        <v>46.111111111111114</v>
      </c>
      <c r="DR27" s="12" t="str">
        <f t="shared" si="14"/>
        <v>COMPRA-ELC-COLO-CAM6</v>
      </c>
      <c r="DS27" s="12" t="str">
        <f t="shared" si="15"/>
        <v>CO2e-CAM6</v>
      </c>
      <c r="DT27" s="222">
        <f>+'3. Scope3'!$G$19</f>
        <v>46.111111111111114</v>
      </c>
      <c r="DW27" s="12" t="str">
        <f>PROCESS!N164</f>
        <v>COMPRA-ELC-COLG-CAM6</v>
      </c>
      <c r="DX27" s="12" t="str">
        <f t="shared" si="16"/>
        <v>CO2e-CAM6</v>
      </c>
      <c r="DY27" s="222">
        <f>+'3. Scope3'!$G$19</f>
        <v>46.111111111111114</v>
      </c>
    </row>
    <row r="28" spans="2:129" ht="15.75" customHeight="1" x14ac:dyDescent="0.25">
      <c r="B28" s="116"/>
      <c r="I28" s="655"/>
      <c r="K28" s="116"/>
      <c r="M28" s="214" t="s">
        <v>1039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935" t="str">
        <v>AUTO-GAS-CAM7</v>
      </c>
      <c r="AV28" s="716" t="str">
        <f>AR30</f>
        <v>FUEL-GAS-CAM7</v>
      </c>
      <c r="AW28" s="935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9" t="str">
        <f>+PROCESS!N156</f>
        <v>AUTO-COL-OIL-CAM7</v>
      </c>
      <c r="BE28" s="19" t="str">
        <f t="shared" si="10"/>
        <v>FUEL-OIL-CAM7</v>
      </c>
      <c r="BF28" s="19" t="str">
        <f t="shared" ref="BF28:BF29" si="21">+BF27</f>
        <v>ELC-COL-CAM7</v>
      </c>
      <c r="BG28" s="19">
        <v>0.35</v>
      </c>
      <c r="BH28" s="1"/>
      <c r="BI28" s="19" t="str">
        <f t="shared" si="8"/>
        <v>AUTO-COL-OIL-CAM7</v>
      </c>
      <c r="BJ28" s="401">
        <v>1.26801967104E-2</v>
      </c>
      <c r="BK28" s="19" t="s">
        <v>897</v>
      </c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9"/>
        <v>COLELC-GAS-CAM3</v>
      </c>
      <c r="CV28" s="11" t="str">
        <f>+DY11</f>
        <v>ELC-G-COL-CAM3</v>
      </c>
      <c r="CW28" s="266">
        <v>1.1268327155444839E-2</v>
      </c>
      <c r="CZ28" s="14" t="s">
        <v>1495</v>
      </c>
      <c r="DA28" s="365">
        <v>55.539114956987063</v>
      </c>
      <c r="DB28" s="573"/>
      <c r="DC28" s="12" t="str">
        <f t="shared" si="20"/>
        <v>COLFUEL-GAS-CAM3</v>
      </c>
      <c r="DD28" s="966" t="str">
        <f>+BF15</f>
        <v>ELC-COL-CAM3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M28" s="12" t="str">
        <f t="shared" si="13"/>
        <v>COMPRA-ELC-CAM7</v>
      </c>
      <c r="DN28" s="12" t="s">
        <v>76</v>
      </c>
      <c r="DO28" s="222">
        <f>+'3. Scope3'!$G$19</f>
        <v>46.111111111111114</v>
      </c>
      <c r="DR28" s="12" t="str">
        <f t="shared" si="14"/>
        <v>COMPRA-ELC-COLO-CAM7</v>
      </c>
      <c r="DS28" s="12" t="str">
        <f t="shared" si="15"/>
        <v>CO2e-CAM7</v>
      </c>
      <c r="DT28" s="222">
        <f>+'3. Scope3'!$G$19</f>
        <v>46.111111111111114</v>
      </c>
      <c r="DW28" s="12" t="str">
        <f>PROCESS!N165</f>
        <v>COMPRA-ELC-COLG-CAM7</v>
      </c>
      <c r="DX28" s="12" t="str">
        <f t="shared" si="16"/>
        <v>CO2e-CAM7</v>
      </c>
      <c r="DY28" s="222">
        <f>+'3. Scope3'!$G$19</f>
        <v>46.111111111111114</v>
      </c>
    </row>
    <row r="29" spans="2:129" ht="15.75" customHeight="1" x14ac:dyDescent="0.25">
      <c r="B29" s="116"/>
      <c r="I29" s="655"/>
      <c r="K29" s="116"/>
      <c r="M29" s="214" t="s">
        <v>1039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935" t="str">
        <v>AUTO-OIL-CAM7</v>
      </c>
      <c r="AV29" s="344" t="str">
        <f>AR22</f>
        <v>FUEL-OIL-CAM7</v>
      </c>
      <c r="AW29" s="935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19" t="str">
        <f>+PROCESS!N157</f>
        <v>AUTO-COL-DSL-CAM7</v>
      </c>
      <c r="BE29" s="19" t="str">
        <f t="shared" si="10"/>
        <v>FUEL-DSL-CAM7</v>
      </c>
      <c r="BF29" s="19" t="str">
        <f t="shared" si="21"/>
        <v>ELC-COL-CAM7</v>
      </c>
      <c r="BG29" s="19">
        <v>0.35</v>
      </c>
      <c r="BH29" s="1"/>
      <c r="BI29" s="19" t="str">
        <f t="shared" si="8"/>
        <v>AUTO-COL-DSL-CAM7</v>
      </c>
      <c r="BJ29" s="401">
        <v>2.3775368831999998E-2</v>
      </c>
      <c r="BK29" s="19" t="s">
        <v>897</v>
      </c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9"/>
        <v>COLELC-GAS-CAM4</v>
      </c>
      <c r="CV29" s="11" t="str">
        <f>+DY12</f>
        <v>ELC-G-COL-CAM4</v>
      </c>
      <c r="CW29" s="266">
        <v>1.1268327155444839E-2</v>
      </c>
      <c r="DB29" s="1"/>
      <c r="DC29" s="12" t="str">
        <f t="shared" si="20"/>
        <v>COLFUEL-GAS-CAM4</v>
      </c>
      <c r="DD29" s="11" t="str">
        <f>+BF20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25">
      <c r="B30" s="116"/>
      <c r="I30" s="655"/>
      <c r="K30" s="116"/>
      <c r="M30" s="214" t="s">
        <v>1039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935" t="str">
        <v>AUTO-DSL-CAM7</v>
      </c>
      <c r="AV30" s="344" t="str">
        <f>AR15</f>
        <v>FUEL-DSL-CAM7</v>
      </c>
      <c r="AW30" s="935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E30" s="955"/>
      <c r="BF30" s="953"/>
      <c r="BG30" s="956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9"/>
        <v>COLELC-GAS-CAM5</v>
      </c>
      <c r="CV30" s="11" t="str">
        <f>+DY13</f>
        <v>ELC-G-COL-CAM5</v>
      </c>
      <c r="CW30" s="266">
        <v>1.1268327155444839E-2</v>
      </c>
      <c r="DB30" s="1"/>
      <c r="DC30" s="12" t="str">
        <f t="shared" si="20"/>
        <v>COLFUEL-GAS-CAM5</v>
      </c>
      <c r="DD30" s="11" t="str">
        <f>+BF23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25">
      <c r="B31" s="116"/>
      <c r="I31" s="655"/>
      <c r="K31" s="116"/>
      <c r="M31" s="214" t="s">
        <v>1039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952"/>
      <c r="AV31" s="955"/>
      <c r="AW31" s="953"/>
      <c r="AX31" s="954"/>
      <c r="AY31" s="1"/>
      <c r="AZ31" s="1"/>
      <c r="BA31" s="1"/>
      <c r="BB31" s="1"/>
      <c r="BC31" s="1"/>
      <c r="BE31" s="955"/>
      <c r="BF31" s="953"/>
      <c r="BG31" s="954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9"/>
        <v>COLELC-GAS-CAM6</v>
      </c>
      <c r="CV31" s="11" t="str">
        <f t="shared" ref="CV31:CV32" si="22">+DY14</f>
        <v>ELC-G-COL-CAM6</v>
      </c>
      <c r="CW31" s="266">
        <v>1.1268327155444839E-2</v>
      </c>
      <c r="DB31" s="1"/>
      <c r="DC31" s="12" t="str">
        <f t="shared" si="20"/>
        <v>COLFUEL-GAS-CAM6</v>
      </c>
      <c r="DD31" s="11" t="str">
        <f>+BF25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25">
      <c r="B32" s="116"/>
      <c r="I32" s="655"/>
      <c r="K32" s="116"/>
      <c r="M32" s="214" t="s">
        <v>1039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955"/>
      <c r="AW32" s="953"/>
      <c r="AX32" s="956"/>
      <c r="AY32" s="1"/>
      <c r="AZ32" s="1"/>
      <c r="BA32" s="1"/>
      <c r="BB32" s="1"/>
      <c r="BC32" s="1"/>
      <c r="BE32" s="955"/>
      <c r="BF32" s="953"/>
      <c r="BG32" s="956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9"/>
        <v>COLELC-GAS-CAM7</v>
      </c>
      <c r="CV32" s="11" t="str">
        <f t="shared" si="22"/>
        <v>ELC-G-COL-CAM7</v>
      </c>
      <c r="CW32" s="266">
        <v>1.1268327155444839E-2</v>
      </c>
      <c r="DB32" s="1"/>
      <c r="DC32" s="12" t="str">
        <f t="shared" si="20"/>
        <v>COLFUEL-GAS-CAM7</v>
      </c>
      <c r="DD32" s="11" t="str">
        <f>+BF28</f>
        <v>ELC-COL-CAM7</v>
      </c>
      <c r="DE32" s="266">
        <f>+'5. Data'!N189/('5. Data'!N189+1)</f>
        <v>2.0955992415926552E-3</v>
      </c>
      <c r="DJ32" s="655"/>
      <c r="DL32" s="116"/>
      <c r="DM32" t="s">
        <v>1567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25">
      <c r="B33" s="116"/>
      <c r="I33" s="655"/>
      <c r="K33" s="116"/>
      <c r="M33" s="214" t="s">
        <v>1039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952"/>
      <c r="AV33" s="957"/>
      <c r="AW33" s="953"/>
      <c r="AX33" s="954"/>
      <c r="AY33" s="1"/>
      <c r="AZ33" s="1"/>
      <c r="BA33" s="1"/>
      <c r="BB33" s="1"/>
      <c r="BC33" s="1"/>
      <c r="BD33" s="19"/>
      <c r="BE33" s="957"/>
      <c r="BF33" s="953"/>
      <c r="BG33" s="954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1568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1039</v>
      </c>
    </row>
    <row r="34" spans="2:123" ht="15.75" customHeight="1" x14ac:dyDescent="0.25">
      <c r="B34" s="116"/>
      <c r="I34" s="655"/>
      <c r="K34" s="116"/>
      <c r="M34" s="214" t="s">
        <v>1039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955"/>
      <c r="AW34" s="953"/>
      <c r="AX34" s="956"/>
      <c r="AY34" s="1"/>
      <c r="AZ34" s="1"/>
      <c r="BA34" s="1"/>
      <c r="BB34" s="1"/>
      <c r="BC34" s="1"/>
      <c r="BD34" s="874"/>
      <c r="BE34" s="955"/>
      <c r="BF34" s="953"/>
      <c r="BG34" s="956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1569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EXP_IMP'!I66</f>
        <v>IMP-SIN</v>
      </c>
      <c r="DS34" s="811">
        <f>+DP35</f>
        <v>7.7708377368000008</v>
      </c>
    </row>
    <row r="35" spans="2:123" ht="15.75" customHeight="1" x14ac:dyDescent="0.25">
      <c r="B35" s="116"/>
      <c r="I35" s="655"/>
      <c r="K35" s="116"/>
      <c r="M35" s="214" t="s">
        <v>1039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952"/>
      <c r="AV35" s="874"/>
      <c r="AW35" s="874"/>
      <c r="AX35" s="958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</row>
    <row r="36" spans="2:123" ht="15.75" customHeight="1" x14ac:dyDescent="0.25">
      <c r="B36" s="116"/>
      <c r="I36" s="655"/>
      <c r="K36" s="116"/>
      <c r="M36" s="214" t="s">
        <v>1039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959"/>
      <c r="AX36" s="960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25">
      <c r="B37" s="116"/>
      <c r="I37" s="655"/>
      <c r="K37" s="116"/>
      <c r="L37" s="214" t="str">
        <f>+PROCESS!N26</f>
        <v>PROF-CAM3</v>
      </c>
      <c r="M37" s="214" t="s">
        <v>1039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959"/>
      <c r="AX37" s="960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1570</v>
      </c>
      <c r="DN37">
        <v>725000</v>
      </c>
      <c r="DO37" t="s">
        <v>1573</v>
      </c>
    </row>
    <row r="38" spans="2:123" ht="15.75" customHeight="1" x14ac:dyDescent="0.25">
      <c r="B38" s="116"/>
      <c r="I38" s="655"/>
      <c r="K38" s="116"/>
      <c r="M38" s="214" t="s">
        <v>1039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959"/>
      <c r="AX38" s="960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1571</v>
      </c>
    </row>
    <row r="39" spans="2:123" ht="15.75" customHeight="1" x14ac:dyDescent="0.25">
      <c r="B39" s="116"/>
      <c r="I39" s="655"/>
      <c r="K39" s="116"/>
      <c r="M39" s="214" t="s">
        <v>1039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1572</v>
      </c>
      <c r="DN39">
        <v>168813</v>
      </c>
      <c r="DO39" t="s">
        <v>539</v>
      </c>
    </row>
    <row r="40" spans="2:123" ht="15.75" customHeight="1" x14ac:dyDescent="0.25">
      <c r="B40" s="116"/>
      <c r="I40" s="655"/>
      <c r="K40" s="116"/>
      <c r="M40" s="214" t="s">
        <v>1039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25">
      <c r="B41" s="116"/>
      <c r="I41" s="655"/>
      <c r="K41" s="116"/>
      <c r="M41" s="214" t="s">
        <v>1039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25">
      <c r="B42" s="116"/>
      <c r="I42" s="655"/>
      <c r="K42" s="116"/>
      <c r="M42" s="214" t="s">
        <v>1039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942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25">
      <c r="B43" s="116"/>
      <c r="I43" s="655"/>
      <c r="K43" s="116"/>
      <c r="M43" s="214" t="s">
        <v>1039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938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25">
      <c r="B44" s="116"/>
      <c r="I44" s="655"/>
      <c r="K44" s="116"/>
      <c r="M44" s="214" t="s">
        <v>1039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951">
        <f>AO76</f>
        <v>77.841777688967127</v>
      </c>
      <c r="AQ44" s="362">
        <f>$AO$75</f>
        <v>55.539114956987063</v>
      </c>
      <c r="AR44" s="362"/>
      <c r="AS44" s="362"/>
      <c r="AT44" s="362"/>
      <c r="AU44" s="938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25">
      <c r="B45" s="116"/>
      <c r="I45" s="655"/>
      <c r="K45" s="116"/>
      <c r="M45" s="214" t="s">
        <v>1039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U45" s="939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25">
      <c r="B46" s="116"/>
      <c r="I46" s="655"/>
      <c r="K46" s="116"/>
      <c r="M46" s="214" t="s">
        <v>1039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U46" s="939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25">
      <c r="B47" s="116"/>
      <c r="I47" s="655"/>
      <c r="K47" s="116"/>
      <c r="M47" s="214" t="s">
        <v>1039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U47" s="939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25">
      <c r="B48" s="116"/>
      <c r="I48" s="655"/>
      <c r="K48" s="116"/>
      <c r="M48" s="214" t="s">
        <v>1039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943"/>
      <c r="AT48" s="943"/>
      <c r="AV48" s="937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25">
      <c r="B49" s="116"/>
      <c r="I49" s="655"/>
      <c r="K49" s="116"/>
      <c r="M49" s="214" t="s">
        <v>1039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23">+AO44</f>
        <v>75.166375708662926</v>
      </c>
      <c r="AP49" s="951">
        <f>$AP$44</f>
        <v>77.841777688967127</v>
      </c>
      <c r="AQ49" s="944">
        <f>$AQ$44</f>
        <v>55.539114956987063</v>
      </c>
      <c r="AR49" s="945">
        <f>'3. Scope3'!H26</f>
        <v>47.28933824683137</v>
      </c>
      <c r="AS49" s="943"/>
      <c r="AT49" s="943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25">
      <c r="B50" s="116"/>
      <c r="I50" s="655"/>
      <c r="K50" s="116"/>
      <c r="M50" s="214" t="s">
        <v>1039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942"/>
      <c r="AR50" s="942"/>
      <c r="AS50" s="946"/>
      <c r="AT50" s="946"/>
      <c r="AU50" s="94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25">
      <c r="B51" s="116"/>
      <c r="I51" s="655"/>
      <c r="K51" s="116"/>
      <c r="L51" s="214" t="str">
        <f>+PROCESS!N27</f>
        <v>PROF-CAM4</v>
      </c>
      <c r="M51" s="214" t="s">
        <v>1039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U51" s="939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25">
      <c r="B52" s="116"/>
      <c r="I52" s="655"/>
      <c r="K52" s="116"/>
      <c r="M52" s="214" t="s">
        <v>1039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945"/>
      <c r="AS52" s="945"/>
      <c r="AT52" s="945"/>
      <c r="AU52" s="945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25">
      <c r="B53" s="116"/>
      <c r="I53" s="655"/>
      <c r="K53" s="116"/>
      <c r="M53" s="214" t="s">
        <v>1039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24">+AO44</f>
        <v>75.166375708662926</v>
      </c>
      <c r="AP53" s="951">
        <f>$AP$44</f>
        <v>77.841777688967127</v>
      </c>
      <c r="AQ53" s="944">
        <f>$AQ$44</f>
        <v>55.539114956987063</v>
      </c>
      <c r="AR53" s="945"/>
      <c r="AS53" s="943"/>
      <c r="AT53" s="943"/>
      <c r="AU53" s="940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25">
      <c r="B54" s="116"/>
      <c r="I54" s="655"/>
      <c r="K54" s="116"/>
      <c r="M54" s="214" t="s">
        <v>1039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942"/>
      <c r="AR54" s="942"/>
      <c r="AS54" s="946"/>
      <c r="AT54" s="946"/>
      <c r="AU54" s="946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25">
      <c r="B55" s="116"/>
      <c r="I55" s="655"/>
      <c r="K55" s="116"/>
      <c r="M55" s="214" t="s">
        <v>1039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946"/>
      <c r="AT55" s="946"/>
      <c r="AU55" s="946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25">
      <c r="B56" s="116"/>
      <c r="I56" s="655"/>
      <c r="K56" s="116"/>
      <c r="M56" s="214" t="s">
        <v>1039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947"/>
      <c r="AS56" s="946"/>
      <c r="AT56" s="946"/>
      <c r="AU56" s="946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25">
      <c r="B57" s="116"/>
      <c r="I57" s="655"/>
      <c r="K57" s="116"/>
      <c r="M57" s="214" t="s">
        <v>1039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25">+AO44</f>
        <v>75.166375708662926</v>
      </c>
      <c r="AP57" s="951">
        <f>$AP$44</f>
        <v>77.841777688967127</v>
      </c>
      <c r="AQ57" s="944">
        <f>$AQ$44</f>
        <v>55.539114956987063</v>
      </c>
      <c r="AR57" s="943"/>
      <c r="AS57" s="946"/>
      <c r="AT57" s="946"/>
      <c r="AU57" s="946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25">
      <c r="B58" s="116"/>
      <c r="I58" s="655"/>
      <c r="K58" s="116"/>
      <c r="M58" s="214" t="s">
        <v>1039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942"/>
      <c r="AR58" s="946"/>
      <c r="AS58" s="946"/>
      <c r="AT58" s="946"/>
      <c r="AU58" s="946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25">
      <c r="B59" s="116"/>
      <c r="I59" s="655"/>
      <c r="K59" s="116"/>
      <c r="M59" s="214" t="s">
        <v>1039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949"/>
      <c r="AS59" s="946"/>
      <c r="AT59" s="946"/>
      <c r="AU59" s="946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25">
      <c r="B60" s="116"/>
      <c r="I60" s="655"/>
      <c r="K60" s="116"/>
      <c r="M60" s="214" t="s">
        <v>1039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947"/>
      <c r="AS60" s="946"/>
      <c r="AT60" s="946"/>
      <c r="AU60" s="946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25">
      <c r="B61" s="116"/>
      <c r="I61" s="655"/>
      <c r="K61" s="116"/>
      <c r="M61" s="214" t="s">
        <v>1039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26">+AO44</f>
        <v>75.166375708662926</v>
      </c>
      <c r="AP61" s="951">
        <f>$AP$44</f>
        <v>77.841777688967127</v>
      </c>
      <c r="AQ61" s="944">
        <f>+AQ44</f>
        <v>55.539114956987063</v>
      </c>
      <c r="AR61" s="943"/>
      <c r="AS61" s="946"/>
      <c r="AT61" s="946"/>
      <c r="AU61" s="946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25">
      <c r="B62" s="116"/>
      <c r="I62" s="655"/>
      <c r="K62" s="116"/>
      <c r="M62" s="214" t="s">
        <v>1039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942"/>
      <c r="AR62" s="946"/>
      <c r="AS62" s="946"/>
      <c r="AT62" s="946"/>
      <c r="AU62" s="946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25">
      <c r="B63" s="116"/>
      <c r="I63" s="655"/>
      <c r="K63" s="116"/>
      <c r="M63" s="214" t="s">
        <v>1039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949"/>
      <c r="AS63" s="946"/>
      <c r="AT63" s="946"/>
      <c r="AU63" s="946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25">
      <c r="B64" s="116"/>
      <c r="I64" s="655"/>
      <c r="K64" s="116"/>
      <c r="M64" s="214" t="s">
        <v>1039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947"/>
      <c r="AS64" s="946"/>
      <c r="AT64" s="946"/>
      <c r="AU64" s="946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25">
      <c r="B65" s="116"/>
      <c r="I65" s="655"/>
      <c r="K65" s="116"/>
      <c r="L65" s="214" t="str">
        <f>+PROCESS!N28</f>
        <v>PROF-CAM5</v>
      </c>
      <c r="M65" s="214" t="s">
        <v>1039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27">+AO44</f>
        <v>75.166375708662926</v>
      </c>
      <c r="AP65" s="951">
        <f>$AP$44</f>
        <v>77.841777688967127</v>
      </c>
      <c r="AQ65" s="944">
        <f>$AQ$44</f>
        <v>55.539114956987063</v>
      </c>
      <c r="AR65" s="943"/>
      <c r="AS65" s="946"/>
      <c r="AT65" s="946"/>
      <c r="AU65" s="946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25">
      <c r="B66" s="116"/>
      <c r="I66" s="655"/>
      <c r="K66" s="116"/>
      <c r="M66" s="214" t="s">
        <v>1039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949"/>
      <c r="AS66" s="946"/>
      <c r="AT66" s="946"/>
      <c r="AU66" s="946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25">
      <c r="B67" s="116"/>
      <c r="I67" s="655"/>
      <c r="K67" s="116"/>
      <c r="M67" s="214" t="s">
        <v>1039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949"/>
      <c r="AS67" s="949"/>
      <c r="AT67" s="949"/>
      <c r="AU67" s="950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25">
      <c r="B68" s="116"/>
      <c r="I68" s="655"/>
      <c r="K68" s="116"/>
      <c r="M68" s="214" t="s">
        <v>1039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949"/>
      <c r="AS68" s="949"/>
      <c r="AT68" s="949"/>
      <c r="AU68" s="950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25">
      <c r="B69" s="116"/>
      <c r="I69" s="655"/>
      <c r="K69" s="116"/>
      <c r="M69" s="214" t="s">
        <v>1039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947"/>
      <c r="AS69" s="947"/>
      <c r="AT69" s="947"/>
      <c r="AU69" s="948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25">
      <c r="B70" s="116"/>
      <c r="I70" s="655"/>
      <c r="K70" s="116"/>
      <c r="M70" s="214" t="s">
        <v>1039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951">
        <f>$AP$44</f>
        <v>77.841777688967127</v>
      </c>
      <c r="AQ70" s="944">
        <f>$AQ$44</f>
        <v>55.539114956987063</v>
      </c>
      <c r="AR70" s="943"/>
      <c r="AS70" s="943"/>
      <c r="AT70" s="943"/>
      <c r="AU70" s="940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25">
      <c r="B71" s="116"/>
      <c r="I71" s="655"/>
      <c r="K71" s="116"/>
      <c r="M71" s="214" t="s">
        <v>1039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949"/>
      <c r="AS71" s="949"/>
      <c r="AT71" s="949"/>
      <c r="AU71" s="950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25">
      <c r="B72" s="116"/>
      <c r="I72" s="655"/>
      <c r="K72" s="116"/>
      <c r="M72" s="214" t="s">
        <v>1039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U72" s="939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25">
      <c r="B73" s="116"/>
      <c r="I73" s="655"/>
      <c r="K73" s="116"/>
      <c r="M73" s="214" t="s">
        <v>1039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U73" s="91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25">
      <c r="B74" s="116"/>
      <c r="I74" s="655"/>
      <c r="K74" s="116"/>
      <c r="M74" s="214" t="s">
        <v>1039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1497</v>
      </c>
      <c r="AP74" s="866"/>
      <c r="AQ74" s="866"/>
      <c r="AR74" s="942"/>
      <c r="AS74" s="946"/>
      <c r="AT74" s="946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25">
      <c r="B75" s="116"/>
      <c r="I75" s="655"/>
      <c r="K75" s="116"/>
      <c r="M75" s="214" t="s">
        <v>1039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942"/>
      <c r="AS75" s="946"/>
      <c r="AT75" s="946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25">
      <c r="B76" s="116"/>
      <c r="I76" s="655"/>
      <c r="K76" s="116"/>
      <c r="M76" s="214" t="s">
        <v>1039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942"/>
      <c r="AS76" s="946"/>
      <c r="AT76" s="946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25">
      <c r="B77" s="116"/>
      <c r="I77" s="655"/>
      <c r="K77" s="116"/>
      <c r="M77" s="214" t="s">
        <v>1039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942"/>
      <c r="AS77" s="946"/>
      <c r="AT77" s="946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25">
      <c r="B78" s="116"/>
      <c r="I78" s="655"/>
      <c r="K78" s="116"/>
      <c r="M78" s="214" t="s">
        <v>1039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942"/>
      <c r="AS78" s="946"/>
      <c r="AT78" s="946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25">
      <c r="B79" s="116"/>
      <c r="I79" s="655"/>
      <c r="K79" s="116"/>
      <c r="L79" s="214" t="str">
        <f>+PROCESS!N29</f>
        <v>PROF-CAM6</v>
      </c>
      <c r="M79" s="214" t="s">
        <v>1039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942"/>
      <c r="AS79" s="946"/>
      <c r="AT79" s="946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25">
      <c r="B80" s="116"/>
      <c r="I80" s="655"/>
      <c r="K80" s="116"/>
      <c r="M80" s="214" t="s">
        <v>1039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942"/>
      <c r="AS80" s="946"/>
      <c r="AT80" s="946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25">
      <c r="B81" s="116"/>
      <c r="I81" s="655"/>
      <c r="K81" s="116"/>
      <c r="M81" s="214" t="s">
        <v>1039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942"/>
      <c r="AQ81" s="946"/>
      <c r="AR81" s="946"/>
      <c r="AS81" s="946"/>
      <c r="AT81" s="942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25">
      <c r="B82" s="116"/>
      <c r="I82" s="655"/>
      <c r="K82" s="116"/>
      <c r="M82" s="214" t="s">
        <v>1039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942"/>
      <c r="AQ82" s="946"/>
      <c r="AR82" s="946"/>
      <c r="AS82" s="946"/>
      <c r="AT82" s="942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25">
      <c r="B83" s="116"/>
      <c r="I83" s="655"/>
      <c r="K83" s="116"/>
      <c r="M83" s="214" t="s">
        <v>1039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942"/>
      <c r="AQ83" s="946"/>
      <c r="AR83" s="946"/>
      <c r="AS83" s="946"/>
      <c r="AT83" s="942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25">
      <c r="B84" s="116"/>
      <c r="I84" s="655"/>
      <c r="K84" s="116"/>
      <c r="M84" s="214" t="s">
        <v>1039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942"/>
      <c r="AQ84" s="946"/>
      <c r="AR84" s="946"/>
      <c r="AS84" s="946"/>
      <c r="AT84" s="942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25">
      <c r="B85" s="116"/>
      <c r="I85" s="655"/>
      <c r="K85" s="116"/>
      <c r="M85" s="214" t="s">
        <v>1039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942"/>
      <c r="AQ85" s="946"/>
      <c r="AR85" s="946"/>
      <c r="AS85" s="946"/>
      <c r="AT85" s="942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25">
      <c r="B86" s="116"/>
      <c r="I86" s="655"/>
      <c r="K86" s="116"/>
      <c r="M86" s="214" t="s">
        <v>1039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25">
      <c r="B87" s="116"/>
      <c r="I87" s="655"/>
      <c r="K87" s="116"/>
      <c r="M87" s="214" t="s">
        <v>1039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25">
      <c r="B88" s="116"/>
      <c r="I88" s="655"/>
      <c r="K88" s="116"/>
      <c r="M88" s="214" t="s">
        <v>1039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25">
      <c r="B89" s="116"/>
      <c r="I89" s="655"/>
      <c r="K89" s="116"/>
      <c r="M89" s="214" t="s">
        <v>1039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25">
      <c r="B90" s="116"/>
      <c r="I90" s="655"/>
      <c r="K90" s="116"/>
      <c r="M90" s="214" t="s">
        <v>1039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25">
      <c r="B91" s="116"/>
      <c r="I91" s="655"/>
      <c r="K91" s="116"/>
      <c r="M91" s="214" t="s">
        <v>1039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25">
      <c r="B92" s="116"/>
      <c r="I92" s="655"/>
      <c r="K92" s="116"/>
      <c r="M92" s="214" t="s">
        <v>1039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25">
      <c r="B93" s="116"/>
      <c r="I93" s="655"/>
      <c r="K93" s="116"/>
      <c r="L93" s="214" t="str">
        <f>+PROCESS!N30</f>
        <v>PROF-CAM7</v>
      </c>
      <c r="M93" s="214" t="s">
        <v>1039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25">
      <c r="B94" s="116"/>
      <c r="I94" s="655"/>
      <c r="K94" s="116"/>
      <c r="M94" s="214" t="s">
        <v>1039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25">
      <c r="B95" s="116"/>
      <c r="I95" s="655"/>
      <c r="K95" s="116"/>
      <c r="M95" s="214" t="s">
        <v>1039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25">
      <c r="B96" s="116"/>
      <c r="I96" s="655"/>
      <c r="K96" s="116"/>
      <c r="M96" s="214" t="s">
        <v>1039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25">
      <c r="B97" s="116"/>
      <c r="I97" s="655"/>
      <c r="K97" s="116"/>
      <c r="M97" s="214" t="s">
        <v>1039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25">
      <c r="B98" s="116"/>
      <c r="I98" s="655"/>
      <c r="K98" s="116"/>
      <c r="M98" s="214" t="s">
        <v>1039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25">
      <c r="B99" s="116"/>
      <c r="I99" s="655"/>
      <c r="K99" s="116"/>
      <c r="M99" s="214" t="s">
        <v>1039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25">
      <c r="B100" s="116"/>
      <c r="I100" s="655"/>
      <c r="K100" s="116"/>
      <c r="M100" s="214" t="s">
        <v>1039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25">
      <c r="B101" s="116"/>
      <c r="I101" s="655"/>
      <c r="K101" s="116"/>
      <c r="M101" s="214" t="s">
        <v>1039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25">
      <c r="B102" s="116"/>
      <c r="I102" s="655"/>
      <c r="K102" s="116"/>
      <c r="M102" s="214" t="s">
        <v>1039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25">
      <c r="B103" s="116"/>
      <c r="I103" s="655"/>
      <c r="K103" s="116"/>
      <c r="M103" s="214" t="s">
        <v>1039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25">
      <c r="B104" s="116"/>
      <c r="I104" s="655"/>
      <c r="K104" s="116"/>
      <c r="M104" s="214" t="s">
        <v>1039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25">
      <c r="B105" s="116"/>
      <c r="I105" s="655"/>
      <c r="K105" s="116"/>
      <c r="M105" s="214" t="s">
        <v>1039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25">
      <c r="B106" s="116"/>
      <c r="I106" s="655"/>
      <c r="K106" s="116"/>
      <c r="M106" s="214" t="s">
        <v>1039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25">
      <c r="B130" s="116"/>
      <c r="I130" s="655"/>
      <c r="K130" s="116"/>
      <c r="N130" s="306"/>
      <c r="O130" s="306" t="s">
        <v>1498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C3:H3"/>
    <mergeCell ref="L3:W3"/>
    <mergeCell ref="AE3:AK3"/>
    <mergeCell ref="AN3:BL3"/>
    <mergeCell ref="BO3:BV3"/>
    <mergeCell ref="CC3:CP3"/>
    <mergeCell ref="CU3:DA3"/>
    <mergeCell ref="AU5:BB5"/>
    <mergeCell ref="BO5:BQ5"/>
    <mergeCell ref="CC5:CI5"/>
    <mergeCell ref="CK5:CQ5"/>
    <mergeCell ref="CU5:DB5"/>
    <mergeCell ref="DF5:DI5"/>
    <mergeCell ref="L5:O5"/>
    <mergeCell ref="Q5:S5"/>
    <mergeCell ref="U5:V5"/>
    <mergeCell ref="Y5:AA5"/>
    <mergeCell ref="AE5:AG5"/>
    <mergeCell ref="AI5:AK5"/>
    <mergeCell ref="AN5:AP5"/>
  </mergeCells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5"/>
      <c r="I6" s="1"/>
      <c r="J6" s="1005" t="s">
        <v>1499</v>
      </c>
      <c r="K6" s="1004"/>
      <c r="L6" s="994"/>
      <c r="M6" s="727" t="s">
        <v>1500</v>
      </c>
      <c r="N6" s="726"/>
      <c r="O6" s="1"/>
      <c r="P6" s="725"/>
      <c r="Q6" s="1"/>
      <c r="R6" s="1005" t="s">
        <v>1501</v>
      </c>
      <c r="S6" s="1004"/>
      <c r="T6" s="994"/>
      <c r="U6" s="727" t="s">
        <v>1502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28" t="s">
        <v>1503</v>
      </c>
      <c r="E7" s="729" t="s">
        <v>1504</v>
      </c>
      <c r="F7" s="730" t="s">
        <v>1500</v>
      </c>
      <c r="G7" s="1"/>
      <c r="H7" s="725"/>
      <c r="I7" s="538"/>
      <c r="J7" s="731" t="s">
        <v>1414</v>
      </c>
      <c r="K7" s="732" t="s">
        <v>1505</v>
      </c>
      <c r="L7" s="733" t="s">
        <v>920</v>
      </c>
      <c r="M7" s="734" t="s">
        <v>920</v>
      </c>
      <c r="N7" s="726"/>
      <c r="O7" s="1"/>
      <c r="P7" s="725"/>
      <c r="Q7" s="538"/>
      <c r="R7" s="731" t="s">
        <v>1414</v>
      </c>
      <c r="S7" s="732" t="s">
        <v>1505</v>
      </c>
      <c r="T7" s="733" t="s">
        <v>920</v>
      </c>
      <c r="U7" s="734" t="s">
        <v>920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5" t="s">
        <v>1506</v>
      </c>
      <c r="D8" s="736">
        <f>+D9+D10+D11</f>
        <v>38.799999999999997</v>
      </c>
      <c r="E8" s="737"/>
      <c r="F8" s="738"/>
      <c r="G8" s="1"/>
      <c r="H8" s="725"/>
      <c r="I8" s="739" t="s">
        <v>1415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1415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4" t="s">
        <v>1407</v>
      </c>
      <c r="D9" s="656">
        <v>14.3</v>
      </c>
      <c r="E9" s="655">
        <v>0.74</v>
      </c>
      <c r="F9" s="745">
        <v>0.3</v>
      </c>
      <c r="G9" s="1"/>
      <c r="H9" s="725"/>
      <c r="I9" s="746" t="s">
        <v>1407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1407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4" t="s">
        <v>1408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1416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1416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4" t="s">
        <v>1409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1409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1409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0" t="s">
        <v>1507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1417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1417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58" t="s">
        <v>1503</v>
      </c>
      <c r="E13" s="759" t="s">
        <v>1504</v>
      </c>
      <c r="F13" s="760" t="s">
        <v>1500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0" t="s">
        <v>1508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48" t="s">
        <v>1437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48" t="s">
        <v>1439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1499</v>
      </c>
      <c r="K16" s="727" t="s">
        <v>1500</v>
      </c>
      <c r="L16" s="1"/>
      <c r="M16" s="1"/>
      <c r="N16" s="726"/>
      <c r="O16" s="1"/>
      <c r="P16" s="725"/>
      <c r="Q16" s="1"/>
      <c r="R16" s="763" t="s">
        <v>1501</v>
      </c>
      <c r="S16" s="727" t="s">
        <v>1500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57" t="s">
        <v>1509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1510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1510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58" t="s">
        <v>1503</v>
      </c>
      <c r="E18" s="759" t="s">
        <v>1504</v>
      </c>
      <c r="F18" s="760" t="s">
        <v>1500</v>
      </c>
      <c r="G18" s="1"/>
      <c r="H18" s="725"/>
      <c r="I18" s="746" t="s">
        <v>1511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1511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5" t="s">
        <v>1512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1513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1513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4" t="s">
        <v>1473</v>
      </c>
      <c r="D20" s="656">
        <v>0.5</v>
      </c>
      <c r="E20" s="655"/>
      <c r="F20" s="745">
        <v>0.03</v>
      </c>
      <c r="G20" s="1"/>
      <c r="H20" s="725"/>
      <c r="I20" s="749" t="s">
        <v>1514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1514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4" t="s">
        <v>1515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4" t="s">
        <v>1516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4" t="s">
        <v>1517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4" t="s">
        <v>1518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1499</v>
      </c>
      <c r="K24" s="62" t="s">
        <v>1500</v>
      </c>
      <c r="L24" s="1"/>
      <c r="M24" s="1"/>
      <c r="N24" s="726"/>
      <c r="O24" s="1"/>
      <c r="P24" s="725"/>
      <c r="Q24" s="1"/>
      <c r="R24" s="62" t="s">
        <v>1501</v>
      </c>
      <c r="S24" s="62" t="s">
        <v>1500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4" t="s">
        <v>1519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1512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1512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4" t="s">
        <v>1520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1521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1521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0" t="s">
        <v>1522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1523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1523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1524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5" t="s">
        <v>1506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4" t="s">
        <v>1407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4" t="s">
        <v>1408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4" t="s">
        <v>1409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0" t="s">
        <v>1507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1036" t="s">
        <v>1525</v>
      </c>
      <c r="J5" s="991"/>
      <c r="K5" s="991"/>
      <c r="L5" s="991"/>
      <c r="M5" s="991"/>
      <c r="N5" s="991"/>
      <c r="O5" s="991"/>
      <c r="P5" s="991"/>
      <c r="Q5" s="991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1526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1527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1528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1529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1530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936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1531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1532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1533</v>
      </c>
      <c r="J16" s="40" t="s">
        <v>1023</v>
      </c>
      <c r="K16" s="782">
        <v>0.29699999999999999</v>
      </c>
      <c r="L16" s="40" t="s">
        <v>1023</v>
      </c>
      <c r="M16" s="40" t="s">
        <v>1023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1534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4" t="s">
        <v>1535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x14ac:dyDescent="0.25">
      <c r="I20" s="786" t="s">
        <v>1536</v>
      </c>
    </row>
    <row r="21" spans="2:17" ht="15.75" customHeight="1" x14ac:dyDescent="0.25">
      <c r="C21" s="12" t="s">
        <v>1255</v>
      </c>
      <c r="D21" s="343">
        <v>6117863200</v>
      </c>
      <c r="E21" s="12" t="s">
        <v>1318</v>
      </c>
      <c r="I21" s="112" t="s">
        <v>1537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25">
      <c r="C22" s="12" t="s">
        <v>1255</v>
      </c>
      <c r="D22" s="343">
        <f>+D21*1000/(1000000000000)</f>
        <v>6.1178632000000004</v>
      </c>
      <c r="E22" s="12" t="s">
        <v>1239</v>
      </c>
      <c r="I22" s="12" t="s">
        <v>1538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1539</v>
      </c>
      <c r="I23" s="12" t="s">
        <v>1540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1541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1542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25"/>
    <row r="27" spans="2:17" ht="15.75" customHeight="1" x14ac:dyDescent="0.25">
      <c r="I27" s="778" t="s">
        <v>1543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1359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1544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1545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1546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1547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1036" t="s">
        <v>1548</v>
      </c>
      <c r="J44" s="991"/>
      <c r="K44" s="991"/>
      <c r="L44" s="991"/>
      <c r="M44" s="991"/>
      <c r="N44" s="991"/>
      <c r="O44" s="991"/>
      <c r="P44" s="991"/>
      <c r="Q44" s="99"/>
    </row>
    <row r="45" spans="9:17" ht="15.75" customHeight="1" x14ac:dyDescent="0.25">
      <c r="I45" s="118"/>
      <c r="J45" s="1037" t="s">
        <v>1549</v>
      </c>
      <c r="K45" s="991"/>
      <c r="L45" s="1037" t="s">
        <v>1550</v>
      </c>
      <c r="M45" s="988"/>
      <c r="N45" s="789"/>
      <c r="O45" s="49" t="s">
        <v>1551</v>
      </c>
      <c r="P45" s="790" t="s">
        <v>1550</v>
      </c>
    </row>
    <row r="46" spans="9:17" ht="15.75" customHeight="1" x14ac:dyDescent="0.25">
      <c r="I46" s="12" t="s">
        <v>1552</v>
      </c>
      <c r="J46" s="14">
        <v>2234</v>
      </c>
      <c r="K46" s="14" t="s">
        <v>1553</v>
      </c>
      <c r="L46" s="402">
        <f>+('5. Data'!AF100+'5. Data'!AF101)*$D$7</f>
        <v>1536.6908880451988</v>
      </c>
      <c r="M46" s="14" t="s">
        <v>1553</v>
      </c>
      <c r="N46" s="791" t="s">
        <v>1552</v>
      </c>
      <c r="O46" s="295">
        <f t="shared" ref="O46:O51" si="10">+J46/$J$53</f>
        <v>0.59700694815606625</v>
      </c>
      <c r="P46" s="792">
        <f>+L46/$L$53</f>
        <v>0.82698632788465398</v>
      </c>
    </row>
    <row r="47" spans="9:17" ht="15.75" customHeight="1" x14ac:dyDescent="0.25">
      <c r="I47" s="12" t="s">
        <v>1188</v>
      </c>
      <c r="J47" s="14">
        <v>508</v>
      </c>
      <c r="K47" s="14" t="s">
        <v>1553</v>
      </c>
      <c r="L47" s="14" t="s">
        <v>1023</v>
      </c>
      <c r="M47" s="14"/>
      <c r="N47" s="791" t="s">
        <v>1188</v>
      </c>
      <c r="O47" s="295">
        <f t="shared" si="10"/>
        <v>0.13575628006413681</v>
      </c>
      <c r="P47" s="792" t="s">
        <v>1023</v>
      </c>
    </row>
    <row r="48" spans="9:17" ht="15.75" customHeight="1" x14ac:dyDescent="0.25">
      <c r="I48" s="12" t="s">
        <v>1146</v>
      </c>
      <c r="J48" s="14">
        <v>584</v>
      </c>
      <c r="K48" s="14" t="s">
        <v>1553</v>
      </c>
      <c r="L48" s="402">
        <f>+'5. Data'!AF99-'5. Data'!AF69</f>
        <v>243.24624083200007</v>
      </c>
      <c r="M48" s="14" t="s">
        <v>1553</v>
      </c>
      <c r="N48" s="791" t="s">
        <v>1146</v>
      </c>
      <c r="O48" s="295">
        <f t="shared" si="10"/>
        <v>0.15606627471940138</v>
      </c>
      <c r="P48" s="792">
        <f t="shared" ref="P48:P52" si="11">+L48/$L$53</f>
        <v>0.13090551720085761</v>
      </c>
    </row>
    <row r="49" spans="9:16" ht="15.75" customHeight="1" x14ac:dyDescent="0.25">
      <c r="I49" s="12" t="s">
        <v>1171</v>
      </c>
      <c r="J49" s="14">
        <v>226</v>
      </c>
      <c r="K49" s="14" t="s">
        <v>1553</v>
      </c>
      <c r="L49" s="402">
        <f>+'5. Data'!AF103</f>
        <v>30.707442634670208</v>
      </c>
      <c r="M49" s="14" t="s">
        <v>1553</v>
      </c>
      <c r="N49" s="791" t="s">
        <v>1171</v>
      </c>
      <c r="O49" s="295">
        <f t="shared" si="10"/>
        <v>6.0395510422234101E-2</v>
      </c>
      <c r="P49" s="792">
        <f t="shared" si="11"/>
        <v>1.6525532506722097E-2</v>
      </c>
    </row>
    <row r="50" spans="9:16" ht="15.75" customHeight="1" x14ac:dyDescent="0.25">
      <c r="I50" s="12" t="s">
        <v>1554</v>
      </c>
      <c r="J50" s="14">
        <v>168</v>
      </c>
      <c r="K50" s="14" t="s">
        <v>1553</v>
      </c>
      <c r="L50" s="402">
        <f>+'5. Data'!AF69</f>
        <v>23.492594688000001</v>
      </c>
      <c r="M50" s="14" t="s">
        <v>1553</v>
      </c>
      <c r="N50" s="791" t="s">
        <v>1554</v>
      </c>
      <c r="O50" s="295">
        <f t="shared" si="10"/>
        <v>4.4895777659005882E-2</v>
      </c>
      <c r="P50" s="792">
        <f t="shared" si="11"/>
        <v>1.2642786369499321E-2</v>
      </c>
    </row>
    <row r="51" spans="9:16" ht="15.75" customHeight="1" x14ac:dyDescent="0.25">
      <c r="I51" s="12" t="s">
        <v>1180</v>
      </c>
      <c r="J51" s="14">
        <v>22</v>
      </c>
      <c r="K51" s="14" t="s">
        <v>1553</v>
      </c>
      <c r="L51" s="402">
        <f>+'5. Data'!AF104</f>
        <v>13.932585988360662</v>
      </c>
      <c r="M51" s="14" t="s">
        <v>1553</v>
      </c>
      <c r="N51" s="791" t="s">
        <v>1180</v>
      </c>
      <c r="O51" s="295">
        <f t="shared" si="10"/>
        <v>5.8792089791555322E-3</v>
      </c>
      <c r="P51" s="792">
        <f t="shared" si="11"/>
        <v>7.4979673622641192E-3</v>
      </c>
    </row>
    <row r="52" spans="9:16" ht="15.75" customHeight="1" x14ac:dyDescent="0.25">
      <c r="I52" s="12" t="s">
        <v>1555</v>
      </c>
      <c r="J52" s="49" t="s">
        <v>1023</v>
      </c>
      <c r="K52" s="49"/>
      <c r="L52" s="785">
        <f>+'5. Data'!AF102</f>
        <v>10.111980967983444</v>
      </c>
      <c r="M52" s="790" t="s">
        <v>1553</v>
      </c>
      <c r="N52" s="789" t="s">
        <v>1555</v>
      </c>
      <c r="O52" s="793" t="s">
        <v>1023</v>
      </c>
      <c r="P52" s="794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1553</v>
      </c>
      <c r="L53" s="402">
        <f>+SUM(L46:L52)</f>
        <v>1858.1817331562133</v>
      </c>
      <c r="M53" s="14" t="s">
        <v>1553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1036" t="s">
        <v>1556</v>
      </c>
      <c r="J57" s="991"/>
      <c r="K57" s="991"/>
      <c r="L57" s="991"/>
      <c r="M57" s="991"/>
      <c r="N57" s="991"/>
      <c r="O57" s="991"/>
      <c r="P57" s="991"/>
    </row>
    <row r="58" spans="9:16" ht="15.75" customHeight="1" x14ac:dyDescent="0.25">
      <c r="J58" s="795" t="s">
        <v>1557</v>
      </c>
      <c r="K58" s="795" t="s">
        <v>1558</v>
      </c>
      <c r="L58" s="795" t="s">
        <v>1559</v>
      </c>
      <c r="M58" s="796" t="s">
        <v>1557</v>
      </c>
      <c r="N58" s="795" t="s">
        <v>1558</v>
      </c>
      <c r="O58" s="797" t="s">
        <v>1559</v>
      </c>
    </row>
    <row r="59" spans="9:16" ht="15.75" customHeight="1" x14ac:dyDescent="0.25">
      <c r="I59" s="12" t="s">
        <v>1552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1188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1146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1171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1554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1180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1555</v>
      </c>
      <c r="J65" s="214" t="s">
        <v>1023</v>
      </c>
      <c r="K65" s="214" t="s">
        <v>1023</v>
      </c>
      <c r="L65" s="214" t="s">
        <v>1023</v>
      </c>
      <c r="M65" s="798"/>
      <c r="N65" s="228"/>
      <c r="O65" s="363"/>
    </row>
    <row r="66" spans="9:17" ht="15.75" customHeight="1" x14ac:dyDescent="0.25">
      <c r="I66" s="12" t="s">
        <v>1560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1561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1562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1563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1544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25">
      <c r="I77" s="12" t="s">
        <v>1557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25">
      <c r="I78" s="12" t="s">
        <v>1558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1559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2023-01-02T22:35:58Z</dcterms:modified>
</cp:coreProperties>
</file>