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3FBAC5C3-0E18-4508-8CC0-122CA8580977}" xr6:coauthVersionLast="47" xr6:coauthVersionMax="47" xr10:uidLastSave="{00000000-0000-0000-0000-000000000000}"/>
  <bookViews>
    <workbookView xWindow="-28920" yWindow="-120" windowWidth="29040" windowHeight="15840" firstSheet="6" activeTab="15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EXP_IMP'!$I$222:$Q$222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1" i="17" l="1"/>
  <c r="E36" i="16"/>
  <c r="E38" i="16"/>
  <c r="O28" i="12"/>
  <c r="P28" i="12"/>
  <c r="N28" i="12"/>
  <c r="Y28" i="12"/>
  <c r="G217" i="16" l="1"/>
  <c r="F216" i="16"/>
  <c r="F215" i="16"/>
  <c r="F220" i="17"/>
  <c r="F221" i="17"/>
  <c r="Q97" i="8"/>
  <c r="G222" i="17"/>
  <c r="R99" i="8"/>
  <c r="E62" i="17"/>
  <c r="G223" i="17"/>
  <c r="E124" i="17"/>
  <c r="G193" i="17"/>
  <c r="G211" i="17"/>
  <c r="C223" i="17"/>
  <c r="C222" i="17"/>
  <c r="C221" i="17"/>
  <c r="C220" i="17"/>
  <c r="E210" i="17"/>
  <c r="E209" i="17"/>
  <c r="E208" i="17"/>
  <c r="E206" i="17"/>
  <c r="E205" i="17"/>
  <c r="E186" i="17"/>
  <c r="E75" i="17"/>
  <c r="E74" i="17"/>
  <c r="F75" i="17"/>
  <c r="E185" i="17"/>
  <c r="D186" i="17"/>
  <c r="E184" i="17"/>
  <c r="E182" i="17"/>
  <c r="D184" i="17"/>
  <c r="E159" i="17"/>
  <c r="J180" i="17" s="1"/>
  <c r="K182" i="17"/>
  <c r="K180" i="17"/>
  <c r="F169" i="17"/>
  <c r="F168" i="17"/>
  <c r="F167" i="17"/>
  <c r="E167" i="17"/>
  <c r="H106" i="17"/>
  <c r="H108" i="17"/>
  <c r="H109" i="17"/>
  <c r="H110" i="17"/>
  <c r="H111" i="17"/>
  <c r="H112" i="17"/>
  <c r="H107" i="17"/>
  <c r="F106" i="17"/>
  <c r="F108" i="17"/>
  <c r="F107" i="17"/>
  <c r="I110" i="17"/>
  <c r="F111" i="17" l="1"/>
  <c r="F110" i="17"/>
  <c r="F109" i="17"/>
  <c r="F103" i="16"/>
  <c r="E109" i="17" l="1"/>
  <c r="E108" i="17"/>
  <c r="E107" i="17"/>
  <c r="E102" i="16"/>
  <c r="E103" i="16"/>
  <c r="H108" i="16"/>
  <c r="E108" i="16"/>
  <c r="E111" i="17"/>
  <c r="I111" i="17" s="1"/>
  <c r="I106" i="17" s="1"/>
  <c r="E102" i="17"/>
  <c r="G55" i="7"/>
  <c r="E110" i="17" l="1"/>
  <c r="P73" i="9"/>
  <c r="P72" i="9"/>
  <c r="P55" i="9"/>
  <c r="D58" i="7"/>
  <c r="D59" i="7"/>
  <c r="F108" i="16"/>
  <c r="E89" i="16"/>
  <c r="E85" i="17"/>
  <c r="E83" i="17"/>
  <c r="E84" i="17"/>
  <c r="E92" i="17"/>
  <c r="E85" i="16" l="1"/>
  <c r="E68" i="17"/>
  <c r="E64" i="17"/>
  <c r="H38" i="17"/>
  <c r="E35" i="17"/>
  <c r="C192" i="17"/>
  <c r="C198" i="17" s="1"/>
  <c r="D182" i="17"/>
  <c r="E198" i="17" s="1"/>
  <c r="D181" i="17"/>
  <c r="C167" i="17"/>
  <c r="C173" i="17" s="1"/>
  <c r="C159" i="17"/>
  <c r="E158" i="17"/>
  <c r="D185" i="17" s="1"/>
  <c r="C158" i="17"/>
  <c r="E157" i="17"/>
  <c r="C157" i="17"/>
  <c r="E156" i="17"/>
  <c r="D183" i="17" s="1"/>
  <c r="D198" i="17" s="1"/>
  <c r="C156" i="17"/>
  <c r="F97" i="17"/>
  <c r="G97" i="17" s="1"/>
  <c r="E50" i="17"/>
  <c r="G47" i="17"/>
  <c r="H46" i="17"/>
  <c r="E45" i="17"/>
  <c r="G39" i="17"/>
  <c r="E36" i="17"/>
  <c r="O22" i="17"/>
  <c r="N22" i="17"/>
  <c r="K22" i="17"/>
  <c r="L22" i="17" s="1"/>
  <c r="J22" i="17"/>
  <c r="O21" i="17"/>
  <c r="N21" i="17"/>
  <c r="K21" i="17"/>
  <c r="L21" i="17" s="1"/>
  <c r="J21" i="17"/>
  <c r="C21" i="17"/>
  <c r="O20" i="17"/>
  <c r="N20" i="17"/>
  <c r="K20" i="17"/>
  <c r="L20" i="17" s="1"/>
  <c r="J20" i="17"/>
  <c r="O19" i="17"/>
  <c r="N19" i="17"/>
  <c r="K19" i="17"/>
  <c r="L19" i="17" s="1"/>
  <c r="J19" i="17"/>
  <c r="O18" i="17"/>
  <c r="N18" i="17"/>
  <c r="K18" i="17"/>
  <c r="L18" i="17" s="1"/>
  <c r="J18" i="17"/>
  <c r="O17" i="17"/>
  <c r="N17" i="17"/>
  <c r="K17" i="17"/>
  <c r="L17" i="17" s="1"/>
  <c r="J17" i="17"/>
  <c r="D17" i="17"/>
  <c r="C17" i="17"/>
  <c r="E17" i="17" s="1"/>
  <c r="B17" i="17"/>
  <c r="O16" i="17"/>
  <c r="N16" i="17"/>
  <c r="K16" i="17"/>
  <c r="L16" i="17" s="1"/>
  <c r="J16" i="17"/>
  <c r="D16" i="17"/>
  <c r="C16" i="17"/>
  <c r="E16" i="17" s="1"/>
  <c r="B16" i="17"/>
  <c r="O15" i="17"/>
  <c r="N15" i="17"/>
  <c r="K15" i="17"/>
  <c r="L15" i="17" s="1"/>
  <c r="J15" i="17"/>
  <c r="D15" i="17"/>
  <c r="C15" i="17"/>
  <c r="B15" i="17"/>
  <c r="A15" i="17"/>
  <c r="O14" i="17"/>
  <c r="N14" i="17"/>
  <c r="K14" i="17"/>
  <c r="L14" i="17" s="1"/>
  <c r="J14" i="17"/>
  <c r="D14" i="17"/>
  <c r="C14" i="17"/>
  <c r="E14" i="17" s="1"/>
  <c r="B14" i="17"/>
  <c r="A14" i="17"/>
  <c r="O13" i="17"/>
  <c r="N13" i="17"/>
  <c r="K13" i="17"/>
  <c r="L13" i="17" s="1"/>
  <c r="J13" i="17"/>
  <c r="D13" i="17"/>
  <c r="C13" i="17"/>
  <c r="E13" i="17" s="1"/>
  <c r="B13" i="17"/>
  <c r="A13" i="17"/>
  <c r="O12" i="17"/>
  <c r="N12" i="17"/>
  <c r="K12" i="17"/>
  <c r="L12" i="17" s="1"/>
  <c r="J12" i="17"/>
  <c r="D12" i="17"/>
  <c r="C12" i="17"/>
  <c r="B12" i="17"/>
  <c r="A12" i="17"/>
  <c r="O11" i="17"/>
  <c r="N11" i="17"/>
  <c r="K11" i="17"/>
  <c r="L11" i="17" s="1"/>
  <c r="J11" i="17"/>
  <c r="D11" i="17"/>
  <c r="C11" i="17"/>
  <c r="E11" i="17" s="1"/>
  <c r="B11" i="17"/>
  <c r="A11" i="17"/>
  <c r="O10" i="17"/>
  <c r="U11" i="17" s="1"/>
  <c r="N10" i="17"/>
  <c r="K10" i="17"/>
  <c r="L10" i="17" s="1"/>
  <c r="J10" i="17"/>
  <c r="B10" i="17"/>
  <c r="A10" i="17"/>
  <c r="O9" i="17"/>
  <c r="N9" i="17"/>
  <c r="K9" i="17"/>
  <c r="L9" i="17" s="1"/>
  <c r="J9" i="17"/>
  <c r="B9" i="17"/>
  <c r="A9" i="17"/>
  <c r="O8" i="17"/>
  <c r="N8" i="17"/>
  <c r="K8" i="17"/>
  <c r="L8" i="17" s="1"/>
  <c r="J8" i="17"/>
  <c r="D8" i="17"/>
  <c r="D9" i="17" s="1"/>
  <c r="D10" i="17" s="1"/>
  <c r="C8" i="17"/>
  <c r="B8" i="17"/>
  <c r="A8" i="17"/>
  <c r="O7" i="17"/>
  <c r="N7" i="17"/>
  <c r="K7" i="17"/>
  <c r="L7" i="17" s="1"/>
  <c r="J7" i="17"/>
  <c r="D7" i="17"/>
  <c r="C7" i="17"/>
  <c r="E7" i="17" s="1"/>
  <c r="B7" i="17"/>
  <c r="A7" i="17"/>
  <c r="O6" i="17"/>
  <c r="N6" i="17"/>
  <c r="K6" i="17"/>
  <c r="L6" i="17" s="1"/>
  <c r="J6" i="17"/>
  <c r="D6" i="17"/>
  <c r="C6" i="17"/>
  <c r="B6" i="17"/>
  <c r="O5" i="17"/>
  <c r="N5" i="17"/>
  <c r="K5" i="17"/>
  <c r="J5" i="17"/>
  <c r="D5" i="17"/>
  <c r="K4" i="17"/>
  <c r="D4" i="17"/>
  <c r="C4" i="17"/>
  <c r="A2" i="17"/>
  <c r="P89" i="8"/>
  <c r="P90" i="8"/>
  <c r="Q98" i="8"/>
  <c r="G218" i="16"/>
  <c r="E205" i="16"/>
  <c r="E204" i="16"/>
  <c r="E203" i="16"/>
  <c r="E202" i="16"/>
  <c r="E201" i="16"/>
  <c r="E200" i="16"/>
  <c r="H104" i="16"/>
  <c r="H105" i="16"/>
  <c r="H106" i="16"/>
  <c r="H107" i="16"/>
  <c r="H103" i="16"/>
  <c r="H109" i="16" s="1"/>
  <c r="R118" i="8"/>
  <c r="E193" i="16"/>
  <c r="C187" i="16"/>
  <c r="C193" i="16" s="1"/>
  <c r="H175" i="16"/>
  <c r="J175" i="16"/>
  <c r="K175" i="16"/>
  <c r="G177" i="16"/>
  <c r="H177" i="16"/>
  <c r="I177" i="16"/>
  <c r="J177" i="16"/>
  <c r="K177" i="16"/>
  <c r="D179" i="16"/>
  <c r="D178" i="16"/>
  <c r="D193" i="16" s="1"/>
  <c r="C154" i="16"/>
  <c r="C153" i="16"/>
  <c r="D180" i="16" s="1"/>
  <c r="A154" i="16"/>
  <c r="A153" i="16"/>
  <c r="D177" i="16"/>
  <c r="D176" i="16"/>
  <c r="F164" i="16"/>
  <c r="F163" i="16"/>
  <c r="F162" i="16"/>
  <c r="C162" i="16"/>
  <c r="C168" i="16" s="1"/>
  <c r="C152" i="16"/>
  <c r="I175" i="16" s="1"/>
  <c r="A152" i="16"/>
  <c r="C151" i="16"/>
  <c r="A151" i="16"/>
  <c r="E68" i="16"/>
  <c r="F76" i="17" l="1"/>
  <c r="E61" i="17"/>
  <c r="J59" i="17"/>
  <c r="M6" i="17"/>
  <c r="P6" i="17" s="1"/>
  <c r="M7" i="17"/>
  <c r="P7" i="17" s="1"/>
  <c r="M8" i="17"/>
  <c r="P8" i="17" s="1"/>
  <c r="M10" i="17"/>
  <c r="P10" i="17" s="1"/>
  <c r="M11" i="17"/>
  <c r="P11" i="17" s="1"/>
  <c r="M12" i="17"/>
  <c r="P12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E51" i="17"/>
  <c r="E52" i="17" s="1"/>
  <c r="E53" i="17" s="1"/>
  <c r="U9" i="17"/>
  <c r="M9" i="17"/>
  <c r="P9" i="17" s="1"/>
  <c r="M19" i="17"/>
  <c r="P19" i="17" s="1"/>
  <c r="E38" i="17"/>
  <c r="E173" i="17"/>
  <c r="C9" i="17"/>
  <c r="E8" i="17"/>
  <c r="G102" i="17" s="1"/>
  <c r="F112" i="17" s="1"/>
  <c r="E112" i="17" s="1"/>
  <c r="E12" i="17"/>
  <c r="E15" i="17"/>
  <c r="C193" i="17"/>
  <c r="C188" i="16"/>
  <c r="E117" i="17" l="1"/>
  <c r="E116" i="17"/>
  <c r="E119" i="17"/>
  <c r="G38" i="17"/>
  <c r="F74" i="17"/>
  <c r="J58" i="17"/>
  <c r="E93" i="17" s="1"/>
  <c r="J93" i="17" s="1"/>
  <c r="E82" i="17" s="1"/>
  <c r="F72" i="17" s="1"/>
  <c r="E72" i="17" s="1"/>
  <c r="F73" i="17"/>
  <c r="E73" i="17" s="1"/>
  <c r="E121" i="17" s="1"/>
  <c r="V10" i="17"/>
  <c r="W10" i="17" s="1"/>
  <c r="X10" i="17" s="1"/>
  <c r="G36" i="17" s="1"/>
  <c r="I36" i="17" s="1"/>
  <c r="J36" i="17" s="1"/>
  <c r="V11" i="17"/>
  <c r="W11" i="17" s="1"/>
  <c r="X11" i="17" s="1"/>
  <c r="G37" i="17" s="1"/>
  <c r="I37" i="17" s="1"/>
  <c r="J37" i="17" s="1"/>
  <c r="G46" i="17"/>
  <c r="V9" i="17"/>
  <c r="W9" i="17" s="1"/>
  <c r="X9" i="17" s="1"/>
  <c r="G35" i="17" s="1"/>
  <c r="I35" i="17" s="1"/>
  <c r="J35" i="17" s="1"/>
  <c r="C10" i="17"/>
  <c r="E10" i="17" s="1"/>
  <c r="E9" i="17"/>
  <c r="E120" i="17"/>
  <c r="E118" i="17"/>
  <c r="E64" i="16"/>
  <c r="O111" i="8"/>
  <c r="F96" i="16"/>
  <c r="G96" i="16" s="1"/>
  <c r="G188" i="16" s="1"/>
  <c r="C21" i="16"/>
  <c r="E86" i="17" l="1"/>
  <c r="E87" i="17" s="1"/>
  <c r="G44" i="17"/>
  <c r="I44" i="17" s="1"/>
  <c r="J44" i="17" s="1"/>
  <c r="E207" i="17"/>
  <c r="G45" i="17"/>
  <c r="I45" i="17" s="1"/>
  <c r="J45" i="17" s="1"/>
  <c r="J38" i="17"/>
  <c r="G43" i="17"/>
  <c r="I43" i="17" s="1"/>
  <c r="J43" i="17" s="1"/>
  <c r="A2" i="16"/>
  <c r="E72" i="16"/>
  <c r="F72" i="16" s="1"/>
  <c r="G79" i="16"/>
  <c r="E74" i="16" s="1"/>
  <c r="J46" i="17" l="1"/>
  <c r="E50" i="16"/>
  <c r="E168" i="16" s="1"/>
  <c r="D30" i="14" l="1"/>
  <c r="G47" i="16"/>
  <c r="H46" i="16"/>
  <c r="G39" i="16"/>
  <c r="H38" i="16"/>
  <c r="E45" i="16"/>
  <c r="E37" i="16"/>
  <c r="J20" i="10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P67" i="12"/>
  <c r="J5" i="16"/>
  <c r="K5" i="16"/>
  <c r="N5" i="16"/>
  <c r="O5" i="16"/>
  <c r="J6" i="16"/>
  <c r="K6" i="16"/>
  <c r="L6" i="16" s="1"/>
  <c r="N6" i="16"/>
  <c r="J7" i="16"/>
  <c r="K7" i="16"/>
  <c r="L7" i="16" s="1"/>
  <c r="N7" i="16"/>
  <c r="J8" i="16"/>
  <c r="K8" i="16"/>
  <c r="L8" i="16" s="1"/>
  <c r="N8" i="16"/>
  <c r="J9" i="16"/>
  <c r="K9" i="16"/>
  <c r="L9" i="16" s="1"/>
  <c r="N9" i="16"/>
  <c r="J10" i="16"/>
  <c r="K10" i="16"/>
  <c r="L10" i="16" s="1"/>
  <c r="M10" i="16" s="1"/>
  <c r="J11" i="16"/>
  <c r="K11" i="16"/>
  <c r="L11" i="16" s="1"/>
  <c r="N11" i="16"/>
  <c r="J12" i="16"/>
  <c r="K12" i="16"/>
  <c r="L12" i="16" s="1"/>
  <c r="N12" i="16"/>
  <c r="J13" i="16"/>
  <c r="K13" i="16"/>
  <c r="L13" i="16" s="1"/>
  <c r="M13" i="16" s="1"/>
  <c r="N13" i="16"/>
  <c r="J14" i="16"/>
  <c r="K14" i="16"/>
  <c r="L14" i="16" s="1"/>
  <c r="N14" i="16"/>
  <c r="J15" i="16"/>
  <c r="K15" i="16"/>
  <c r="L15" i="16" s="1"/>
  <c r="N15" i="16"/>
  <c r="J16" i="16"/>
  <c r="K16" i="16"/>
  <c r="L16" i="16" s="1"/>
  <c r="N16" i="16"/>
  <c r="J17" i="16"/>
  <c r="K17" i="16"/>
  <c r="L17" i="16" s="1"/>
  <c r="M17" i="16" s="1"/>
  <c r="N17" i="16"/>
  <c r="J18" i="16"/>
  <c r="K18" i="16"/>
  <c r="L18" i="16" s="1"/>
  <c r="N18" i="16"/>
  <c r="J19" i="16"/>
  <c r="K19" i="16"/>
  <c r="L19" i="16" s="1"/>
  <c r="N19" i="16"/>
  <c r="J20" i="16"/>
  <c r="K20" i="16"/>
  <c r="L20" i="16" s="1"/>
  <c r="N20" i="16"/>
  <c r="J21" i="16"/>
  <c r="K21" i="16"/>
  <c r="L21" i="16" s="1"/>
  <c r="M21" i="16" s="1"/>
  <c r="N21" i="16"/>
  <c r="J22" i="16"/>
  <c r="K22" i="16"/>
  <c r="L22" i="16" s="1"/>
  <c r="N22" i="16"/>
  <c r="D17" i="16"/>
  <c r="C17" i="16"/>
  <c r="F73" i="16" s="1"/>
  <c r="B17" i="16"/>
  <c r="D16" i="16"/>
  <c r="C16" i="16"/>
  <c r="E16" i="16" s="1"/>
  <c r="B16" i="16"/>
  <c r="D15" i="16"/>
  <c r="C15" i="16"/>
  <c r="B15" i="16"/>
  <c r="A15" i="16"/>
  <c r="D14" i="16"/>
  <c r="C14" i="16"/>
  <c r="B14" i="16"/>
  <c r="A14" i="16"/>
  <c r="D13" i="16"/>
  <c r="C13" i="16"/>
  <c r="B13" i="16"/>
  <c r="A13" i="16"/>
  <c r="D12" i="16"/>
  <c r="C12" i="16"/>
  <c r="B12" i="16"/>
  <c r="A12" i="16"/>
  <c r="D11" i="16"/>
  <c r="C11" i="16"/>
  <c r="B11" i="16"/>
  <c r="A11" i="16"/>
  <c r="B10" i="16"/>
  <c r="A10" i="16"/>
  <c r="B9" i="16"/>
  <c r="A9" i="16"/>
  <c r="D8" i="16"/>
  <c r="D9" i="16" s="1"/>
  <c r="D10" i="16" s="1"/>
  <c r="C8" i="16"/>
  <c r="E61" i="16" s="1"/>
  <c r="B8" i="16"/>
  <c r="A8" i="16"/>
  <c r="D7" i="16"/>
  <c r="C7" i="16"/>
  <c r="B7" i="16"/>
  <c r="A7" i="16"/>
  <c r="D6" i="16"/>
  <c r="C6" i="16"/>
  <c r="B6" i="16"/>
  <c r="D5" i="16"/>
  <c r="D4" i="16"/>
  <c r="C4" i="16"/>
  <c r="Q56" i="8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L35" i="13"/>
  <c r="DQ34" i="13"/>
  <c r="DP34" i="13"/>
  <c r="DN35" i="13"/>
  <c r="DN34" i="13"/>
  <c r="DL34" i="13"/>
  <c r="DN32" i="13"/>
  <c r="DN33" i="13"/>
  <c r="E11" i="16" l="1"/>
  <c r="E12" i="16"/>
  <c r="F104" i="16"/>
  <c r="E113" i="16" s="1"/>
  <c r="E13" i="16"/>
  <c r="F105" i="16"/>
  <c r="E114" i="16" s="1"/>
  <c r="E14" i="16"/>
  <c r="F76" i="16" s="1"/>
  <c r="F107" i="16"/>
  <c r="E116" i="16" s="1"/>
  <c r="E15" i="16"/>
  <c r="F106" i="16"/>
  <c r="E115" i="16" s="1"/>
  <c r="E86" i="16"/>
  <c r="E117" i="16"/>
  <c r="E7" i="16"/>
  <c r="F74" i="16"/>
  <c r="E87" i="16" s="1"/>
  <c r="E17" i="16"/>
  <c r="I46" i="16"/>
  <c r="G46" i="16" s="1"/>
  <c r="C9" i="16"/>
  <c r="E62" i="16" s="1"/>
  <c r="E8" i="16"/>
  <c r="E51" i="16"/>
  <c r="E52" i="16" s="1"/>
  <c r="E53" i="16" s="1"/>
  <c r="M22" i="16"/>
  <c r="P22" i="16" s="1"/>
  <c r="M14" i="16"/>
  <c r="P14" i="16" s="1"/>
  <c r="M7" i="16"/>
  <c r="M19" i="16"/>
  <c r="P19" i="16" s="1"/>
  <c r="M15" i="16"/>
  <c r="M11" i="16"/>
  <c r="M6" i="16"/>
  <c r="P6" i="16" s="1"/>
  <c r="M18" i="16"/>
  <c r="P18" i="16" s="1"/>
  <c r="M20" i="16"/>
  <c r="M16" i="16"/>
  <c r="M12" i="16"/>
  <c r="P12" i="16" s="1"/>
  <c r="M9" i="16"/>
  <c r="U11" i="16"/>
  <c r="U10" i="16"/>
  <c r="M8" i="16"/>
  <c r="P8" i="16" s="1"/>
  <c r="P9" i="16"/>
  <c r="P21" i="16"/>
  <c r="P17" i="16"/>
  <c r="P13" i="16"/>
  <c r="P10" i="16"/>
  <c r="P15" i="16"/>
  <c r="P11" i="16"/>
  <c r="P7" i="16"/>
  <c r="U9" i="16"/>
  <c r="P20" i="16"/>
  <c r="P16" i="16"/>
  <c r="G184" i="12"/>
  <c r="G185" i="12" s="1"/>
  <c r="G186" i="12" s="1"/>
  <c r="E73" i="5"/>
  <c r="AR49" i="13"/>
  <c r="AR48" i="13"/>
  <c r="DC26" i="13"/>
  <c r="CB18" i="13"/>
  <c r="T23" i="9"/>
  <c r="E57" i="4"/>
  <c r="E56" i="4"/>
  <c r="E55" i="4"/>
  <c r="Q135" i="8"/>
  <c r="O135" i="8"/>
  <c r="V23" i="9"/>
  <c r="N144" i="12"/>
  <c r="N143" i="12"/>
  <c r="N142" i="12"/>
  <c r="N141" i="12"/>
  <c r="CG9" i="13"/>
  <c r="CC9" i="13" s="1"/>
  <c r="CC10" i="13" s="1"/>
  <c r="C9" i="13" a="1"/>
  <c r="C12" i="13" s="1"/>
  <c r="CW10" i="13"/>
  <c r="CS27" i="13" s="1"/>
  <c r="CW11" i="13"/>
  <c r="CS28" i="13" s="1"/>
  <c r="CW12" i="13"/>
  <c r="CS29" i="13" s="1"/>
  <c r="CW13" i="13"/>
  <c r="CS30" i="13" s="1"/>
  <c r="CW14" i="13"/>
  <c r="CS31" i="13" s="1"/>
  <c r="CW15" i="13"/>
  <c r="CS32" i="13" s="1"/>
  <c r="CW9" i="13"/>
  <c r="CS26" i="13" s="1"/>
  <c r="I101" i="5"/>
  <c r="I102" i="5"/>
  <c r="I103" i="5"/>
  <c r="I104" i="5"/>
  <c r="I100" i="5"/>
  <c r="BM9" i="13" a="1"/>
  <c r="BM9" i="13" s="1"/>
  <c r="BQ9" i="13" s="1" a="1"/>
  <c r="BQ9" i="13" s="1"/>
  <c r="AP16" i="13" a="1"/>
  <c r="AP16" i="13" s="1"/>
  <c r="E179" i="16" l="1"/>
  <c r="E112" i="16"/>
  <c r="F102" i="16"/>
  <c r="E119" i="16" s="1"/>
  <c r="J47" i="16"/>
  <c r="C10" i="16"/>
  <c r="E10" i="16" s="1"/>
  <c r="E9" i="16"/>
  <c r="V9" i="16"/>
  <c r="W9" i="16" s="1"/>
  <c r="X9" i="16" s="1"/>
  <c r="G35" i="16" s="1"/>
  <c r="V10" i="16"/>
  <c r="W10" i="16" s="1"/>
  <c r="X10" i="16" s="1"/>
  <c r="G36" i="16" s="1"/>
  <c r="V11" i="16"/>
  <c r="W11" i="16" s="1"/>
  <c r="X11" i="16" s="1"/>
  <c r="G37" i="16" s="1"/>
  <c r="C11" i="13"/>
  <c r="C14" i="13"/>
  <c r="C10" i="13"/>
  <c r="C13" i="13"/>
  <c r="C9" i="13"/>
  <c r="C15" i="13"/>
  <c r="CS9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AV35" i="13"/>
  <c r="AT35" i="13"/>
  <c r="AS35" i="13"/>
  <c r="AT34" i="13"/>
  <c r="BE33" i="13"/>
  <c r="BD33" i="13"/>
  <c r="BB33" i="13"/>
  <c r="AV33" i="13"/>
  <c r="AT33" i="13"/>
  <c r="AS33" i="13"/>
  <c r="DC32" i="13"/>
  <c r="DG15" i="13" s="1"/>
  <c r="DC31" i="13"/>
  <c r="BE31" i="13"/>
  <c r="BD31" i="13"/>
  <c r="BB31" i="13"/>
  <c r="AV31" i="13"/>
  <c r="AU31" i="13"/>
  <c r="AU33" i="13" s="1"/>
  <c r="AU35" i="13" s="1"/>
  <c r="AS31" i="13"/>
  <c r="DC30" i="13"/>
  <c r="DG13" i="13" s="1"/>
  <c r="AP30" i="13"/>
  <c r="AN30" i="13"/>
  <c r="DC29" i="13"/>
  <c r="BE29" i="13"/>
  <c r="BD29" i="13"/>
  <c r="BB29" i="13"/>
  <c r="AV29" i="13"/>
  <c r="AU29" i="13"/>
  <c r="AS29" i="13"/>
  <c r="DF28" i="13"/>
  <c r="DC28" i="13"/>
  <c r="DG27" i="13"/>
  <c r="DC27" i="13"/>
  <c r="DG10" i="13" s="1"/>
  <c r="DB27" i="13"/>
  <c r="DB28" i="13" s="1"/>
  <c r="AX27" i="13"/>
  <c r="BG26" i="13"/>
  <c r="AX26" i="13"/>
  <c r="BG25" i="13"/>
  <c r="AX25" i="13"/>
  <c r="BG24" i="13"/>
  <c r="AX24" i="13"/>
  <c r="DL23" i="13"/>
  <c r="DQ23" i="13" s="1"/>
  <c r="DV23" i="13" s="1"/>
  <c r="AT23" i="13"/>
  <c r="AP23" i="13" a="1"/>
  <c r="AP27" i="13" s="1"/>
  <c r="R22" i="13"/>
  <c r="CS21" i="13"/>
  <c r="BE21" i="13" a="1"/>
  <c r="BE22" i="13" s="1"/>
  <c r="BD21" i="13"/>
  <c r="BD22" i="13" s="1"/>
  <c r="AV21" i="13" a="1"/>
  <c r="AU21" i="13"/>
  <c r="AU22" i="13" s="1"/>
  <c r="AU23" i="13" s="1"/>
  <c r="AT20" i="13"/>
  <c r="R20" i="13"/>
  <c r="CS19" i="13"/>
  <c r="BD19" i="13"/>
  <c r="BE18" i="13" a="1"/>
  <c r="BD18" i="13"/>
  <c r="AV19" i="13"/>
  <c r="AV18" i="13" a="1"/>
  <c r="AV18" i="13" s="1"/>
  <c r="AU18" i="13"/>
  <c r="AU19" i="13" s="1"/>
  <c r="AU20" i="13" s="1"/>
  <c r="R18" i="13"/>
  <c r="CS17" i="13"/>
  <c r="CI17" i="13"/>
  <c r="CM13" i="13" s="1"/>
  <c r="CA17" i="13"/>
  <c r="AT17" i="13"/>
  <c r="AU16" i="13"/>
  <c r="AU17" i="13" s="1"/>
  <c r="R16" i="13"/>
  <c r="CS15" i="13"/>
  <c r="CI15" i="13"/>
  <c r="CM12" i="13" s="1"/>
  <c r="CA15" i="13"/>
  <c r="BE15" i="13" a="1"/>
  <c r="BD15" i="13"/>
  <c r="BD16" i="13" s="1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14" i="13"/>
  <c r="BB12" i="13" a="1"/>
  <c r="BB20" i="13" s="1"/>
  <c r="AV13" i="13"/>
  <c r="AV12" i="13" a="1"/>
  <c r="AV12" i="13" s="1"/>
  <c r="AU12" i="13"/>
  <c r="AU13" i="13" s="1"/>
  <c r="AU14" i="13" s="1"/>
  <c r="AS17" i="13"/>
  <c r="AS12" i="13" a="1"/>
  <c r="AS23" i="13" s="1"/>
  <c r="G12" i="13"/>
  <c r="DV11" i="13"/>
  <c r="DQ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R12" i="13" s="1"/>
  <c r="R14" i="13" s="1"/>
  <c r="DL10" i="13"/>
  <c r="CO10" i="13"/>
  <c r="CK11" i="13" s="1"/>
  <c r="CK12" i="13" s="1"/>
  <c r="CM10" i="13"/>
  <c r="CJ10" i="13"/>
  <c r="CJ12" i="13" s="1"/>
  <c r="CG10" i="13"/>
  <c r="CF10" i="13"/>
  <c r="CE10" i="13"/>
  <c r="BH10" i="13"/>
  <c r="R10" i="13"/>
  <c r="G10" i="13"/>
  <c r="DW14" i="13"/>
  <c r="CT32" i="13" s="1"/>
  <c r="DW10" i="13"/>
  <c r="CT27" i="13" s="1"/>
  <c r="CT28" i="13" s="1"/>
  <c r="DW9" i="13" a="1"/>
  <c r="DW13" i="13" s="1"/>
  <c r="CT31" i="13" s="1"/>
  <c r="DV9" i="13"/>
  <c r="DU11" i="13"/>
  <c r="DU9" i="13" a="1"/>
  <c r="DU13" i="13" s="1"/>
  <c r="DR9" i="13" a="1"/>
  <c r="DR14" i="13" s="1"/>
  <c r="DQ9" i="13"/>
  <c r="DP9" i="13" a="1"/>
  <c r="DL9" i="13"/>
  <c r="DK14" i="13"/>
  <c r="DK27" i="13" s="1"/>
  <c r="DK11" i="13"/>
  <c r="DK24" i="13" s="1"/>
  <c r="DK10" i="13"/>
  <c r="DK23" i="13" s="1"/>
  <c r="DK9" i="13" a="1"/>
  <c r="DK13" i="13" s="1"/>
  <c r="DK26" i="13" s="1"/>
  <c r="DG9" i="13"/>
  <c r="CO9" i="13"/>
  <c r="CK9" i="13" s="1"/>
  <c r="CK10" i="13" s="1"/>
  <c r="CI9" i="13"/>
  <c r="CM9" i="13" s="1"/>
  <c r="CF9" i="13"/>
  <c r="CA9" i="13"/>
  <c r="CE9" i="13" s="1"/>
  <c r="CM29" i="13" s="1" a="1"/>
  <c r="BE10" i="13"/>
  <c r="BE9" i="13" a="1"/>
  <c r="BE11" i="13" s="1"/>
  <c r="BE9" i="13"/>
  <c r="BD9" i="13"/>
  <c r="DB26" i="13" s="1"/>
  <c r="BB9" i="13" a="1"/>
  <c r="BB9" i="13" s="1"/>
  <c r="AV9" i="13" a="1"/>
  <c r="AV9" i="13"/>
  <c r="AU9" i="13"/>
  <c r="DM9" i="13" s="1"/>
  <c r="AS9" i="13" a="1"/>
  <c r="AP13" i="13"/>
  <c r="AO60" i="13" s="1"/>
  <c r="AP10" i="13"/>
  <c r="AP9" i="13" a="1"/>
  <c r="AP15" i="13" s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X188" i="12"/>
  <c r="X187" i="12"/>
  <c r="X186" i="12"/>
  <c r="X185" i="12"/>
  <c r="X184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AG29" i="13"/>
  <c r="K144" i="12"/>
  <c r="AG28" i="13"/>
  <c r="AG27" i="13"/>
  <c r="M142" i="12"/>
  <c r="AG26" i="13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U23" i="9" s="1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D47" i="9"/>
  <c r="O153" i="9" s="1"/>
  <c r="B47" i="9"/>
  <c r="D46" i="9"/>
  <c r="O123" i="9" s="1"/>
  <c r="B46" i="9"/>
  <c r="O44" i="9"/>
  <c r="O43" i="9"/>
  <c r="O42" i="9"/>
  <c r="N41" i="9"/>
  <c r="Y40" i="9"/>
  <c r="Z38" i="9" s="1"/>
  <c r="P34" i="9"/>
  <c r="P3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2" i="8"/>
  <c r="O132" i="8"/>
  <c r="G132" i="8"/>
  <c r="E132" i="8"/>
  <c r="X131" i="8"/>
  <c r="G131" i="8"/>
  <c r="P123" i="8"/>
  <c r="O123" i="8"/>
  <c r="O152" i="8" s="1"/>
  <c r="N123" i="8"/>
  <c r="N118" i="8"/>
  <c r="P111" i="8"/>
  <c r="X108" i="8"/>
  <c r="X110" i="8" s="1"/>
  <c r="X111" i="8" s="1"/>
  <c r="X112" i="8" s="1"/>
  <c r="X113" i="8" s="1"/>
  <c r="O108" i="8"/>
  <c r="P108" i="8" s="1"/>
  <c r="R100" i="8"/>
  <c r="O98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B20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E90" i="16" l="1"/>
  <c r="H90" i="16" s="1"/>
  <c r="E180" i="16"/>
  <c r="E178" i="16"/>
  <c r="E176" i="16"/>
  <c r="E177" i="16"/>
  <c r="I36" i="16"/>
  <c r="J36" i="16" s="1"/>
  <c r="G44" i="16"/>
  <c r="I44" i="16" s="1"/>
  <c r="J44" i="16" s="1"/>
  <c r="I35" i="16"/>
  <c r="J35" i="16" s="1"/>
  <c r="G43" i="16"/>
  <c r="I43" i="16" s="1"/>
  <c r="J43" i="16" s="1"/>
  <c r="I37" i="16"/>
  <c r="J37" i="16" s="1"/>
  <c r="G45" i="16"/>
  <c r="I45" i="16" s="1"/>
  <c r="J45" i="16" s="1"/>
  <c r="AQ60" i="13"/>
  <c r="AT16" i="13"/>
  <c r="AP11" i="13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BB18" i="13"/>
  <c r="AP23" i="13"/>
  <c r="AP43" i="13"/>
  <c r="AT11" i="13"/>
  <c r="L94" i="10"/>
  <c r="E8" i="8"/>
  <c r="E8" i="9"/>
  <c r="J9" i="3"/>
  <c r="J10" i="3" s="1"/>
  <c r="F15" i="9"/>
  <c r="G8" i="6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N10" i="16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63" i="8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DR13" i="13"/>
  <c r="CB16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J36" i="15" a="1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J38" i="16" l="1"/>
  <c r="J46" i="16"/>
  <c r="AT13" i="13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BR12" i="13" s="1"/>
  <c r="AO9" i="13"/>
  <c r="BR9" i="13" s="1"/>
  <c r="AO13" i="13"/>
  <c r="BR13" i="13" s="1"/>
  <c r="AO11" i="13"/>
  <c r="BR11" i="13" s="1"/>
  <c r="AO15" i="13"/>
  <c r="BR15" i="13" s="1"/>
  <c r="AO10" i="13"/>
  <c r="BR10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E10" i="13"/>
  <c r="DE13" i="13"/>
  <c r="DE11" i="13"/>
  <c r="DE9" i="13"/>
  <c r="DE15" i="13"/>
  <c r="DE12" i="13"/>
  <c r="BG18" i="13"/>
  <c r="BG10" i="13"/>
  <c r="BG17" i="13"/>
  <c r="BG20" i="13"/>
  <c r="BG19" i="13"/>
  <c r="BG16" i="13"/>
  <c r="BG23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15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AA99" i="12" l="1"/>
  <c r="R156" i="12" s="1"/>
  <c r="BW10" i="13" s="1"/>
  <c r="BW9" i="13" s="1"/>
  <c r="BC9" i="13" a="1"/>
  <c r="Y11" i="13"/>
  <c r="BG9" i="13"/>
  <c r="BG12" i="13"/>
  <c r="BG21" i="13"/>
  <c r="BG22" i="13"/>
  <c r="DA13" i="13"/>
  <c r="DA28" i="13"/>
  <c r="DA9" i="13"/>
  <c r="DA26" i="13"/>
  <c r="Y14" i="13"/>
  <c r="Y13" i="13"/>
  <c r="DA15" i="13"/>
  <c r="DA29" i="13"/>
  <c r="DA17" i="13"/>
  <c r="DA30" i="13"/>
  <c r="DA19" i="13"/>
  <c r="DA31" i="13"/>
  <c r="Y10" i="13"/>
  <c r="BG15" i="13"/>
  <c r="BG11" i="13"/>
  <c r="BG13" i="13"/>
  <c r="DA21" i="13"/>
  <c r="DA32" i="13"/>
  <c r="DA11" i="13"/>
  <c r="DA27" i="13"/>
  <c r="AI9" i="13"/>
  <c r="AE26" i="13" a="1"/>
  <c r="AE26" i="13" s="1"/>
  <c r="P128" i="3"/>
  <c r="Q128" i="3" s="1"/>
  <c r="J128" i="3"/>
  <c r="BF109" i="12"/>
  <c r="BT109" i="12"/>
  <c r="AZ110" i="12"/>
  <c r="BN110" i="12"/>
  <c r="BG109" i="12"/>
  <c r="BU109" i="12"/>
  <c r="I109" i="3"/>
  <c r="H109" i="3"/>
  <c r="BX99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BU19" i="13"/>
  <c r="BU11" i="13"/>
  <c r="BU17" i="13"/>
  <c r="BU15" i="13"/>
  <c r="BU13" i="13"/>
  <c r="BU9" i="13"/>
  <c r="BU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T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AY104" i="12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BN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Q102" i="12"/>
  <c r="BV102" i="12"/>
  <c r="BA107" i="12"/>
  <c r="BO107" i="12"/>
  <c r="BF108" i="12"/>
  <c r="BT108" i="12"/>
  <c r="O51" i="13" a="1"/>
  <c r="BP107" i="12"/>
  <c r="BB107" i="12"/>
  <c r="BU108" i="12"/>
  <c r="BG108" i="12"/>
  <c r="BP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H106" i="12"/>
  <c r="BV106" i="12"/>
  <c r="BQ100" i="12"/>
  <c r="BO106" i="12"/>
  <c r="BA106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AX104" i="12"/>
  <c r="BL104" i="12"/>
  <c r="Z111" i="12"/>
  <c r="Y111" i="12"/>
  <c r="X111" i="12"/>
  <c r="W111" i="12"/>
  <c r="AC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W16" i="13" s="1"/>
  <c r="BW15" i="13" s="1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BS101" i="12" l="1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L100" i="12"/>
  <c r="J134" i="3"/>
  <c r="P134" i="3"/>
  <c r="W14" i="13"/>
  <c r="W30" i="13" s="1"/>
  <c r="BH100" i="12"/>
  <c r="BH101" i="12"/>
  <c r="BH117" i="12" s="1"/>
  <c r="BH118" i="12" s="1"/>
  <c r="BX100" i="12"/>
  <c r="BW14" i="13"/>
  <c r="BW13" i="13" s="1"/>
  <c r="S158" i="12"/>
  <c r="BX104" i="12"/>
  <c r="BK104" i="12"/>
  <c r="BK117" i="12" s="1"/>
  <c r="BK118" i="12" s="1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17" i="12" s="1"/>
  <c r="BV118" i="12" s="1"/>
  <c r="BV101" i="12"/>
  <c r="BJ100" i="12"/>
  <c r="BT101" i="12"/>
  <c r="BO100" i="12"/>
  <c r="BO117" i="12" s="1"/>
  <c r="BO118" i="12" s="1"/>
  <c r="BJ104" i="12"/>
  <c r="AW104" i="12"/>
  <c r="BN100" i="12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E117" i="12" s="1"/>
  <c r="BE118" i="12" s="1"/>
  <c r="BU101" i="12"/>
  <c r="BL101" i="12"/>
  <c r="BL117" i="12" s="1"/>
  <c r="BL118" i="12" s="1"/>
  <c r="BP101" i="12"/>
  <c r="BA104" i="12"/>
  <c r="BA101" i="12"/>
  <c r="BC100" i="12"/>
  <c r="BQ101" i="12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AX117" i="12" s="1"/>
  <c r="AX118" i="12" s="1"/>
  <c r="BC99" i="12"/>
  <c r="H116" i="3"/>
  <c r="BI100" i="12"/>
  <c r="BI117" i="12" s="1"/>
  <c r="BI118" i="12" s="1"/>
  <c r="BR104" i="12"/>
  <c r="BL103" i="12"/>
  <c r="BJ99" i="12"/>
  <c r="J109" i="3"/>
  <c r="E101" i="3"/>
  <c r="P44" i="9"/>
  <c r="BX117" i="12" l="1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6" i="1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<sst xmlns="http://schemas.openxmlformats.org/spreadsheetml/2006/main" count="5723" uniqueCount="1761">
  <si>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</si>
  <si>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</si>
  <si>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</si>
  <si>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</si>
  <si>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</si>
  <si>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</si>
  <si>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</si>
  <si>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</si>
  <si>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</si>
  <si>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</si>
  <si>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</si>
  <si>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</si>
  <si>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</si>
  <si>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</si>
  <si>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</si>
  <si>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</si>
  <si>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</si>
  <si>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</si>
  <si>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</si>
  <si>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</si>
  <si>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</si>
  <si>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</si>
  <si>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</si>
  <si>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</si>
  <si>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</si>
  <si>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</si>
  <si>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</si>
  <si>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</si>
  <si>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</si>
  <si>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</si>
  <si>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</si>
  <si>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</si>
  <si>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</si>
  <si>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</si>
  <si>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</si>
  <si>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</si>
  <si>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</si>
  <si>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</si>
  <si>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</si>
  <si>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</si>
  <si>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</si>
  <si>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</si>
  <si>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</si>
  <si>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</si>
  <si>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</si>
  <si>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</si>
  <si>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</si>
  <si>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</si>
  <si>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</si>
  <si>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</si>
  <si>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</si>
  <si>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</si>
  <si>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</si>
  <si>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</si>
  <si>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</si>
  <si>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</si>
  <si>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</si>
  <si>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</si>
  <si>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</si>
  <si>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</si>
  <si>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</si>
  <si>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</si>
  <si>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</si>
  <si>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</si>
  <si>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</si>
  <si>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</si>
  <si>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</si>
  <si>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</si>
  <si>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</si>
  <si>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</si>
  <si>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</si>
  <si>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</si>
  <si>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</si>
  <si>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</si>
  <si>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</si>
  <si>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</si>
  <si>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</si>
  <si>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</si>
  <si>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</si>
  <si>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</si>
  <si>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</si>
  <si>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</si>
  <si>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</si>
  <si>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</si>
  <si>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</si>
  <si>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</si>
  <si>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</si>
  <si>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</si>
  <si>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</si>
  <si>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</si>
  <si>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</si>
  <si>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</si>
  <si>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</si>
  <si>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</si>
  <si>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</si>
  <si>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</si>
  <si>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</si>
  <si>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</si>
  <si>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</si>
  <si>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</si>
  <si>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</si>
  <si>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</si>
  <si>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</si>
  <si>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</si>
  <si>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</si>
  <si>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</si>
  <si>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</si>
  <si>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</si>
  <si>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</si>
  <si>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</si>
  <si>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</si>
  <si>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</si>
  <si>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</si>
  <si>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</si>
  <si>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</si>
  <si>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</si>
  <si>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</si>
  <si>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</si>
  <si>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</si>
  <si>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</si>
  <si>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</si>
  <si>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</si>
  <si>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</si>
  <si>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</si>
  <si>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</si>
  <si>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</si>
  <si>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</si>
  <si>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</si>
  <si>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</si>
  <si>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</si>
  <si>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</si>
  <si>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</si>
  <si>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</si>
  <si>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</si>
  <si>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</si>
  <si>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</si>
  <si>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</si>
  <si>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</si>
  <si>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</si>
  <si>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</si>
  <si>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</si>
  <si>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</si>
  <si>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</si>
  <si>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</si>
  <si>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</si>
  <si>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</si>
  <si>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</si>
  <si>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</si>
  <si>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</si>
  <si>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</si>
  <si>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</si>
  <si>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</si>
  <si>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</si>
  <si>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</si>
  <si>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</si>
  <si>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</si>
  <si>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</si>
  <si>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</si>
  <si>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</si>
  <si>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</si>
  <si>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</si>
  <si>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</si>
  <si>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</si>
  <si>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</si>
  <si>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</si>
  <si>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</si>
  <si>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</si>
  <si>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</si>
  <si>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</si>
  <si>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</si>
  <si>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</si>
  <si>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</si>
  <si>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</si>
  <si>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</si>
  <si>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</si>
  <si>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</si>
  <si>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</si>
  <si>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</si>
  <si>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</si>
  <si>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</si>
  <si>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</si>
  <si>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</si>
  <si>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</si>
  <si>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</si>
  <si>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</si>
  <si>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</si>
  <si>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</si>
  <si>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</si>
  <si>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</si>
  <si>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</si>
  <si>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</si>
  <si>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</si>
  <si>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</si>
  <si>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</si>
  <si>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</si>
  <si>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</si>
  <si>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</si>
  <si>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</si>
  <si>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</si>
  <si>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</si>
  <si>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</si>
  <si>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</si>
  <si>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</si>
  <si>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</si>
  <si>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</si>
  <si>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</si>
  <si>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</si>
  <si>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</si>
  <si>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</si>
  <si>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</si>
  <si>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</si>
  <si>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</si>
  <si>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</si>
  <si>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</si>
  <si>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</si>
  <si>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</si>
  <si>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</si>
  <si>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</si>
  <si>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</si>
  <si>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</si>
  <si>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</si>
  <si>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</si>
  <si>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</si>
  <si>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</si>
  <si>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</si>
  <si>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</si>
  <si>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</si>
  <si>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</si>
  <si>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</si>
  <si>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</si>
  <si>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</si>
  <si>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</si>
  <si>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</si>
  <si>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</si>
  <si>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</si>
  <si>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</si>
  <si>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</si>
  <si>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</si>
  <si>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</si>
  <si>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</si>
  <si>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</si>
  <si>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</si>
  <si>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</si>
  <si>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</si>
  <si>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</si>
  <si>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</si>
  <si>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</si>
  <si>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</si>
  <si>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</si>
  <si>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</si>
  <si>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</si>
  <si>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</si>
  <si>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</si>
  <si>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</si>
  <si>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</si>
  <si>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</si>
  <si>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</si>
  <si>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</si>
  <si>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</si>
  <si>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</si>
  <si>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</si>
  <si>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</si>
  <si>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</si>
  <si>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</si>
  <si>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</si>
  <si>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</si>
  <si>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</si>
  <si>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</si>
  <si>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</si>
  <si>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</si>
  <si>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</si>
  <si>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</si>
  <si>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</si>
  <si>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</si>
  <si>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</si>
  <si>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</si>
  <si>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</si>
  <si>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</si>
  <si>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</si>
  <si>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</si>
  <si>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</si>
  <si>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</si>
  <si>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</si>
  <si>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</si>
  <si>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</si>
  <si>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</si>
  <si>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</si>
  <si>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</si>
  <si>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</si>
  <si>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</si>
  <si>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</si>
  <si>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</si>
  <si>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</si>
  <si>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</si>
  <si>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</si>
  <si>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</si>
  <si>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</si>
  <si>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</si>
  <si>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</si>
  <si>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</si>
  <si>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</si>
  <si>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</si>
  <si>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</si>
  <si>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</si>
  <si>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</si>
  <si>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</si>
  <si>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</si>
  <si>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</si>
  <si>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</si>
  <si>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</si>
  <si>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</si>
  <si>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</si>
  <si>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</si>
  <si>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</si>
  <si>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</si>
  <si>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</si>
  <si>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</si>
  <si>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</si>
  <si>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</si>
  <si>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</si>
  <si>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</si>
  <si>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</si>
  <si>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</si>
  <si>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</si>
  <si>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</si>
  <si>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</si>
  <si>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</si>
  <si>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</si>
  <si>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</si>
  <si>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</si>
  <si>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</si>
  <si>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</si>
  <si>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</si>
  <si>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</si>
  <si>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</si>
  <si>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</si>
  <si>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</si>
  <si>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</si>
  <si>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</si>
  <si>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</si>
  <si>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</si>
  <si>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</si>
  <si>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</si>
  <si>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</si>
  <si>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</si>
  <si>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</si>
  <si>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</si>
  <si>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</si>
  <si>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</si>
  <si>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</si>
  <si>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</si>
  <si>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</si>
  <si>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</si>
  <si>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</si>
  <si>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</si>
  <si>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</si>
  <si>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</si>
  <si>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</si>
  <si>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</si>
  <si>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</si>
  <si>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</si>
  <si>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</si>
  <si>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</si>
  <si>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</si>
  <si>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</si>
  <si>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</si>
  <si>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</si>
  <si>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</si>
  <si>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</si>
  <si>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</si>
  <si>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</si>
  <si>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</si>
  <si>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</si>
  <si>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</si>
  <si>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</si>
  <si>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</si>
  <si>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</si>
  <si>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</si>
  <si>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</si>
  <si>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</si>
  <si>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</si>
  <si>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</si>
  <si>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</si>
  <si>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</si>
  <si>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</si>
  <si>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</si>
  <si>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</si>
  <si>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</si>
  <si>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</si>
  <si>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</si>
  <si>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</si>
  <si>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</si>
  <si>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</si>
  <si>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</si>
  <si>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</si>
  <si>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</si>
  <si>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</si>
  <si>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</si>
  <si>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</si>
  <si>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</si>
  <si>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</si>
  <si>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</si>
  <si>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</si>
  <si>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</si>
  <si>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</si>
  <si>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</si>
  <si>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</si>
  <si>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</si>
  <si>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</si>
  <si>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</si>
  <si>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</si>
  <si>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</si>
  <si>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</si>
  <si>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</si>
  <si>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</si>
  <si>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</si>
  <si>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</si>
  <si>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</si>
  <si>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</si>
  <si>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</si>
  <si>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</si>
  <si>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</si>
  <si>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</si>
  <si>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</si>
  <si>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</si>
  <si>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</si>
  <si>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</si>
  <si>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</si>
  <si>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</si>
  <si>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</si>
  <si>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</si>
  <si>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</si>
  <si>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</si>
  <si>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</si>
  <si>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</si>
  <si>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</si>
  <si>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</si>
  <si>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</si>
  <si>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</si>
  <si>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</si>
  <si>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</si>
  <si>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</si>
  <si>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</si>
  <si>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</si>
  <si>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</si>
  <si>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</si>
  <si>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</si>
  <si>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</si>
  <si>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</si>
  <si>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</si>
  <si>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</si>
  <si>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</si>
  <si>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</si>
  <si>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</si>
  <si>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</si>
  <si>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</si>
  <si>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</si>
  <si>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</si>
  <si>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</si>
  <si>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</si>
  <si>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</si>
  <si>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</si>
  <si>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</si>
  <si>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</si>
  <si>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</si>
  <si>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</si>
  <si>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</si>
  <si>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</si>
  <si>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</si>
  <si>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</si>
  <si>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</si>
  <si>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</si>
  <si>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</si>
  <si>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</si>
  <si>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</si>
  <si>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</si>
  <si>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</si>
  <si>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</si>
  <si>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</si>
  <si>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</si>
  <si>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</si>
  <si>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</si>
  <si>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</si>
  <si>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</si>
  <si>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</si>
  <si>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</si>
  <si>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</si>
  <si>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</si>
  <si>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</si>
  <si>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</si>
  <si>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</si>
  <si>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</si>
  <si>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</si>
  <si>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</si>
  <si>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</si>
  <si>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</si>
  <si>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</si>
  <si>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</si>
  <si>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</si>
  <si>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</si>
  <si>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</si>
  <si>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</si>
  <si>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</si>
  <si>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</si>
  <si>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</si>
  <si>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</si>
  <si>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</si>
  <si>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</si>
  <si>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</si>
  <si>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</si>
  <si>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</si>
  <si>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</si>
  <si>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</si>
  <si>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</si>
  <si>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</si>
  <si>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</si>
  <si>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</si>
  <si>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</si>
  <si>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</si>
  <si>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</si>
  <si>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</si>
  <si>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</si>
  <si>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</si>
  <si>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</si>
  <si>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</si>
  <si>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</si>
  <si>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</si>
  <si>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</si>
  <si>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</si>
  <si>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</si>
  <si>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</si>
  <si>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</si>
  <si>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</si>
  <si>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</si>
  <si>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</si>
  <si>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</si>
  <si>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</si>
  <si>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</si>
  <si>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</si>
  <si>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</si>
  <si>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</si>
  <si>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</si>
  <si>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</si>
  <si>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</si>
  <si>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</si>
  <si>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</si>
  <si>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</si>
  <si>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</si>
  <si>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</si>
  <si>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</si>
  <si>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</si>
  <si>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</si>
  <si>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</si>
  <si>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</si>
  <si>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</si>
  <si>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</si>
  <si>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</si>
  <si>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</si>
  <si>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</si>
  <si>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</si>
  <si>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</si>
  <si>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</si>
  <si>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</si>
  <si>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</si>
  <si>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</si>
  <si>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</si>
  <si>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</si>
  <si>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</si>
  <si>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</si>
  <si>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</si>
  <si>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</si>
  <si>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</si>
  <si>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</si>
  <si>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</si>
  <si>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</si>
  <si>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</si>
  <si>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</si>
  <si>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</si>
  <si>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</si>
  <si>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</si>
  <si>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</si>
  <si>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</si>
  <si>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</si>
  <si>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</si>
  <si>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</si>
  <si>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</si>
  <si>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</si>
  <si>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</si>
  <si>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</si>
  <si>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</si>
  <si>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</si>
  <si>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</si>
  <si>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</si>
  <si>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</si>
  <si>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</si>
  <si>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</si>
  <si>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</si>
  <si>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</si>
  <si>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</si>
  <si>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</si>
  <si>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</si>
  <si>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</si>
  <si>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</si>
  <si>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</si>
  <si>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</si>
  <si>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</si>
  <si>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</si>
  <si>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</si>
  <si>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</si>
  <si>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</si>
  <si>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</si>
  <si>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</si>
  <si>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</si>
  <si>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</si>
  <si>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</si>
  <si>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</si>
  <si>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</si>
  <si>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</si>
  <si>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</si>
  <si>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</si>
  <si>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</si>
  <si>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</si>
  <si>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</si>
  <si>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</si>
  <si>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</si>
  <si>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</si>
  <si>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</si>
  <si>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</si>
  <si>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</si>
  <si>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</si>
  <si>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</si>
  <si>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</si>
  <si>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</si>
  <si>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</si>
  <si>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</si>
  <si>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</si>
  <si>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</si>
  <si>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</si>
  <si>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</si>
  <si>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</si>
  <si>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</si>
  <si>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</si>
  <si>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</si>
  <si>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</si>
  <si>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</si>
  <si>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</si>
  <si>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</si>
  <si>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</si>
  <si>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</si>
  <si>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</si>
  <si>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</si>
  <si>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</si>
  <si>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</si>
  <si>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</si>
  <si>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</si>
  <si>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</si>
  <si>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</si>
  <si>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</si>
  <si>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</si>
  <si>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</si>
  <si>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</si>
  <si>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</si>
  <si>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</si>
  <si>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</si>
  <si>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</si>
  <si>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</si>
  <si>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</si>
  <si>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</si>
  <si>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</si>
  <si>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</si>
  <si>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</si>
  <si>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</si>
  <si>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</si>
  <si>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</si>
  <si>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</si>
  <si>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</si>
  <si>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</si>
  <si>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</si>
  <si>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</si>
  <si>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</si>
  <si>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</si>
  <si>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</si>
  <si>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</si>
  <si>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</si>
  <si>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</si>
  <si>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</si>
  <si>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</si>
  <si>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</si>
  <si>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</si>
  <si>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</si>
  <si>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</si>
  <si>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</si>
  <si>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</si>
  <si>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</si>
  <si>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</si>
  <si>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</si>
  <si>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</si>
  <si>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</si>
  <si>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</si>
  <si>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</si>
  <si>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</si>
  <si>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</si>
  <si>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</si>
  <si>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</si>
  <si>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</si>
  <si>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</si>
  <si>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</si>
  <si>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</si>
  <si>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</si>
  <si>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</si>
  <si>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</si>
  <si>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</si>
  <si>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</si>
  <si>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</si>
  <si>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</si>
  <si>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</si>
  <si>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</si>
  <si>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</si>
  <si>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</si>
  <si>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</si>
  <si>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</si>
  <si>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</si>
  <si>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</si>
  <si>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</si>
  <si>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</si>
  <si>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</si>
  <si>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</si>
  <si>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</si>
  <si>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</si>
  <si>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</si>
  <si>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</si>
  <si>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</si>
  <si>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</si>
  <si>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</si>
  <si>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</si>
  <si>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</si>
  <si>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</si>
  <si>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</si>
  <si>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</si>
  <si>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</si>
  <si>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</si>
  <si>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</si>
  <si>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</si>
  <si>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</si>
  <si>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</si>
  <si>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</si>
  <si>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</si>
  <si>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</si>
  <si>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</si>
  <si>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</si>
  <si>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</si>
  <si>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</si>
  <si>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</si>
  <si>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</si>
  <si>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</si>
  <si>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</si>
  <si>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</si>
  <si>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</si>
  <si>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</si>
  <si>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</si>
  <si>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</si>
  <si>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</si>
  <si>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</si>
  <si>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</si>
  <si>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</si>
  <si>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</si>
  <si>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</si>
  <si>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</si>
  <si>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</si>
  <si>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</si>
  <si>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</si>
  <si>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</si>
  <si>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</si>
  <si>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</si>
  <si>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</si>
  <si>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</si>
  <si>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</si>
  <si>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</si>
  <si>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</si>
  <si>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</si>
  <si>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</si>
  <si>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</si>
  <si>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</si>
  <si>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</si>
  <si>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</si>
  <si>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</si>
  <si>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</si>
  <si>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</si>
  <si>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</si>
  <si>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</si>
  <si>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</si>
  <si>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</si>
  <si>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</si>
  <si>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</si>
  <si>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</si>
  <si>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</si>
  <si>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</si>
  <si>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</si>
  <si>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</si>
  <si>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</si>
  <si>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</si>
  <si>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</si>
  <si>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</si>
  <si>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</si>
  <si>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</si>
  <si>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</si>
  <si>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</si>
  <si>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</si>
  <si>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</si>
  <si>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</si>
  <si>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</si>
  <si>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</si>
  <si>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</si>
  <si>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</si>
  <si>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</si>
  <si>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</si>
  <si>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</si>
  <si>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</si>
  <si>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</si>
  <si>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</si>
  <si>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</si>
  <si>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</si>
  <si>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</si>
  <si>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</si>
  <si>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</si>
  <si>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</si>
  <si>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</si>
  <si>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</si>
  <si>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</si>
  <si>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</si>
  <si>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</si>
  <si>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</si>
  <si>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</si>
  <si>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</si>
  <si>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</si>
  <si>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</si>
  <si>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</si>
  <si>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</si>
  <si>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</si>
  <si>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</si>
  <si>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</si>
  <si>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</si>
  <si>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</si>
  <si>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</si>
  <si>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</si>
  <si>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</si>
  <si>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</si>
  <si>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</si>
  <si>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</si>
  <si>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</si>
  <si>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</si>
  <si>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</si>
  <si>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</si>
  <si>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</si>
  <si>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</si>
  <si>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</si>
  <si>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</si>
  <si>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</si>
  <si>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</si>
  <si>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</si>
  <si>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</si>
  <si>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</si>
  <si>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</si>
  <si>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</si>
  <si>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</si>
  <si>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</si>
  <si>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</si>
  <si>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</si>
  <si>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</si>
  <si>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</si>
  <si>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</si>
  <si>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</si>
  <si>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</si>
  <si>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</si>
  <si>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</si>
  <si>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</si>
  <si>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</si>
  <si>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</si>
  <si>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</si>
  <si>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</si>
  <si>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</si>
  <si>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</si>
  <si>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</si>
  <si>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</si>
  <si>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</si>
  <si>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</si>
  <si>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</si>
  <si>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</si>
  <si>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</si>
  <si>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</si>
  <si>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</si>
  <si>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</si>
  <si>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</si>
  <si>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</si>
  <si>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</si>
  <si>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</si>
  <si>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</si>
  <si>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</si>
  <si>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</si>
  <si>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</si>
  <si>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</si>
  <si>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</si>
  <si>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</si>
  <si>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</si>
  <si>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</si>
  <si>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</si>
  <si>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</si>
  <si>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</si>
  <si>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</si>
  <si>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</si>
  <si>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</si>
  <si>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</si>
  <si>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</si>
  <si>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</si>
  <si>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</si>
  <si>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</si>
  <si>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</si>
  <si>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</si>
  <si>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</si>
  <si>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</si>
  <si>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</si>
  <si>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</si>
  <si>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</si>
  <si>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</si>
  <si>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</si>
  <si>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</si>
  <si>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</si>
  <si>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</si>
  <si>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</si>
  <si>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</si>
  <si>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</si>
  <si>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</si>
  <si>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</si>
  <si>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</si>
  <si>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</si>
  <si>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</si>
  <si>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</si>
  <si>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</si>
  <si>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</si>
  <si>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</si>
  <si>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</si>
  <si>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</si>
  <si>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</si>
  <si>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</si>
  <si>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</si>
  <si>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</si>
  <si>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</si>
  <si>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</si>
  <si>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</si>
  <si>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</si>
  <si>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</si>
  <si>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</si>
  <si>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</si>
  <si>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</si>
  <si>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</si>
  <si>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</si>
  <si>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</si>
  <si>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</si>
  <si>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</si>
  <si>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</si>
  <si>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</si>
  <si>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</si>
  <si>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</si>
  <si>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</si>
  <si>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</si>
  <si>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</si>
  <si>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</si>
  <si>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</si>
  <si>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</si>
  <si>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</si>
  <si>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</si>
  <si>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</si>
  <si>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</si>
  <si>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</si>
  <si>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</si>
  <si>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</si>
  <si>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</si>
  <si>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</si>
  <si>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</si>
  <si>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</si>
  <si>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</si>
  <si>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</si>
  <si>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</si>
  <si>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</si>
  <si>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</si>
  <si>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</si>
  <si>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</si>
  <si>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</si>
  <si>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</si>
  <si>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</si>
  <si>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</si>
  <si>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</si>
  <si>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</si>
  <si>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</si>
  <si>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</si>
  <si>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</si>
  <si>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</si>
  <si>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</si>
  <si>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</si>
  <si>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</si>
  <si>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</si>
  <si>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</si>
  <si>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</si>
  <si>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</si>
  <si>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</si>
  <si>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</si>
  <si>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</si>
  <si>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</si>
  <si>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</si>
  <si>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</si>
  <si>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</si>
  <si>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</si>
  <si>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</si>
  <si>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</si>
  <si>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</si>
  <si>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</si>
  <si>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</si>
  <si>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</si>
  <si>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</si>
  <si>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</si>
  <si>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</si>
  <si>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</si>
  <si>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</si>
  <si>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</si>
  <si>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</si>
  <si>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</si>
  <si>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</si>
  <si>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</si>
  <si>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</si>
  <si>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</si>
  <si>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</si>
  <si>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</si>
  <si>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</si>
  <si>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</si>
  <si>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</si>
  <si>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</si>
  <si>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</si>
  <si>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</si>
  <si>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</si>
  <si>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</si>
  <si>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</si>
  <si>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</si>
  <si>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</si>
  <si>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</si>
  <si>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</si>
  <si>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</si>
  <si>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</si>
  <si>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</si>
  <si>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</si>
  <si>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</si>
  <si>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</si>
  <si>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</si>
  <si>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</si>
  <si>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</si>
  <si>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</si>
  <si>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</si>
  <si>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</si>
  <si>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</si>
  <si>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</si>
  <si>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</si>
  <si>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</si>
  <si>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</si>
  <si>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</si>
  <si>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</si>
  <si>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</si>
  <si>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</si>
  <si>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</si>
  <si>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</si>
  <si>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</si>
  <si>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</si>
  <si>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</si>
  <si>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</si>
  <si>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</si>
  <si>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</si>
  <si>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</si>
  <si>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</si>
  <si>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</si>
  <si>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</si>
  <si>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</si>
  <si>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</si>
  <si>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</si>
  <si>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</si>
  <si>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</si>
  <si>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</si>
  <si>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</si>
  <si>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</si>
  <si>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</si>
  <si>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</si>
  <si>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</si>
  <si>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</si>
  <si>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</si>
  <si>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</si>
  <si>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</si>
  <si>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</si>
  <si>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</si>
  <si>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</si>
  <si>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</si>
  <si>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</si>
  <si>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</si>
  <si>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</si>
  <si>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</si>
  <si>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</si>
  <si>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</si>
  <si>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</si>
  <si>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</si>
  <si>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</si>
  <si>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</si>
  <si>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</si>
  <si>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</si>
  <si>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</si>
  <si>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</si>
  <si>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</si>
  <si>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</si>
  <si>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</si>
  <si>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</si>
  <si>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</si>
  <si>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</si>
  <si>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</si>
  <si>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</si>
  <si>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</si>
  <si>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</si>
  <si>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</si>
  <si>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</si>
  <si>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</si>
  <si>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</si>
  <si>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</si>
  <si>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</si>
  <si>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</si>
  <si>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</si>
  <si>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</si>
  <si>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</si>
  <si>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</si>
  <si>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</si>
  <si>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</si>
  <si>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</si>
  <si>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</si>
  <si>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</si>
  <si>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</si>
  <si>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</si>
  <si>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</si>
  <si>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</si>
  <si>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</si>
  <si>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</si>
  <si>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</si>
  <si>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</si>
  <si>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</si>
  <si>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</si>
  <si>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</si>
  <si>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</si>
  <si>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</si>
  <si>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</si>
  <si>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</si>
  <si>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</si>
  <si>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</si>
  <si>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</si>
  <si>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</si>
  <si>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</si>
  <si>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</si>
  <si>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</si>
  <si>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</si>
  <si>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</si>
  <si>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</si>
  <si>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</si>
  <si>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</si>
  <si>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</si>
  <si>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</si>
  <si>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</si>
  <si>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</si>
  <si>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</si>
  <si>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</si>
  <si>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</si>
  <si>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</si>
  <si>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</si>
  <si>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</si>
  <si>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</si>
  <si>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</si>
  <si>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</si>
  <si>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</si>
  <si>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</si>
  <si>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</si>
  <si>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</si>
  <si>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</si>
  <si>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</si>
  <si>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</si>
  <si>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</si>
  <si>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</si>
  <si>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</si>
  <si>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</si>
  <si>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</si>
  <si>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</si>
  <si>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</si>
  <si>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</si>
  <si>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</si>
  <si>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</si>
  <si>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</si>
  <si>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</si>
  <si>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</si>
  <si>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</si>
  <si>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</si>
  <si>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</si>
  <si>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</si>
  <si>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</si>
  <si>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</si>
  <si>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</si>
  <si>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</si>
  <si>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</si>
  <si>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</si>
  <si>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</si>
  <si>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</si>
  <si>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</si>
  <si>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</si>
  <si>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</si>
  <si>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</si>
  <si>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</si>
  <si>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</si>
  <si>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</si>
  <si>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</si>
  <si>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</si>
  <si>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</si>
  <si>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</si>
  <si>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</si>
  <si>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</si>
  <si>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</si>
  <si>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</si>
  <si>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</si>
  <si>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</si>
  <si>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</si>
  <si>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</si>
  <si>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</si>
  <si>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</si>
  <si>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</si>
  <si>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</si>
  <si>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</si>
  <si>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</si>
  <si>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</si>
  <si>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</si>
  <si>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</si>
  <si>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</si>
  <si>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</si>
  <si>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</si>
  <si>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</si>
  <si>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</si>
  <si>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</si>
  <si>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</si>
  <si>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</si>
  <si>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</si>
  <si>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</si>
  <si>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</si>
  <si>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</si>
  <si>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</si>
  <si>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</si>
  <si>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</si>
  <si>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</si>
  <si>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</si>
  <si>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</si>
  <si>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</si>
  <si>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</si>
  <si>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</si>
  <si>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</si>
  <si>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</si>
  <si>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</si>
  <si>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</si>
  <si>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</si>
  <si>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</si>
  <si>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</si>
  <si>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</si>
  <si>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</si>
  <si>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</si>
  <si>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</si>
  <si>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</si>
  <si>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</si>
  <si>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</si>
  <si>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</si>
  <si>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</si>
  <si>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</si>
  <si>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</si>
  <si>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</si>
  <si>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</si>
  <si>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</si>
  <si>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</si>
  <si>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</si>
  <si>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</si>
  <si>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</si>
  <si>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</si>
  <si>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</si>
  <si>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</si>
  <si>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</si>
  <si>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</si>
  <si>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</si>
  <si>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</si>
  <si>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</si>
  <si>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</si>
  <si>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</si>
  <si>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</si>
  <si>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</si>
  <si>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</si>
  <si>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</si>
  <si>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</si>
  <si>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</si>
  <si>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</si>
  <si>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</si>
  <si>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</si>
  <si>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</si>
  <si>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</si>
  <si>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</si>
  <si>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</si>
  <si>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</si>
  <si>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</si>
  <si>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</si>
  <si>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</si>
  <si>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</si>
  <si>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</si>
  <si>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</si>
  <si>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</si>
  <si>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</si>
  <si>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</si>
  <si>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</si>
  <si>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</si>
  <si>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</si>
  <si>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</si>
  <si>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</si>
  <si>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</si>
  <si>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</si>
  <si>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</si>
  <si>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</si>
  <si>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</si>
  <si>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</si>
  <si>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</si>
  <si>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</si>
  <si>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</si>
  <si>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</si>
  <si>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</si>
  <si>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</si>
  <si>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</si>
  <si>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</si>
  <si>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</si>
  <si>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</si>
  <si>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</si>
  <si>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</si>
  <si>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</si>
  <si>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</si>
  <si>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</si>
  <si>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</si>
  <si>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</si>
  <si>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</si>
  <si>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</si>
  <si>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</si>
  <si>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</si>
  <si>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</si>
  <si>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</si>
  <si>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</si>
  <si>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</si>
  <si>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</si>
  <si>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</si>
  <si>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</si>
  <si>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</si>
  <si>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</si>
  <si>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</si>
  <si>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</si>
  <si>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</si>
  <si>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</si>
  <si>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</si>
  <si>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</si>
  <si>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</si>
  <si>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</si>
  <si>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</si>
  <si>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</si>
  <si>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</si>
  <si>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</si>
  <si>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</si>
  <si>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</si>
  <si>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</si>
  <si>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</si>
  <si>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</si>
  <si>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</si>
  <si>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</si>
  <si>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</si>
  <si>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</si>
  <si>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</si>
  <si>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</si>
  <si>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</si>
  <si>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</si>
  <si>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</si>
  <si>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</si>
  <si>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</si>
  <si>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</si>
  <si>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</si>
  <si>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</si>
  <si>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</si>
  <si>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</si>
  <si>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</si>
  <si>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</si>
  <si>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</si>
  <si>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</si>
  <si>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</si>
  <si>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</si>
  <si>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</si>
  <si>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</si>
  <si>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</si>
  <si>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</si>
  <si>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</si>
  <si>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</si>
  <si>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</si>
  <si>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</si>
  <si>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</si>
  <si>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</si>
  <si>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</si>
  <si>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</si>
  <si>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</si>
  <si>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</si>
  <si>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</si>
  <si>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</si>
  <si>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</si>
  <si>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</si>
  <si>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</si>
  <si>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</si>
  <si>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</si>
  <si>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</si>
  <si>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</si>
  <si>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</si>
  <si>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</si>
  <si>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</si>
  <si>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</si>
  <si>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</si>
  <si>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</si>
  <si>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</si>
  <si>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</si>
  <si>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</si>
  <si>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</si>
  <si>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</si>
  <si>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</si>
  <si>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</si>
  <si>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</si>
  <si>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</si>
  <si>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</si>
  <si>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</si>
  <si>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</si>
  <si>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</si>
  <si>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</si>
  <si>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</si>
  <si>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</si>
  <si>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</si>
  <si>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</si>
  <si>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</si>
  <si>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</si>
  <si>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</si>
  <si>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</si>
  <si>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</si>
  <si>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</si>
  <si>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</si>
  <si>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</si>
  <si>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</si>
  <si>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</si>
  <si>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</si>
  <si>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</si>
  <si>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</si>
  <si>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</si>
  <si>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</si>
  <si>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</si>
  <si>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</si>
  <si>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</si>
  <si>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</si>
  <si>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</si>
  <si>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</si>
  <si>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</si>
  <si>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</si>
  <si>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</si>
  <si>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</si>
  <si>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</si>
  <si>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</si>
  <si>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</si>
  <si>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</si>
  <si>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</si>
  <si>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</si>
  <si>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</si>
  <si>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</si>
  <si>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</si>
  <si>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</si>
  <si>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</si>
  <si>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</si>
  <si>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</si>
  <si>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</si>
  <si>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</si>
  <si>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</si>
  <si>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</si>
  <si>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</si>
  <si>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</si>
  <si>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</si>
  <si>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</si>
  <si>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</si>
  <si>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</si>
  <si>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</si>
  <si>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</si>
  <si>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</si>
  <si>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</si>
  <si>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</si>
  <si>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</si>
  <si>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</si>
  <si>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</si>
  <si>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</si>
  <si>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</si>
  <si>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</si>
  <si>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</si>
  <si>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</si>
  <si>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</si>
  <si>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</si>
  <si>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</si>
  <si>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</si>
  <si>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</si>
  <si>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</si>
  <si>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</si>
  <si>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</si>
  <si>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</si>
  <si>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</si>
  <si>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</si>
  <si>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</si>
  <si>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</si>
  <si>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</si>
  <si>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</si>
  <si>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</si>
  <si>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</si>
  <si>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</si>
  <si>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</si>
  <si>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</si>
  <si>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</si>
  <si>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</si>
  <si>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</si>
  <si>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</si>
  <si>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</si>
  <si>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</si>
  <si>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</si>
  <si>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</si>
  <si>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</si>
  <si>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</si>
  <si>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</si>
  <si>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</si>
  <si>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</si>
  <si>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</si>
  <si>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</si>
  <si>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</si>
  <si>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</si>
  <si>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</si>
  <si>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</si>
  <si>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</si>
  <si>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</si>
  <si>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</si>
  <si>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</si>
  <si>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</si>
  <si>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</si>
  <si>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</si>
  <si>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</si>
  <si>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</si>
  <si>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</si>
  <si>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</si>
  <si>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</si>
  <si>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</si>
  <si>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</si>
  <si>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</si>
  <si>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</si>
  <si>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</si>
  <si>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</si>
  <si>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</si>
  <si>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</si>
  <si>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</si>
  <si>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</si>
  <si>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</si>
  <si>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</si>
  <si>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</si>
  <si>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</si>
  <si>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</si>
  <si>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</si>
  <si>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</si>
  <si>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</si>
  <si>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</si>
  <si>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</si>
  <si>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</si>
  <si>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</si>
  <si>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</si>
  <si>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</si>
  <si>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</si>
  <si>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</si>
  <si>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</si>
  <si>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</si>
  <si>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</si>
  <si>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</si>
  <si>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</si>
  <si>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</si>
  <si>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</si>
  <si>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</si>
  <si>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</si>
  <si>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</si>
  <si>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</si>
  <si>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</si>
  <si>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</si>
  <si>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</si>
  <si>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</si>
  <si>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</si>
  <si>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</si>
  <si>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</si>
  <si>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</si>
  <si>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</si>
  <si>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</si>
  <si>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</si>
  <si>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</si>
  <si>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</si>
  <si>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</si>
  <si>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</si>
  <si>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</si>
  <si>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</si>
  <si>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</si>
  <si>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</si>
  <si>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</si>
  <si>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</si>
  <si>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</si>
  <si>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</si>
  <si>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</si>
  <si>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</si>
  <si>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</si>
  <si>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</si>
  <si>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</si>
  <si>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</si>
  <si>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</si>
  <si>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</si>
  <si>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</si>
  <si>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</si>
  <si>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</si>
  <si>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</si>
  <si>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</si>
  <si>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</si>
  <si>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</si>
  <si>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</si>
  <si>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</si>
  <si>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</si>
  <si>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</si>
  <si>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</si>
  <si>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</si>
  <si>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</si>
  <si>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</si>
  <si>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</si>
  <si>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</si>
  <si>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</si>
  <si>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</si>
  <si>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</si>
  <si>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</si>
  <si>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</si>
  <si>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</si>
  <si>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</si>
  <si>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</si>
  <si>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</si>
  <si>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</si>
  <si>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</si>
  <si>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</si>
  <si>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</si>
  <si>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</si>
  <si>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</si>
  <si>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</si>
  <si>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</si>
  <si>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</si>
  <si>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</si>
  <si>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</si>
  <si>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</si>
  <si>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</si>
  <si>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</si>
  <si>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</si>
  <si>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</si>
  <si>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</si>
  <si>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</si>
  <si>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</si>
  <si>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</si>
  <si>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</si>
  <si>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</si>
  <si>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</si>
  <si>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</si>
  <si>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</si>
  <si>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</si>
  <si>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</si>
  <si>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</si>
  <si>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</si>
  <si>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</si>
  <si>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</si>
  <si>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</si>
  <si>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</si>
  <si>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</si>
  <si>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</si>
  <si>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</si>
  <si>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</si>
  <si>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</si>
  <si>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</si>
  <si>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</si>
  <si>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</si>
  <si>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</si>
  <si>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</si>
  <si>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</si>
  <si>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</si>
  <si>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</si>
  <si>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</si>
  <si>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</si>
  <si>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</si>
  <si>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</si>
  <si>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</si>
  <si>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</si>
  <si>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</si>
  <si>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</si>
  <si>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</si>
  <si>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</si>
  <si>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</si>
  <si>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</si>
  <si>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</si>
  <si>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</si>
  <si>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</si>
  <si>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</si>
  <si>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</si>
  <si>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</si>
  <si>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</si>
  <si>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</si>
  <si>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</si>
  <si>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</si>
  <si>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</si>
  <si>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</si>
  <si>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</si>
  <si>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</si>
  <si>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</si>
  <si>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</si>
  <si>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</si>
  <si>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</si>
  <si>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</si>
  <si>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</si>
  <si>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</si>
  <si>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</si>
  <si>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</si>
  <si>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</si>
  <si>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</si>
  <si>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</si>
  <si>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</si>
  <si>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</si>
  <si>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</si>
  <si>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</si>
  <si>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</si>
  <si>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</si>
  <si>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</si>
  <si>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</si>
  <si>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</si>
  <si>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</si>
  <si>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</si>
  <si>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</si>
  <si>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</si>
  <si>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t>Ref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</si>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</sst>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3" formatCode="_-* #,##0.00_-;\-* #,##0.00_-;_-* &quot;-&quot;??_-;_-@_-"/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  <numFmt numFmtId="185" formatCode="_-* #,##0.0000_-;\-* #,##0.0000_-;_-* &quot;-&quot;??_-;_-@_-"/>
    <numFmt numFmtId="186" formatCode="_-* #,##0_-;\-* #,##0_-;_-* &quot;-&quot;??_-;_-@_-"/>
  </numFmts>
  <fonts count="7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</fills>
  <borders count="7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57" fillId="0" borderId="0" applyFont="0" applyFill="0" applyBorder="0" applyAlignment="0" applyProtection="0"/>
    <xf numFmtId="9" fontId="58" fillId="0" borderId="0" applyFont="0" applyFill="0" applyBorder="0" applyAlignment="0" applyProtection="0"/>
  </cellStyleXfs>
  <cellXfs count="974">
    <xf numFmtId="0" fontId="0" fillId="0" borderId="0" xfId="0"/>
    <xf numFmtId="0" fontId="10" fillId="2" borderId="1" xfId="0" applyFont="1" applyFill="1" applyBorder="1"/>
    <xf numFmtId="0" fontId="10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wrapText="1"/>
    </xf>
    <xf numFmtId="0" fontId="10" fillId="2" borderId="1" xfId="0" applyFont="1" applyFill="1" applyBorder="1" applyAlignment="1">
      <alignment horizontal="center" wrapText="1"/>
    </xf>
    <xf numFmtId="0" fontId="10" fillId="0" borderId="0" xfId="0" applyFont="1" applyAlignment="1">
      <alignment wrapText="1"/>
    </xf>
    <xf numFmtId="164" fontId="13" fillId="2" borderId="1" xfId="0" applyNumberFormat="1" applyFont="1" applyFill="1" applyBorder="1"/>
    <xf numFmtId="164" fontId="14" fillId="2" borderId="1" xfId="0" applyNumberFormat="1" applyFont="1" applyFill="1" applyBorder="1"/>
    <xf numFmtId="164" fontId="15" fillId="3" borderId="5" xfId="0" applyNumberFormat="1" applyFont="1" applyFill="1" applyBorder="1" applyAlignment="1">
      <alignment horizontal="left"/>
    </xf>
    <xf numFmtId="164" fontId="15" fillId="3" borderId="6" xfId="0" applyNumberFormat="1" applyFont="1" applyFill="1" applyBorder="1" applyAlignment="1">
      <alignment horizontal="left"/>
    </xf>
    <xf numFmtId="164" fontId="16" fillId="4" borderId="7" xfId="0" applyNumberFormat="1" applyFont="1" applyFill="1" applyBorder="1" applyAlignment="1">
      <alignment horizontal="left" wrapText="1"/>
    </xf>
    <xf numFmtId="165" fontId="10" fillId="0" borderId="0" xfId="0" applyNumberFormat="1" applyFont="1"/>
    <xf numFmtId="0" fontId="17" fillId="0" borderId="0" xfId="0" applyFont="1"/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164" fontId="13" fillId="0" borderId="0" xfId="0" applyNumberFormat="1" applyFont="1"/>
    <xf numFmtId="0" fontId="10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left" vertical="center"/>
    </xf>
    <xf numFmtId="0" fontId="10" fillId="0" borderId="0" xfId="0" applyFont="1" applyAlignment="1">
      <alignment horizontal="left"/>
    </xf>
    <xf numFmtId="165" fontId="10" fillId="2" borderId="1" xfId="0" applyNumberFormat="1" applyFont="1" applyFill="1" applyBorder="1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right"/>
    </xf>
    <xf numFmtId="0" fontId="20" fillId="0" borderId="0" xfId="0" applyFont="1"/>
    <xf numFmtId="0" fontId="11" fillId="0" borderId="10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11" fillId="0" borderId="8" xfId="0" applyFont="1" applyBorder="1"/>
    <xf numFmtId="0" fontId="21" fillId="0" borderId="13" xfId="0" applyFont="1" applyBorder="1" applyAlignment="1">
      <alignment horizontal="left"/>
    </xf>
    <xf numFmtId="0" fontId="21" fillId="0" borderId="9" xfId="0" applyFont="1" applyBorder="1"/>
    <xf numFmtId="0" fontId="10" fillId="0" borderId="10" xfId="0" applyFont="1" applyBorder="1"/>
    <xf numFmtId="0" fontId="18" fillId="0" borderId="13" xfId="0" applyFont="1" applyBorder="1" applyAlignment="1">
      <alignment horizontal="left"/>
    </xf>
    <xf numFmtId="0" fontId="18" fillId="0" borderId="9" xfId="0" applyFont="1" applyBorder="1" applyAlignment="1">
      <alignment horizontal="left" vertical="center"/>
    </xf>
    <xf numFmtId="0" fontId="10" fillId="0" borderId="13" xfId="0" applyFont="1" applyBorder="1" applyAlignment="1">
      <alignment horizontal="center"/>
    </xf>
    <xf numFmtId="2" fontId="10" fillId="0" borderId="10" xfId="0" applyNumberFormat="1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10" fillId="0" borderId="14" xfId="0" applyFont="1" applyBorder="1"/>
    <xf numFmtId="0" fontId="18" fillId="0" borderId="15" xfId="0" applyFont="1" applyBorder="1" applyAlignment="1">
      <alignment horizontal="left"/>
    </xf>
    <xf numFmtId="0" fontId="18" fillId="0" borderId="16" xfId="0" applyFont="1" applyBorder="1" applyAlignment="1">
      <alignment horizontal="left" vertical="center"/>
    </xf>
    <xf numFmtId="0" fontId="10" fillId="0" borderId="15" xfId="0" applyFont="1" applyBorder="1" applyAlignment="1">
      <alignment horizontal="center"/>
    </xf>
    <xf numFmtId="2" fontId="10" fillId="0" borderId="14" xfId="0" applyNumberFormat="1" applyFont="1" applyBorder="1" applyAlignment="1">
      <alignment horizontal="center" vertical="center"/>
    </xf>
    <xf numFmtId="2" fontId="10" fillId="0" borderId="16" xfId="0" applyNumberFormat="1" applyFont="1" applyBorder="1" applyAlignment="1">
      <alignment horizontal="center" vertical="center"/>
    </xf>
    <xf numFmtId="0" fontId="10" fillId="0" borderId="11" xfId="0" applyFont="1" applyBorder="1"/>
    <xf numFmtId="0" fontId="18" fillId="0" borderId="0" xfId="0" applyFont="1" applyAlignment="1">
      <alignment horizontal="left"/>
    </xf>
    <xf numFmtId="2" fontId="10" fillId="0" borderId="11" xfId="0" applyNumberFormat="1" applyFont="1" applyBorder="1" applyAlignment="1">
      <alignment vertical="center"/>
    </xf>
    <xf numFmtId="2" fontId="10" fillId="0" borderId="12" xfId="0" applyNumberFormat="1" applyFont="1" applyBorder="1" applyAlignment="1">
      <alignment vertical="center"/>
    </xf>
    <xf numFmtId="0" fontId="10" fillId="0" borderId="17" xfId="0" applyFont="1" applyBorder="1"/>
    <xf numFmtId="0" fontId="18" fillId="0" borderId="18" xfId="0" applyFont="1" applyBorder="1" applyAlignment="1">
      <alignment horizontal="left"/>
    </xf>
    <xf numFmtId="0" fontId="10" fillId="0" borderId="18" xfId="0" applyFont="1" applyBorder="1" applyAlignment="1">
      <alignment horizontal="center"/>
    </xf>
    <xf numFmtId="2" fontId="10" fillId="0" borderId="17" xfId="0" applyNumberFormat="1" applyFont="1" applyBorder="1" applyAlignment="1">
      <alignment vertical="center"/>
    </xf>
    <xf numFmtId="2" fontId="10" fillId="0" borderId="19" xfId="0" applyNumberFormat="1" applyFont="1" applyBorder="1" applyAlignment="1">
      <alignment vertical="center"/>
    </xf>
    <xf numFmtId="0" fontId="19" fillId="0" borderId="12" xfId="0" applyFont="1" applyBorder="1" applyAlignment="1">
      <alignment horizontal="left" vertical="center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0" fontId="18" fillId="0" borderId="12" xfId="0" applyFont="1" applyBorder="1" applyAlignment="1">
      <alignment horizontal="left" vertical="center"/>
    </xf>
    <xf numFmtId="0" fontId="18" fillId="0" borderId="19" xfId="0" applyFont="1" applyBorder="1" applyAlignment="1">
      <alignment horizontal="left" vertical="center"/>
    </xf>
    <xf numFmtId="2" fontId="10" fillId="0" borderId="17" xfId="0" applyNumberFormat="1" applyFont="1" applyBorder="1" applyAlignment="1">
      <alignment horizontal="center" vertical="center"/>
    </xf>
    <xf numFmtId="2" fontId="10" fillId="0" borderId="19" xfId="0" applyNumberFormat="1" applyFont="1" applyBorder="1" applyAlignment="1">
      <alignment horizontal="center" vertical="center"/>
    </xf>
    <xf numFmtId="166" fontId="19" fillId="0" borderId="0" xfId="0" applyNumberFormat="1" applyFont="1"/>
    <xf numFmtId="0" fontId="19" fillId="0" borderId="15" xfId="0" applyFont="1" applyBorder="1" applyAlignment="1">
      <alignment horizontal="left"/>
    </xf>
    <xf numFmtId="0" fontId="19" fillId="0" borderId="15" xfId="0" applyFont="1" applyBorder="1" applyAlignment="1">
      <alignment horizontal="left" vertical="center"/>
    </xf>
    <xf numFmtId="0" fontId="11" fillId="2" borderId="20" xfId="0" applyFont="1" applyFill="1" applyBorder="1" applyAlignment="1">
      <alignment horizontal="center"/>
    </xf>
    <xf numFmtId="2" fontId="10" fillId="0" borderId="21" xfId="0" applyNumberFormat="1" applyFont="1" applyBorder="1" applyAlignment="1">
      <alignment horizontal="center"/>
    </xf>
    <xf numFmtId="2" fontId="10" fillId="0" borderId="14" xfId="0" applyNumberFormat="1" applyFont="1" applyBorder="1" applyAlignment="1">
      <alignment horizontal="center"/>
    </xf>
    <xf numFmtId="0" fontId="19" fillId="0" borderId="18" xfId="0" applyFont="1" applyBorder="1" applyAlignment="1">
      <alignment horizontal="left"/>
    </xf>
    <xf numFmtId="0" fontId="11" fillId="2" borderId="22" xfId="0" applyFont="1" applyFill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2" fontId="10" fillId="0" borderId="17" xfId="0" applyNumberFormat="1" applyFont="1" applyBorder="1" applyAlignment="1">
      <alignment horizontal="center"/>
    </xf>
    <xf numFmtId="1" fontId="19" fillId="0" borderId="0" xfId="0" applyNumberFormat="1" applyFont="1"/>
    <xf numFmtId="0" fontId="22" fillId="0" borderId="0" xfId="0" applyFont="1"/>
    <xf numFmtId="0" fontId="22" fillId="5" borderId="1" xfId="0" applyFont="1" applyFill="1" applyBorder="1" applyAlignment="1">
      <alignment horizontal="left"/>
    </xf>
    <xf numFmtId="9" fontId="22" fillId="5" borderId="1" xfId="0" applyNumberFormat="1" applyFont="1" applyFill="1" applyBorder="1" applyAlignment="1">
      <alignment horizontal="left"/>
    </xf>
    <xf numFmtId="0" fontId="22" fillId="0" borderId="0" xfId="0" applyFont="1" applyAlignment="1">
      <alignment horizontal="left"/>
    </xf>
    <xf numFmtId="10" fontId="22" fillId="0" borderId="0" xfId="0" applyNumberFormat="1" applyFont="1" applyAlignment="1">
      <alignment horizontal="left"/>
    </xf>
    <xf numFmtId="0" fontId="18" fillId="0" borderId="14" xfId="0" applyFont="1" applyBorder="1"/>
    <xf numFmtId="0" fontId="18" fillId="0" borderId="15" xfId="0" applyFont="1" applyBorder="1"/>
    <xf numFmtId="167" fontId="18" fillId="0" borderId="14" xfId="0" applyNumberFormat="1" applyFont="1" applyBorder="1"/>
    <xf numFmtId="167" fontId="18" fillId="0" borderId="16" xfId="0" applyNumberFormat="1" applyFont="1" applyBorder="1"/>
    <xf numFmtId="0" fontId="18" fillId="0" borderId="17" xfId="0" applyFont="1" applyBorder="1"/>
    <xf numFmtId="0" fontId="18" fillId="0" borderId="18" xfId="0" applyFont="1" applyBorder="1"/>
    <xf numFmtId="0" fontId="18" fillId="0" borderId="19" xfId="0" applyFont="1" applyBorder="1"/>
    <xf numFmtId="168" fontId="19" fillId="0" borderId="0" xfId="0" applyNumberFormat="1" applyFont="1"/>
    <xf numFmtId="2" fontId="10" fillId="0" borderId="24" xfId="0" applyNumberFormat="1" applyFont="1" applyBorder="1" applyAlignment="1">
      <alignment horizontal="center"/>
    </xf>
    <xf numFmtId="169" fontId="19" fillId="0" borderId="0" xfId="0" applyNumberFormat="1" applyFont="1"/>
    <xf numFmtId="167" fontId="19" fillId="0" borderId="0" xfId="0" applyNumberFormat="1" applyFont="1"/>
    <xf numFmtId="170" fontId="18" fillId="0" borderId="0" xfId="0" applyNumberFormat="1" applyFont="1"/>
    <xf numFmtId="1" fontId="18" fillId="0" borderId="0" xfId="0" applyNumberFormat="1" applyFont="1"/>
    <xf numFmtId="2" fontId="19" fillId="0" borderId="0" xfId="0" applyNumberFormat="1" applyFont="1"/>
    <xf numFmtId="0" fontId="21" fillId="0" borderId="24" xfId="0" applyFont="1" applyBorder="1"/>
    <xf numFmtId="0" fontId="21" fillId="0" borderId="16" xfId="0" applyFont="1" applyBorder="1"/>
    <xf numFmtId="0" fontId="18" fillId="0" borderId="24" xfId="0" applyFont="1" applyBorder="1"/>
    <xf numFmtId="0" fontId="19" fillId="0" borderId="15" xfId="0" applyFont="1" applyBorder="1"/>
    <xf numFmtId="0" fontId="19" fillId="0" borderId="16" xfId="0" applyFont="1" applyBorder="1" applyAlignment="1">
      <alignment horizontal="right"/>
    </xf>
    <xf numFmtId="0" fontId="11" fillId="0" borderId="2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8" fillId="0" borderId="21" xfId="0" applyFont="1" applyBorder="1"/>
    <xf numFmtId="0" fontId="19" fillId="0" borderId="0" xfId="0" applyFont="1" applyAlignment="1">
      <alignment horizontal="center"/>
    </xf>
    <xf numFmtId="0" fontId="19" fillId="0" borderId="12" xfId="0" applyFont="1" applyBorder="1" applyAlignment="1">
      <alignment horizontal="right"/>
    </xf>
    <xf numFmtId="0" fontId="11" fillId="0" borderId="0" xfId="0" applyFont="1"/>
    <xf numFmtId="0" fontId="19" fillId="0" borderId="0" xfId="0" applyFont="1" applyAlignment="1">
      <alignment horizontal="center" vertical="center"/>
    </xf>
    <xf numFmtId="0" fontId="23" fillId="0" borderId="12" xfId="0" applyFont="1" applyBorder="1" applyAlignment="1">
      <alignment horizontal="center"/>
    </xf>
    <xf numFmtId="0" fontId="10" fillId="0" borderId="8" xfId="0" applyFont="1" applyBorder="1"/>
    <xf numFmtId="0" fontId="10" fillId="0" borderId="13" xfId="0" applyFont="1" applyBorder="1"/>
    <xf numFmtId="2" fontId="10" fillId="0" borderId="8" xfId="0" applyNumberFormat="1" applyFont="1" applyBorder="1" applyAlignment="1">
      <alignment horizontal="center"/>
    </xf>
    <xf numFmtId="171" fontId="10" fillId="0" borderId="9" xfId="0" applyNumberFormat="1" applyFont="1" applyBorder="1" applyAlignment="1">
      <alignment horizontal="center"/>
    </xf>
    <xf numFmtId="2" fontId="18" fillId="0" borderId="8" xfId="0" applyNumberFormat="1" applyFont="1" applyBorder="1" applyAlignment="1">
      <alignment horizontal="center" vertical="center"/>
    </xf>
    <xf numFmtId="0" fontId="18" fillId="0" borderId="13" xfId="0" applyFont="1" applyBorder="1" applyAlignment="1">
      <alignment horizontal="center"/>
    </xf>
    <xf numFmtId="0" fontId="18" fillId="0" borderId="13" xfId="0" applyFont="1" applyBorder="1"/>
    <xf numFmtId="0" fontId="19" fillId="0" borderId="9" xfId="0" applyFont="1" applyBorder="1" applyAlignment="1">
      <alignment horizontal="center" vertical="center"/>
    </xf>
    <xf numFmtId="170" fontId="19" fillId="0" borderId="12" xfId="0" applyNumberFormat="1" applyFont="1" applyBorder="1" applyAlignment="1">
      <alignment horizontal="right"/>
    </xf>
    <xf numFmtId="0" fontId="10" fillId="0" borderId="24" xfId="0" applyFont="1" applyBorder="1"/>
    <xf numFmtId="0" fontId="10" fillId="0" borderId="15" xfId="0" applyFont="1" applyBorder="1"/>
    <xf numFmtId="2" fontId="18" fillId="0" borderId="24" xfId="0" applyNumberFormat="1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0" fillId="0" borderId="21" xfId="0" applyFont="1" applyBorder="1"/>
    <xf numFmtId="0" fontId="10" fillId="0" borderId="23" xfId="0" applyFont="1" applyBorder="1"/>
    <xf numFmtId="0" fontId="10" fillId="0" borderId="18" xfId="0" applyFont="1" applyBorder="1"/>
    <xf numFmtId="171" fontId="10" fillId="0" borderId="16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71" fontId="10" fillId="0" borderId="12" xfId="0" applyNumberFormat="1" applyFont="1" applyBorder="1" applyAlignment="1">
      <alignment horizontal="center"/>
    </xf>
    <xf numFmtId="2" fontId="18" fillId="0" borderId="2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19" fillId="0" borderId="12" xfId="0" applyFont="1" applyBorder="1" applyAlignment="1">
      <alignment horizontal="center" vertical="center"/>
    </xf>
    <xf numFmtId="170" fontId="10" fillId="0" borderId="21" xfId="0" applyNumberFormat="1" applyFont="1" applyBorder="1" applyAlignment="1">
      <alignment horizontal="center"/>
    </xf>
    <xf numFmtId="171" fontId="10" fillId="0" borderId="19" xfId="0" applyNumberFormat="1" applyFont="1" applyBorder="1" applyAlignment="1">
      <alignment horizontal="center"/>
    </xf>
    <xf numFmtId="2" fontId="18" fillId="0" borderId="23" xfId="0" applyNumberFormat="1" applyFont="1" applyBorder="1" applyAlignment="1">
      <alignment horizontal="center" vertical="center"/>
    </xf>
    <xf numFmtId="0" fontId="18" fillId="0" borderId="18" xfId="0" applyFont="1" applyBorder="1" applyAlignment="1">
      <alignment horizontal="center"/>
    </xf>
    <xf numFmtId="0" fontId="19" fillId="0" borderId="19" xfId="0" applyFont="1" applyBorder="1" applyAlignment="1">
      <alignment horizontal="center" vertical="center"/>
    </xf>
    <xf numFmtId="0" fontId="11" fillId="2" borderId="1" xfId="0" applyFont="1" applyFill="1" applyBorder="1" applyAlignment="1">
      <alignment horizontal="center"/>
    </xf>
    <xf numFmtId="2" fontId="10" fillId="0" borderId="12" xfId="0" applyNumberFormat="1" applyFont="1" applyBorder="1" applyAlignment="1">
      <alignment horizontal="right"/>
    </xf>
    <xf numFmtId="170" fontId="18" fillId="0" borderId="24" xfId="0" applyNumberFormat="1" applyFont="1" applyBorder="1" applyAlignment="1">
      <alignment horizontal="center" vertical="center"/>
    </xf>
    <xf numFmtId="2" fontId="10" fillId="0" borderId="19" xfId="0" applyNumberFormat="1" applyFont="1" applyBorder="1" applyAlignment="1">
      <alignment horizontal="right"/>
    </xf>
    <xf numFmtId="0" fontId="18" fillId="0" borderId="23" xfId="0" applyFont="1" applyBorder="1"/>
    <xf numFmtId="0" fontId="19" fillId="0" borderId="19" xfId="0" applyFont="1" applyBorder="1"/>
    <xf numFmtId="0" fontId="19" fillId="0" borderId="18" xfId="0" applyFont="1" applyBorder="1"/>
    <xf numFmtId="0" fontId="19" fillId="0" borderId="19" xfId="0" applyFont="1" applyBorder="1" applyAlignment="1">
      <alignment horizontal="right"/>
    </xf>
    <xf numFmtId="9" fontId="22" fillId="0" borderId="0" xfId="0" applyNumberFormat="1" applyFont="1" applyAlignment="1">
      <alignment horizontal="left"/>
    </xf>
    <xf numFmtId="172" fontId="18" fillId="0" borderId="0" xfId="0" applyNumberFormat="1" applyFont="1"/>
    <xf numFmtId="171" fontId="18" fillId="0" borderId="0" xfId="0" applyNumberFormat="1" applyFont="1"/>
    <xf numFmtId="0" fontId="24" fillId="0" borderId="0" xfId="0" applyFont="1"/>
    <xf numFmtId="0" fontId="21" fillId="0" borderId="0" xfId="0" applyFont="1"/>
    <xf numFmtId="0" fontId="25" fillId="0" borderId="25" xfId="0" applyFont="1" applyBorder="1" applyAlignment="1">
      <alignment vertical="center" wrapText="1"/>
    </xf>
    <xf numFmtId="0" fontId="25" fillId="0" borderId="26" xfId="0" applyFont="1" applyBorder="1" applyAlignment="1">
      <alignment vertical="center" wrapText="1"/>
    </xf>
    <xf numFmtId="173" fontId="18" fillId="0" borderId="0" xfId="0" applyNumberFormat="1" applyFont="1"/>
    <xf numFmtId="11" fontId="18" fillId="0" borderId="0" xfId="0" applyNumberFormat="1" applyFont="1"/>
    <xf numFmtId="0" fontId="25" fillId="0" borderId="27" xfId="0" applyFont="1" applyBorder="1" applyAlignment="1">
      <alignment vertical="center" wrapText="1"/>
    </xf>
    <xf numFmtId="0" fontId="25" fillId="0" borderId="28" xfId="0" applyFont="1" applyBorder="1" applyAlignment="1">
      <alignment vertical="center" wrapText="1"/>
    </xf>
    <xf numFmtId="0" fontId="26" fillId="6" borderId="32" xfId="0" applyFont="1" applyFill="1" applyBorder="1" applyAlignment="1">
      <alignment vertical="center"/>
    </xf>
    <xf numFmtId="0" fontId="27" fillId="7" borderId="32" xfId="0" applyFont="1" applyFill="1" applyBorder="1" applyAlignment="1">
      <alignment vertical="center"/>
    </xf>
    <xf numFmtId="0" fontId="27" fillId="7" borderId="32" xfId="0" applyFont="1" applyFill="1" applyBorder="1" applyAlignment="1">
      <alignment horizontal="center" vertical="center"/>
    </xf>
    <xf numFmtId="0" fontId="27" fillId="7" borderId="33" xfId="0" applyFont="1" applyFill="1" applyBorder="1"/>
    <xf numFmtId="0" fontId="27" fillId="7" borderId="34" xfId="0" applyFont="1" applyFill="1" applyBorder="1"/>
    <xf numFmtId="0" fontId="27" fillId="7" borderId="32" xfId="0" applyFont="1" applyFill="1" applyBorder="1" applyAlignment="1">
      <alignment horizontal="center"/>
    </xf>
    <xf numFmtId="0" fontId="27" fillId="7" borderId="32" xfId="0" applyFont="1" applyFill="1" applyBorder="1" applyAlignment="1">
      <alignment horizontal="center" vertical="center" wrapText="1"/>
    </xf>
    <xf numFmtId="0" fontId="22" fillId="0" borderId="32" xfId="0" applyFont="1" applyBorder="1" applyAlignment="1">
      <alignment horizontal="left" vertical="top"/>
    </xf>
    <xf numFmtId="0" fontId="22" fillId="0" borderId="32" xfId="0" applyFont="1" applyBorder="1" applyAlignment="1">
      <alignment vertical="center" wrapText="1"/>
    </xf>
    <xf numFmtId="0" fontId="22" fillId="0" borderId="32" xfId="0" applyFont="1" applyBorder="1"/>
    <xf numFmtId="171" fontId="22" fillId="0" borderId="32" xfId="0" applyNumberFormat="1" applyFont="1" applyBorder="1"/>
    <xf numFmtId="174" fontId="22" fillId="0" borderId="32" xfId="0" applyNumberFormat="1" applyFont="1" applyBorder="1"/>
    <xf numFmtId="0" fontId="22" fillId="8" borderId="32" xfId="0" applyFont="1" applyFill="1" applyBorder="1" applyAlignment="1">
      <alignment horizontal="left" vertical="top"/>
    </xf>
    <xf numFmtId="0" fontId="22" fillId="8" borderId="32" xfId="0" applyFont="1" applyFill="1" applyBorder="1" applyAlignment="1">
      <alignment vertical="center" wrapText="1"/>
    </xf>
    <xf numFmtId="0" fontId="22" fillId="8" borderId="32" xfId="0" applyFont="1" applyFill="1" applyBorder="1"/>
    <xf numFmtId="171" fontId="22" fillId="8" borderId="32" xfId="0" applyNumberFormat="1" applyFont="1" applyFill="1" applyBorder="1"/>
    <xf numFmtId="174" fontId="22" fillId="8" borderId="32" xfId="0" applyNumberFormat="1" applyFont="1" applyFill="1" applyBorder="1"/>
    <xf numFmtId="0" fontId="28" fillId="0" borderId="32" xfId="0" applyFont="1" applyBorder="1" applyAlignment="1">
      <alignment horizontal="left" vertical="top"/>
    </xf>
    <xf numFmtId="0" fontId="29" fillId="0" borderId="32" xfId="0" applyFont="1" applyBorder="1" applyAlignment="1">
      <alignment vertical="center" wrapText="1"/>
    </xf>
    <xf numFmtId="0" fontId="29" fillId="0" borderId="32" xfId="0" applyFont="1" applyBorder="1"/>
    <xf numFmtId="171" fontId="29" fillId="0" borderId="32" xfId="0" applyNumberFormat="1" applyFont="1" applyBorder="1"/>
    <xf numFmtId="174" fontId="29" fillId="0" borderId="32" xfId="0" applyNumberFormat="1" applyFont="1" applyBorder="1"/>
    <xf numFmtId="171" fontId="28" fillId="0" borderId="32" xfId="0" applyNumberFormat="1" applyFont="1" applyBorder="1"/>
    <xf numFmtId="0" fontId="28" fillId="8" borderId="32" xfId="0" applyFont="1" applyFill="1" applyBorder="1" applyAlignment="1">
      <alignment horizontal="right" vertical="top"/>
    </xf>
    <xf numFmtId="0" fontId="22" fillId="8" borderId="32" xfId="0" applyFont="1" applyFill="1" applyBorder="1" applyAlignment="1">
      <alignment horizontal="left" vertical="center" wrapText="1"/>
    </xf>
    <xf numFmtId="0" fontId="28" fillId="0" borderId="32" xfId="0" applyFont="1" applyBorder="1" applyAlignment="1">
      <alignment horizontal="right" vertical="top"/>
    </xf>
    <xf numFmtId="0" fontId="22" fillId="0" borderId="32" xfId="0" applyFont="1" applyBorder="1" applyAlignment="1">
      <alignment horizontal="left" vertical="center" wrapText="1"/>
    </xf>
    <xf numFmtId="0" fontId="27" fillId="6" borderId="32" xfId="0" applyFont="1" applyFill="1" applyBorder="1" applyAlignment="1">
      <alignment vertical="center"/>
    </xf>
    <xf numFmtId="166" fontId="22" fillId="0" borderId="32" xfId="0" applyNumberFormat="1" applyFont="1" applyBorder="1"/>
    <xf numFmtId="175" fontId="22" fillId="0" borderId="32" xfId="0" applyNumberFormat="1" applyFont="1" applyBorder="1"/>
    <xf numFmtId="166" fontId="22" fillId="8" borderId="32" xfId="0" applyNumberFormat="1" applyFont="1" applyFill="1" applyBorder="1"/>
    <xf numFmtId="175" fontId="22" fillId="8" borderId="32" xfId="0" applyNumberFormat="1" applyFont="1" applyFill="1" applyBorder="1"/>
    <xf numFmtId="172" fontId="22" fillId="8" borderId="32" xfId="0" applyNumberFormat="1" applyFont="1" applyFill="1" applyBorder="1"/>
    <xf numFmtId="166" fontId="22" fillId="0" borderId="0" xfId="0" applyNumberFormat="1" applyFont="1"/>
    <xf numFmtId="175" fontId="22" fillId="0" borderId="0" xfId="0" applyNumberFormat="1" applyFont="1"/>
    <xf numFmtId="0" fontId="26" fillId="6" borderId="1" xfId="0" applyFont="1" applyFill="1" applyBorder="1" applyAlignment="1">
      <alignment horizontal="center" vertical="center"/>
    </xf>
    <xf numFmtId="0" fontId="27" fillId="7" borderId="33" xfId="0" applyFont="1" applyFill="1" applyBorder="1" applyAlignment="1">
      <alignment horizontal="center" vertical="center" wrapText="1"/>
    </xf>
    <xf numFmtId="0" fontId="27" fillId="7" borderId="34" xfId="0" applyFont="1" applyFill="1" applyBorder="1" applyAlignment="1">
      <alignment horizontal="center" vertical="center" wrapText="1"/>
    </xf>
    <xf numFmtId="166" fontId="22" fillId="2" borderId="33" xfId="0" applyNumberFormat="1" applyFont="1" applyFill="1" applyBorder="1"/>
    <xf numFmtId="166" fontId="22" fillId="2" borderId="34" xfId="0" applyNumberFormat="1" applyFont="1" applyFill="1" applyBorder="1"/>
    <xf numFmtId="175" fontId="22" fillId="2" borderId="32" xfId="0" applyNumberFormat="1" applyFont="1" applyFill="1" applyBorder="1"/>
    <xf numFmtId="166" fontId="22" fillId="2" borderId="32" xfId="0" applyNumberFormat="1" applyFont="1" applyFill="1" applyBorder="1"/>
    <xf numFmtId="166" fontId="22" fillId="8" borderId="33" xfId="0" applyNumberFormat="1" applyFont="1" applyFill="1" applyBorder="1"/>
    <xf numFmtId="166" fontId="22" fillId="8" borderId="34" xfId="0" applyNumberFormat="1" applyFont="1" applyFill="1" applyBorder="1"/>
    <xf numFmtId="166" fontId="30" fillId="2" borderId="33" xfId="0" applyNumberFormat="1" applyFont="1" applyFill="1" applyBorder="1"/>
    <xf numFmtId="166" fontId="30" fillId="2" borderId="34" xfId="0" applyNumberFormat="1" applyFont="1" applyFill="1" applyBorder="1"/>
    <xf numFmtId="175" fontId="30" fillId="2" borderId="32" xfId="0" applyNumberFormat="1" applyFont="1" applyFill="1" applyBorder="1"/>
    <xf numFmtId="166" fontId="30" fillId="2" borderId="32" xfId="0" applyNumberFormat="1" applyFont="1" applyFill="1" applyBorder="1"/>
    <xf numFmtId="166" fontId="27" fillId="7" borderId="32" xfId="0" applyNumberFormat="1" applyFont="1" applyFill="1" applyBorder="1" applyAlignment="1">
      <alignment horizontal="center" vertical="center" wrapText="1"/>
    </xf>
    <xf numFmtId="166" fontId="30" fillId="8" borderId="33" xfId="0" applyNumberFormat="1" applyFont="1" applyFill="1" applyBorder="1"/>
    <xf numFmtId="166" fontId="30" fillId="8" borderId="34" xfId="0" applyNumberFormat="1" applyFont="1" applyFill="1" applyBorder="1"/>
    <xf numFmtId="175" fontId="30" fillId="8" borderId="32" xfId="0" applyNumberFormat="1" applyFont="1" applyFill="1" applyBorder="1"/>
    <xf numFmtId="166" fontId="30" fillId="8" borderId="32" xfId="0" applyNumberFormat="1" applyFont="1" applyFill="1" applyBorder="1"/>
    <xf numFmtId="0" fontId="31" fillId="0" borderId="0" xfId="0" applyFont="1"/>
    <xf numFmtId="0" fontId="31" fillId="0" borderId="0" xfId="0" applyFont="1" applyAlignment="1">
      <alignment wrapText="1"/>
    </xf>
    <xf numFmtId="1" fontId="32" fillId="0" borderId="0" xfId="0" applyNumberFormat="1" applyFont="1" applyAlignment="1">
      <alignment horizontal="center" vertical="center"/>
    </xf>
    <xf numFmtId="169" fontId="10" fillId="0" borderId="0" xfId="0" applyNumberFormat="1" applyFont="1"/>
    <xf numFmtId="0" fontId="13" fillId="2" borderId="1" xfId="0" applyFont="1" applyFill="1" applyBorder="1" applyAlignment="1">
      <alignment horizontal="left"/>
    </xf>
    <xf numFmtId="0" fontId="14" fillId="2" borderId="1" xfId="0" applyFont="1" applyFill="1" applyBorder="1"/>
    <xf numFmtId="0" fontId="15" fillId="3" borderId="5" xfId="0" applyFont="1" applyFill="1" applyBorder="1" applyAlignment="1">
      <alignment horizontal="left"/>
    </xf>
    <xf numFmtId="0" fontId="15" fillId="3" borderId="6" xfId="0" applyFont="1" applyFill="1" applyBorder="1" applyAlignment="1">
      <alignment horizontal="left"/>
    </xf>
    <xf numFmtId="0" fontId="15" fillId="3" borderId="5" xfId="0" applyFont="1" applyFill="1" applyBorder="1" applyAlignment="1">
      <alignment horizontal="center" wrapText="1"/>
    </xf>
    <xf numFmtId="0" fontId="16" fillId="4" borderId="7" xfId="0" applyFont="1" applyFill="1" applyBorder="1" applyAlignment="1">
      <alignment horizontal="left" wrapText="1"/>
    </xf>
    <xf numFmtId="0" fontId="16" fillId="4" borderId="7" xfId="0" applyFont="1" applyFill="1" applyBorder="1" applyAlignment="1">
      <alignment horizontal="center" vertical="center" wrapText="1"/>
    </xf>
    <xf numFmtId="0" fontId="16" fillId="4" borderId="7" xfId="0" applyFont="1" applyFill="1" applyBorder="1" applyAlignment="1">
      <alignment horizontal="center" wrapText="1"/>
    </xf>
    <xf numFmtId="0" fontId="10" fillId="0" borderId="0" xfId="0" applyFont="1" applyAlignment="1">
      <alignment horizontal="center" vertical="center"/>
    </xf>
    <xf numFmtId="170" fontId="10" fillId="0" borderId="0" xfId="0" applyNumberFormat="1" applyFont="1"/>
    <xf numFmtId="0" fontId="10" fillId="5" borderId="1" xfId="0" applyFont="1" applyFill="1" applyBorder="1"/>
    <xf numFmtId="0" fontId="10" fillId="9" borderId="1" xfId="0" applyFont="1" applyFill="1" applyBorder="1"/>
    <xf numFmtId="9" fontId="10" fillId="9" borderId="1" xfId="0" applyNumberFormat="1" applyFont="1" applyFill="1" applyBorder="1"/>
    <xf numFmtId="0" fontId="33" fillId="10" borderId="1" xfId="0" applyFont="1" applyFill="1" applyBorder="1" applyAlignment="1">
      <alignment horizontal="center" vertical="center"/>
    </xf>
    <xf numFmtId="2" fontId="10" fillId="10" borderId="1" xfId="0" applyNumberFormat="1" applyFont="1" applyFill="1" applyBorder="1"/>
    <xf numFmtId="0" fontId="33" fillId="0" borderId="0" xfId="0" applyFont="1" applyAlignment="1">
      <alignment horizontal="center" vertical="center"/>
    </xf>
    <xf numFmtId="2" fontId="10" fillId="0" borderId="0" xfId="0" applyNumberFormat="1" applyFont="1"/>
    <xf numFmtId="170" fontId="10" fillId="9" borderId="1" xfId="0" applyNumberFormat="1" applyFont="1" applyFill="1" applyBorder="1"/>
    <xf numFmtId="169" fontId="10" fillId="9" borderId="1" xfId="0" applyNumberFormat="1" applyFont="1" applyFill="1" applyBorder="1"/>
    <xf numFmtId="167" fontId="10" fillId="9" borderId="1" xfId="0" applyNumberFormat="1" applyFont="1" applyFill="1" applyBorder="1"/>
    <xf numFmtId="169" fontId="10" fillId="10" borderId="1" xfId="0" applyNumberFormat="1" applyFont="1" applyFill="1" applyBorder="1"/>
    <xf numFmtId="0" fontId="33" fillId="0" borderId="0" xfId="0" applyFont="1" applyAlignment="1">
      <alignment horizontal="center"/>
    </xf>
    <xf numFmtId="9" fontId="10" fillId="0" borderId="0" xfId="0" applyNumberFormat="1" applyFont="1"/>
    <xf numFmtId="0" fontId="10" fillId="11" borderId="41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1" fontId="10" fillId="0" borderId="0" xfId="0" applyNumberFormat="1" applyFont="1"/>
    <xf numFmtId="176" fontId="10" fillId="11" borderId="41" xfId="0" applyNumberFormat="1" applyFont="1" applyFill="1" applyBorder="1" applyAlignment="1">
      <alignment horizontal="center" vertical="center"/>
    </xf>
    <xf numFmtId="0" fontId="18" fillId="2" borderId="1" xfId="0" applyFont="1" applyFill="1" applyBorder="1"/>
    <xf numFmtId="0" fontId="34" fillId="2" borderId="1" xfId="0" applyFont="1" applyFill="1" applyBorder="1"/>
    <xf numFmtId="0" fontId="34" fillId="0" borderId="0" xfId="0" applyFont="1"/>
    <xf numFmtId="164" fontId="34" fillId="0" borderId="0" xfId="0" applyNumberFormat="1" applyFont="1"/>
    <xf numFmtId="0" fontId="21" fillId="3" borderId="5" xfId="0" applyFont="1" applyFill="1" applyBorder="1" applyAlignment="1">
      <alignment vertical="center"/>
    </xf>
    <xf numFmtId="0" fontId="21" fillId="3" borderId="6" xfId="0" applyFont="1" applyFill="1" applyBorder="1" applyAlignment="1">
      <alignment horizontal="left"/>
    </xf>
    <xf numFmtId="0" fontId="21" fillId="3" borderId="6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164" fontId="21" fillId="3" borderId="6" xfId="0" applyNumberFormat="1" applyFont="1" applyFill="1" applyBorder="1" applyAlignment="1">
      <alignment horizontal="left"/>
    </xf>
    <xf numFmtId="0" fontId="18" fillId="4" borderId="5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vertical="center"/>
    </xf>
    <xf numFmtId="0" fontId="18" fillId="2" borderId="1" xfId="0" applyFont="1" applyFill="1" applyBorder="1" applyAlignment="1">
      <alignment horizontal="left"/>
    </xf>
    <xf numFmtId="0" fontId="18" fillId="4" borderId="6" xfId="0" applyFont="1" applyFill="1" applyBorder="1" applyAlignment="1">
      <alignment horizontal="left" wrapText="1"/>
    </xf>
    <xf numFmtId="0" fontId="18" fillId="2" borderId="1" xfId="0" applyFont="1" applyFill="1" applyBorder="1" applyAlignment="1">
      <alignment horizontal="center" wrapText="1"/>
    </xf>
    <xf numFmtId="169" fontId="18" fillId="0" borderId="0" xfId="0" applyNumberFormat="1" applyFont="1"/>
    <xf numFmtId="0" fontId="18" fillId="0" borderId="0" xfId="0" applyFont="1" applyAlignment="1">
      <alignment horizontal="center" vertical="center"/>
    </xf>
    <xf numFmtId="169" fontId="18" fillId="2" borderId="1" xfId="0" applyNumberFormat="1" applyFont="1" applyFill="1" applyBorder="1"/>
    <xf numFmtId="0" fontId="14" fillId="2" borderId="1" xfId="0" applyFont="1" applyFill="1" applyBorder="1" applyAlignment="1">
      <alignment vertical="center" wrapText="1"/>
    </xf>
    <xf numFmtId="169" fontId="14" fillId="2" borderId="1" xfId="0" applyNumberFormat="1" applyFont="1" applyFill="1" applyBorder="1" applyAlignment="1">
      <alignment wrapText="1"/>
    </xf>
    <xf numFmtId="164" fontId="18" fillId="0" borderId="0" xfId="0" applyNumberFormat="1" applyFont="1" applyAlignment="1">
      <alignment wrapText="1"/>
    </xf>
    <xf numFmtId="0" fontId="18" fillId="0" borderId="0" xfId="0" applyFont="1" applyAlignment="1">
      <alignment wrapText="1"/>
    </xf>
    <xf numFmtId="9" fontId="18" fillId="0" borderId="0" xfId="0" applyNumberFormat="1" applyFont="1" applyAlignment="1">
      <alignment horizontal="center" vertical="center" wrapText="1"/>
    </xf>
    <xf numFmtId="9" fontId="18" fillId="0" borderId="0" xfId="0" applyNumberFormat="1" applyFont="1" applyAlignment="1">
      <alignment wrapText="1"/>
    </xf>
    <xf numFmtId="164" fontId="18" fillId="2" borderId="1" xfId="0" applyNumberFormat="1" applyFont="1" applyFill="1" applyBorder="1" applyAlignment="1">
      <alignment horizontal="left" wrapText="1"/>
    </xf>
    <xf numFmtId="164" fontId="18" fillId="0" borderId="0" xfId="0" applyNumberFormat="1" applyFont="1"/>
    <xf numFmtId="9" fontId="18" fillId="0" borderId="0" xfId="0" applyNumberFormat="1" applyFont="1" applyAlignment="1">
      <alignment horizontal="center" vertical="center"/>
    </xf>
    <xf numFmtId="9" fontId="18" fillId="0" borderId="0" xfId="0" applyNumberFormat="1" applyFont="1"/>
    <xf numFmtId="0" fontId="10" fillId="11" borderId="1" xfId="0" applyFont="1" applyFill="1" applyBorder="1"/>
    <xf numFmtId="0" fontId="11" fillId="11" borderId="1" xfId="0" applyFont="1" applyFill="1" applyBorder="1" applyAlignment="1">
      <alignment horizontal="center"/>
    </xf>
    <xf numFmtId="0" fontId="10" fillId="11" borderId="1" xfId="0" applyFont="1" applyFill="1" applyBorder="1" applyAlignment="1">
      <alignment horizontal="center"/>
    </xf>
    <xf numFmtId="0" fontId="10" fillId="11" borderId="1" xfId="0" applyFont="1" applyFill="1" applyBorder="1" applyAlignment="1">
      <alignment horizontal="center" vertical="center"/>
    </xf>
    <xf numFmtId="9" fontId="10" fillId="11" borderId="1" xfId="0" applyNumberFormat="1" applyFont="1" applyFill="1" applyBorder="1"/>
    <xf numFmtId="10" fontId="10" fillId="0" borderId="0" xfId="0" applyNumberFormat="1" applyFont="1"/>
    <xf numFmtId="177" fontId="10" fillId="0" borderId="0" xfId="0" applyNumberFormat="1" applyFont="1"/>
    <xf numFmtId="0" fontId="13" fillId="0" borderId="0" xfId="0" applyFont="1"/>
    <xf numFmtId="0" fontId="14" fillId="0" borderId="0" xfId="0" applyFont="1"/>
    <xf numFmtId="0" fontId="15" fillId="3" borderId="6" xfId="0" applyFont="1" applyFill="1" applyBorder="1" applyAlignment="1">
      <alignment vertical="center"/>
    </xf>
    <xf numFmtId="0" fontId="15" fillId="3" borderId="6" xfId="0" applyFont="1" applyFill="1" applyBorder="1" applyAlignment="1">
      <alignment horizontal="center" vertical="center"/>
    </xf>
    <xf numFmtId="169" fontId="14" fillId="2" borderId="1" xfId="0" applyNumberFormat="1" applyFont="1" applyFill="1" applyBorder="1" applyAlignment="1">
      <alignment horizontal="center"/>
    </xf>
    <xf numFmtId="169" fontId="10" fillId="2" borderId="1" xfId="0" applyNumberFormat="1" applyFont="1" applyFill="1" applyBorder="1" applyAlignment="1">
      <alignment horizontal="center"/>
    </xf>
    <xf numFmtId="169" fontId="10" fillId="0" borderId="0" xfId="0" applyNumberFormat="1" applyFont="1" applyAlignment="1">
      <alignment horizontal="center"/>
    </xf>
    <xf numFmtId="169" fontId="17" fillId="0" borderId="0" xfId="0" applyNumberFormat="1" applyFont="1"/>
    <xf numFmtId="0" fontId="21" fillId="0" borderId="11" xfId="0" applyFont="1" applyBorder="1" applyAlignment="1">
      <alignment horizontal="center"/>
    </xf>
    <xf numFmtId="0" fontId="21" fillId="0" borderId="17" xfId="0" applyFont="1" applyBorder="1" applyAlignment="1">
      <alignment horizontal="center"/>
    </xf>
    <xf numFmtId="0" fontId="35" fillId="2" borderId="1" xfId="0" applyFont="1" applyFill="1" applyBorder="1"/>
    <xf numFmtId="0" fontId="35" fillId="0" borderId="0" xfId="0" applyFont="1"/>
    <xf numFmtId="178" fontId="10" fillId="0" borderId="0" xfId="0" applyNumberFormat="1" applyFont="1"/>
    <xf numFmtId="0" fontId="10" fillId="12" borderId="1" xfId="0" applyFont="1" applyFill="1" applyBorder="1"/>
    <xf numFmtId="0" fontId="36" fillId="0" borderId="0" xfId="0" applyFont="1"/>
    <xf numFmtId="0" fontId="13" fillId="0" borderId="0" xfId="0" applyFont="1" applyAlignment="1">
      <alignment horizontal="left"/>
    </xf>
    <xf numFmtId="0" fontId="15" fillId="3" borderId="7" xfId="0" applyFont="1" applyFill="1" applyBorder="1" applyAlignment="1">
      <alignment horizontal="left" vertical="center"/>
    </xf>
    <xf numFmtId="0" fontId="15" fillId="3" borderId="7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9" fontId="10" fillId="0" borderId="0" xfId="0" applyNumberFormat="1" applyFont="1" applyAlignment="1">
      <alignment horizontal="center" vertical="center"/>
    </xf>
    <xf numFmtId="0" fontId="37" fillId="0" borderId="0" xfId="0" applyFont="1"/>
    <xf numFmtId="0" fontId="38" fillId="0" borderId="0" xfId="0" applyFont="1"/>
    <xf numFmtId="0" fontId="31" fillId="0" borderId="0" xfId="0" applyFont="1" applyAlignment="1">
      <alignment horizontal="center" vertical="center"/>
    </xf>
    <xf numFmtId="166" fontId="31" fillId="0" borderId="0" xfId="0" applyNumberFormat="1" applyFont="1" applyAlignment="1">
      <alignment horizontal="center" vertical="center"/>
    </xf>
    <xf numFmtId="9" fontId="10" fillId="0" borderId="0" xfId="0" applyNumberFormat="1" applyFont="1" applyAlignment="1">
      <alignment horizontal="center" vertical="center"/>
    </xf>
    <xf numFmtId="166" fontId="10" fillId="0" borderId="0" xfId="0" applyNumberFormat="1" applyFont="1"/>
    <xf numFmtId="166" fontId="10" fillId="0" borderId="0" xfId="0" applyNumberFormat="1" applyFont="1" applyAlignment="1">
      <alignment horizontal="center" vertical="center"/>
    </xf>
    <xf numFmtId="9" fontId="10" fillId="0" borderId="0" xfId="0" applyNumberFormat="1" applyFont="1" applyAlignment="1">
      <alignment horizontal="center"/>
    </xf>
    <xf numFmtId="174" fontId="10" fillId="0" borderId="0" xfId="0" applyNumberFormat="1" applyFont="1"/>
    <xf numFmtId="0" fontId="22" fillId="0" borderId="0" xfId="0" applyFont="1" applyAlignment="1">
      <alignment horizontal="center" vertical="center"/>
    </xf>
    <xf numFmtId="166" fontId="10" fillId="0" borderId="0" xfId="0" applyNumberFormat="1" applyFont="1" applyAlignment="1">
      <alignment horizontal="center"/>
    </xf>
    <xf numFmtId="171" fontId="10" fillId="0" borderId="0" xfId="0" applyNumberFormat="1" applyFont="1"/>
    <xf numFmtId="0" fontId="22" fillId="10" borderId="43" xfId="0" applyFont="1" applyFill="1" applyBorder="1"/>
    <xf numFmtId="0" fontId="11" fillId="10" borderId="5" xfId="0" applyFont="1" applyFill="1" applyBorder="1"/>
    <xf numFmtId="0" fontId="10" fillId="10" borderId="5" xfId="0" applyFont="1" applyFill="1" applyBorder="1"/>
    <xf numFmtId="0" fontId="10" fillId="10" borderId="44" xfId="0" applyFont="1" applyFill="1" applyBorder="1"/>
    <xf numFmtId="0" fontId="22" fillId="0" borderId="21" xfId="0" applyFont="1" applyBorder="1"/>
    <xf numFmtId="0" fontId="10" fillId="0" borderId="12" xfId="0" applyFont="1" applyBorder="1"/>
    <xf numFmtId="0" fontId="10" fillId="10" borderId="1" xfId="0" applyFont="1" applyFill="1" applyBorder="1"/>
    <xf numFmtId="9" fontId="10" fillId="10" borderId="1" xfId="0" applyNumberFormat="1" applyFont="1" applyFill="1" applyBorder="1"/>
    <xf numFmtId="0" fontId="22" fillId="10" borderId="45" xfId="0" applyFont="1" applyFill="1" applyBorder="1"/>
    <xf numFmtId="9" fontId="10" fillId="2" borderId="1" xfId="0" applyNumberFormat="1" applyFont="1" applyFill="1" applyBorder="1"/>
    <xf numFmtId="0" fontId="22" fillId="0" borderId="23" xfId="0" applyFont="1" applyBorder="1"/>
    <xf numFmtId="10" fontId="10" fillId="0" borderId="18" xfId="0" applyNumberFormat="1" applyFont="1" applyBorder="1"/>
    <xf numFmtId="0" fontId="10" fillId="0" borderId="19" xfId="0" applyFont="1" applyBorder="1"/>
    <xf numFmtId="10" fontId="10" fillId="0" borderId="0" xfId="0" applyNumberFormat="1" applyFont="1" applyAlignment="1">
      <alignment horizontal="center" vertical="center"/>
    </xf>
    <xf numFmtId="10" fontId="10" fillId="0" borderId="0" xfId="0" applyNumberFormat="1" applyFont="1" applyAlignment="1">
      <alignment horizontal="center"/>
    </xf>
    <xf numFmtId="2" fontId="10" fillId="0" borderId="15" xfId="0" applyNumberFormat="1" applyFont="1" applyBorder="1"/>
    <xf numFmtId="2" fontId="10" fillId="0" borderId="16" xfId="0" applyNumberFormat="1" applyFont="1" applyBorder="1"/>
    <xf numFmtId="2" fontId="10" fillId="0" borderId="12" xfId="0" applyNumberFormat="1" applyFont="1" applyBorder="1"/>
    <xf numFmtId="2" fontId="10" fillId="0" borderId="18" xfId="0" applyNumberFormat="1" applyFont="1" applyBorder="1"/>
    <xf numFmtId="2" fontId="10" fillId="0" borderId="19" xfId="0" applyNumberFormat="1" applyFont="1" applyBorder="1"/>
    <xf numFmtId="0" fontId="10" fillId="2" borderId="45" xfId="0" applyFont="1" applyFill="1" applyBorder="1" applyAlignment="1">
      <alignment horizontal="center" vertical="center"/>
    </xf>
    <xf numFmtId="0" fontId="10" fillId="2" borderId="46" xfId="0" applyFont="1" applyFill="1" applyBorder="1" applyAlignment="1">
      <alignment horizontal="center" vertical="center"/>
    </xf>
    <xf numFmtId="9" fontId="10" fillId="2" borderId="1" xfId="0" applyNumberFormat="1" applyFont="1" applyFill="1" applyBorder="1" applyAlignment="1">
      <alignment horizontal="center" vertical="center"/>
    </xf>
    <xf numFmtId="9" fontId="10" fillId="2" borderId="46" xfId="0" applyNumberFormat="1" applyFont="1" applyFill="1" applyBorder="1" applyAlignment="1">
      <alignment horizontal="center" vertical="center"/>
    </xf>
    <xf numFmtId="0" fontId="10" fillId="2" borderId="48" xfId="0" applyFont="1" applyFill="1" applyBorder="1" applyAlignment="1">
      <alignment horizontal="center" vertical="center"/>
    </xf>
    <xf numFmtId="0" fontId="10" fillId="2" borderId="50" xfId="0" applyFont="1" applyFill="1" applyBorder="1" applyAlignment="1">
      <alignment horizontal="center" vertical="center"/>
    </xf>
    <xf numFmtId="0" fontId="11" fillId="0" borderId="0" xfId="0" applyFont="1" applyAlignment="1">
      <alignment horizontal="right"/>
    </xf>
    <xf numFmtId="164" fontId="39" fillId="0" borderId="0" xfId="0" applyNumberFormat="1" applyFont="1"/>
    <xf numFmtId="0" fontId="10" fillId="0" borderId="0" xfId="0" applyFont="1"/>
    <xf numFmtId="0" fontId="39" fillId="0" borderId="0" xfId="0" applyFont="1"/>
    <xf numFmtId="0" fontId="10" fillId="0" borderId="0" xfId="0" applyFont="1" applyAlignment="1">
      <alignment horizontal="right"/>
    </xf>
    <xf numFmtId="164" fontId="11" fillId="3" borderId="51" xfId="0" applyNumberFormat="1" applyFont="1" applyFill="1" applyBorder="1" applyAlignment="1">
      <alignment horizontal="left"/>
    </xf>
    <xf numFmtId="164" fontId="11" fillId="3" borderId="6" xfId="0" applyNumberFormat="1" applyFont="1" applyFill="1" applyBorder="1" applyAlignment="1">
      <alignment horizontal="left"/>
    </xf>
    <xf numFmtId="164" fontId="11" fillId="3" borderId="52" xfId="0" applyNumberFormat="1" applyFont="1" applyFill="1" applyBorder="1" applyAlignment="1">
      <alignment horizontal="left"/>
    </xf>
    <xf numFmtId="0" fontId="15" fillId="10" borderId="51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15" fillId="13" borderId="6" xfId="0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164" fontId="14" fillId="2" borderId="1" xfId="0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2" fontId="14" fillId="9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left" vertical="center" wrapText="1"/>
    </xf>
    <xf numFmtId="179" fontId="10" fillId="0" borderId="0" xfId="0" applyNumberFormat="1" applyFont="1"/>
    <xf numFmtId="0" fontId="10" fillId="2" borderId="1" xfId="0" applyFont="1" applyFill="1" applyBorder="1" applyAlignment="1">
      <alignment horizontal="left"/>
    </xf>
    <xf numFmtId="0" fontId="11" fillId="0" borderId="18" xfId="0" applyFont="1" applyBorder="1" applyAlignment="1">
      <alignment horizontal="center"/>
    </xf>
    <xf numFmtId="2" fontId="40" fillId="0" borderId="0" xfId="0" applyNumberFormat="1" applyFont="1"/>
    <xf numFmtId="0" fontId="40" fillId="0" borderId="0" xfId="0" applyFont="1"/>
    <xf numFmtId="164" fontId="39" fillId="2" borderId="1" xfId="0" applyNumberFormat="1" applyFont="1" applyFill="1" applyBorder="1"/>
    <xf numFmtId="164" fontId="10" fillId="2" borderId="1" xfId="0" applyNumberFormat="1" applyFont="1" applyFill="1" applyBorder="1"/>
    <xf numFmtId="164" fontId="10" fillId="2" borderId="1" xfId="0" applyNumberFormat="1" applyFont="1" applyFill="1" applyBorder="1" applyAlignment="1">
      <alignment horizontal="left" wrapText="1"/>
    </xf>
    <xf numFmtId="0" fontId="10" fillId="14" borderId="1" xfId="0" applyFont="1" applyFill="1" applyBorder="1" applyAlignment="1">
      <alignment horizontal="right"/>
    </xf>
    <xf numFmtId="170" fontId="10" fillId="14" borderId="1" xfId="0" applyNumberFormat="1" applyFont="1" applyFill="1" applyBorder="1"/>
    <xf numFmtId="0" fontId="10" fillId="14" borderId="1" xfId="0" applyFont="1" applyFill="1" applyBorder="1"/>
    <xf numFmtId="0" fontId="11" fillId="10" borderId="51" xfId="0" applyFont="1" applyFill="1" applyBorder="1" applyAlignment="1">
      <alignment horizontal="center" vertical="center"/>
    </xf>
    <xf numFmtId="0" fontId="11" fillId="10" borderId="6" xfId="0" applyFont="1" applyFill="1" applyBorder="1" applyAlignment="1">
      <alignment horizontal="center" vertical="center"/>
    </xf>
    <xf numFmtId="0" fontId="11" fillId="10" borderId="52" xfId="0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10" fillId="15" borderId="1" xfId="0" applyFont="1" applyFill="1" applyBorder="1"/>
    <xf numFmtId="0" fontId="10" fillId="16" borderId="1" xfId="0" applyFont="1" applyFill="1" applyBorder="1"/>
    <xf numFmtId="0" fontId="11" fillId="12" borderId="6" xfId="0" applyFont="1" applyFill="1" applyBorder="1" applyAlignment="1">
      <alignment horizontal="center" vertical="center"/>
    </xf>
    <xf numFmtId="10" fontId="41" fillId="0" borderId="0" xfId="0" applyNumberFormat="1" applyFont="1"/>
    <xf numFmtId="2" fontId="10" fillId="0" borderId="0" xfId="0" applyNumberFormat="1" applyFont="1" applyAlignment="1">
      <alignment horizontal="right"/>
    </xf>
    <xf numFmtId="9" fontId="10" fillId="0" borderId="12" xfId="0" applyNumberFormat="1" applyFont="1" applyBorder="1"/>
    <xf numFmtId="0" fontId="11" fillId="0" borderId="18" xfId="0" applyFont="1" applyBorder="1" applyAlignment="1">
      <alignment horizontal="right"/>
    </xf>
    <xf numFmtId="2" fontId="10" fillId="0" borderId="0" xfId="0" applyNumberFormat="1" applyFont="1" applyAlignment="1">
      <alignment horizontal="center"/>
    </xf>
    <xf numFmtId="9" fontId="10" fillId="0" borderId="0" xfId="0" applyNumberFormat="1" applyFont="1" applyAlignment="1">
      <alignment horizontal="right"/>
    </xf>
    <xf numFmtId="9" fontId="41" fillId="0" borderId="0" xfId="0" applyNumberFormat="1" applyFont="1" applyAlignment="1">
      <alignment horizontal="center"/>
    </xf>
    <xf numFmtId="9" fontId="41" fillId="0" borderId="0" xfId="0" applyNumberFormat="1" applyFont="1"/>
    <xf numFmtId="9" fontId="10" fillId="2" borderId="53" xfId="0" applyNumberFormat="1" applyFont="1" applyFill="1" applyBorder="1"/>
    <xf numFmtId="2" fontId="10" fillId="2" borderId="1" xfId="0" applyNumberFormat="1" applyFont="1" applyFill="1" applyBorder="1"/>
    <xf numFmtId="0" fontId="15" fillId="10" borderId="6" xfId="0" applyFont="1" applyFill="1" applyBorder="1" applyAlignment="1">
      <alignment horizontal="center" vertical="center"/>
    </xf>
    <xf numFmtId="0" fontId="15" fillId="10" borderId="52" xfId="0" applyFont="1" applyFill="1" applyBorder="1" applyAlignment="1">
      <alignment horizontal="center" vertical="center"/>
    </xf>
    <xf numFmtId="0" fontId="15" fillId="10" borderId="1" xfId="0" applyFont="1" applyFill="1" applyBorder="1" applyAlignment="1">
      <alignment horizontal="center" vertical="center"/>
    </xf>
    <xf numFmtId="10" fontId="42" fillId="0" borderId="0" xfId="0" applyNumberFormat="1" applyFont="1"/>
    <xf numFmtId="0" fontId="10" fillId="5" borderId="1" xfId="0" applyFont="1" applyFill="1" applyBorder="1" applyAlignment="1">
      <alignment horizontal="right"/>
    </xf>
    <xf numFmtId="9" fontId="10" fillId="5" borderId="1" xfId="0" applyNumberFormat="1" applyFont="1" applyFill="1" applyBorder="1"/>
    <xf numFmtId="9" fontId="10" fillId="14" borderId="1" xfId="0" applyNumberFormat="1" applyFont="1" applyFill="1" applyBorder="1"/>
    <xf numFmtId="0" fontId="33" fillId="0" borderId="0" xfId="0" applyFont="1" applyAlignment="1">
      <alignment horizontal="right"/>
    </xf>
    <xf numFmtId="0" fontId="33" fillId="0" borderId="0" xfId="0" applyFont="1"/>
    <xf numFmtId="171" fontId="10" fillId="2" borderId="1" xfId="0" applyNumberFormat="1" applyFont="1" applyFill="1" applyBorder="1"/>
    <xf numFmtId="0" fontId="39" fillId="0" borderId="0" xfId="0" applyFont="1" applyAlignment="1">
      <alignment horizontal="center" vertical="center"/>
    </xf>
    <xf numFmtId="0" fontId="11" fillId="10" borderId="52" xfId="0" applyFont="1" applyFill="1" applyBorder="1" applyAlignment="1">
      <alignment horizontal="center" vertical="center" wrapText="1"/>
    </xf>
    <xf numFmtId="174" fontId="10" fillId="2" borderId="1" xfId="0" applyNumberFormat="1" applyFont="1" applyFill="1" applyBorder="1"/>
    <xf numFmtId="164" fontId="10" fillId="2" borderId="1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1" fontId="10" fillId="2" borderId="1" xfId="0" applyNumberFormat="1" applyFont="1" applyFill="1" applyBorder="1" applyAlignment="1">
      <alignment horizontal="center" vertical="center"/>
    </xf>
    <xf numFmtId="180" fontId="10" fillId="2" borderId="1" xfId="0" applyNumberFormat="1" applyFont="1" applyFill="1" applyBorder="1"/>
    <xf numFmtId="164" fontId="10" fillId="0" borderId="0" xfId="0" applyNumberFormat="1" applyFont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2" fontId="10" fillId="2" borderId="1" xfId="0" applyNumberFormat="1" applyFont="1" applyFill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0" fillId="0" borderId="0" xfId="0" applyFont="1" applyAlignment="1">
      <alignment horizontal="right" vertical="center"/>
    </xf>
    <xf numFmtId="170" fontId="10" fillId="0" borderId="0" xfId="0" applyNumberFormat="1" applyFont="1" applyAlignment="1">
      <alignment horizontal="center" vertical="center"/>
    </xf>
    <xf numFmtId="167" fontId="10" fillId="0" borderId="0" xfId="0" applyNumberFormat="1" applyFont="1" applyAlignment="1">
      <alignment horizontal="center" vertical="center"/>
    </xf>
    <xf numFmtId="179" fontId="10" fillId="0" borderId="0" xfId="0" applyNumberFormat="1" applyFont="1" applyAlignment="1">
      <alignment horizontal="center"/>
    </xf>
    <xf numFmtId="0" fontId="39" fillId="2" borderId="1" xfId="0" applyFont="1" applyFill="1" applyBorder="1" applyAlignment="1">
      <alignment horizontal="left"/>
    </xf>
    <xf numFmtId="0" fontId="11" fillId="10" borderId="6" xfId="0" applyFont="1" applyFill="1" applyBorder="1" applyAlignment="1">
      <alignment horizontal="center" vertical="center" wrapText="1"/>
    </xf>
    <xf numFmtId="1" fontId="10" fillId="5" borderId="1" xfId="0" applyNumberFormat="1" applyFont="1" applyFill="1" applyBorder="1" applyAlignment="1">
      <alignment horizontal="center" vertical="center"/>
    </xf>
    <xf numFmtId="9" fontId="10" fillId="2" borderId="1" xfId="0" applyNumberFormat="1" applyFont="1" applyFill="1" applyBorder="1" applyAlignment="1">
      <alignment horizontal="center"/>
    </xf>
    <xf numFmtId="170" fontId="10" fillId="2" borderId="1" xfId="0" applyNumberFormat="1" applyFont="1" applyFill="1" applyBorder="1"/>
    <xf numFmtId="1" fontId="10" fillId="0" borderId="0" xfId="0" applyNumberFormat="1" applyFont="1" applyAlignment="1">
      <alignment horizontal="center"/>
    </xf>
    <xf numFmtId="2" fontId="10" fillId="14" borderId="1" xfId="0" applyNumberFormat="1" applyFont="1" applyFill="1" applyBorder="1"/>
    <xf numFmtId="170" fontId="10" fillId="2" borderId="1" xfId="0" applyNumberFormat="1" applyFont="1" applyFill="1" applyBorder="1" applyAlignment="1">
      <alignment horizontal="right"/>
    </xf>
    <xf numFmtId="0" fontId="15" fillId="10" borderId="6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2" fontId="14" fillId="5" borderId="1" xfId="0" applyNumberFormat="1" applyFont="1" applyFill="1" applyBorder="1" applyAlignment="1">
      <alignment horizontal="center" vertical="center"/>
    </xf>
    <xf numFmtId="169" fontId="10" fillId="2" borderId="1" xfId="0" applyNumberFormat="1" applyFont="1" applyFill="1" applyBorder="1"/>
    <xf numFmtId="0" fontId="14" fillId="2" borderId="51" xfId="0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/>
    </xf>
    <xf numFmtId="0" fontId="10" fillId="2" borderId="6" xfId="0" applyFont="1" applyFill="1" applyBorder="1"/>
    <xf numFmtId="10" fontId="14" fillId="5" borderId="52" xfId="0" applyNumberFormat="1" applyFont="1" applyFill="1" applyBorder="1" applyAlignment="1">
      <alignment horizontal="center" vertical="center"/>
    </xf>
    <xf numFmtId="10" fontId="14" fillId="2" borderId="1" xfId="0" applyNumberFormat="1" applyFont="1" applyFill="1" applyBorder="1" applyAlignment="1">
      <alignment horizontal="center" vertical="center"/>
    </xf>
    <xf numFmtId="9" fontId="14" fillId="2" borderId="1" xfId="0" applyNumberFormat="1" applyFont="1" applyFill="1" applyBorder="1"/>
    <xf numFmtId="2" fontId="14" fillId="2" borderId="1" xfId="0" applyNumberFormat="1" applyFont="1" applyFill="1" applyBorder="1" applyAlignment="1">
      <alignment horizontal="center" vertical="center"/>
    </xf>
    <xf numFmtId="167" fontId="10" fillId="2" borderId="1" xfId="0" applyNumberFormat="1" applyFont="1" applyFill="1" applyBorder="1"/>
    <xf numFmtId="164" fontId="10" fillId="2" borderId="1" xfId="0" applyNumberFormat="1" applyFont="1" applyFill="1" applyBorder="1" applyAlignment="1">
      <alignment horizontal="center"/>
    </xf>
    <xf numFmtId="1" fontId="10" fillId="2" borderId="1" xfId="0" applyNumberFormat="1" applyFont="1" applyFill="1" applyBorder="1"/>
    <xf numFmtId="164" fontId="14" fillId="14" borderId="1" xfId="0" applyNumberFormat="1" applyFont="1" applyFill="1" applyBorder="1" applyAlignment="1">
      <alignment horizontal="center"/>
    </xf>
    <xf numFmtId="181" fontId="10" fillId="0" borderId="0" xfId="0" applyNumberFormat="1" applyFont="1"/>
    <xf numFmtId="1" fontId="10" fillId="0" borderId="0" xfId="0" applyNumberFormat="1" applyFont="1" applyAlignment="1">
      <alignment horizontal="center" vertical="center"/>
    </xf>
    <xf numFmtId="9" fontId="10" fillId="0" borderId="11" xfId="0" applyNumberFormat="1" applyFont="1" applyBorder="1"/>
    <xf numFmtId="2" fontId="10" fillId="11" borderId="1" xfId="0" applyNumberFormat="1" applyFont="1" applyFill="1" applyBorder="1" applyAlignment="1">
      <alignment horizontal="center"/>
    </xf>
    <xf numFmtId="9" fontId="10" fillId="0" borderId="17" xfId="0" applyNumberFormat="1" applyFont="1" applyBorder="1" applyAlignment="1">
      <alignment horizontal="right"/>
    </xf>
    <xf numFmtId="0" fontId="11" fillId="2" borderId="1" xfId="0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36" fillId="5" borderId="1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/>
    </xf>
    <xf numFmtId="0" fontId="18" fillId="2" borderId="5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/>
    </xf>
    <xf numFmtId="169" fontId="18" fillId="5" borderId="5" xfId="0" applyNumberFormat="1" applyFont="1" applyFill="1" applyBorder="1" applyAlignment="1">
      <alignment horizontal="center" vertical="center" wrapText="1"/>
    </xf>
    <xf numFmtId="169" fontId="18" fillId="2" borderId="5" xfId="0" applyNumberFormat="1" applyFont="1" applyFill="1" applyBorder="1" applyAlignment="1">
      <alignment horizontal="center" vertical="center" wrapText="1"/>
    </xf>
    <xf numFmtId="1" fontId="18" fillId="5" borderId="5" xfId="0" applyNumberFormat="1" applyFont="1" applyFill="1" applyBorder="1" applyAlignment="1">
      <alignment horizontal="center" vertical="center" wrapText="1"/>
    </xf>
    <xf numFmtId="0" fontId="10" fillId="16" borderId="5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 vertical="center" wrapText="1"/>
    </xf>
    <xf numFmtId="0" fontId="18" fillId="4" borderId="5" xfId="0" applyFont="1" applyFill="1" applyBorder="1" applyAlignment="1">
      <alignment horizontal="center" vertical="center"/>
    </xf>
    <xf numFmtId="0" fontId="10" fillId="4" borderId="5" xfId="0" applyFont="1" applyFill="1" applyBorder="1" applyAlignment="1">
      <alignment horizontal="center" vertical="center"/>
    </xf>
    <xf numFmtId="169" fontId="18" fillId="4" borderId="5" xfId="0" applyNumberFormat="1" applyFont="1" applyFill="1" applyBorder="1" applyAlignment="1">
      <alignment horizontal="center" vertical="center" wrapText="1"/>
    </xf>
    <xf numFmtId="1" fontId="18" fillId="4" borderId="5" xfId="0" applyNumberFormat="1" applyFont="1" applyFill="1" applyBorder="1" applyAlignment="1">
      <alignment horizontal="center" vertical="center" wrapText="1"/>
    </xf>
    <xf numFmtId="0" fontId="10" fillId="4" borderId="1" xfId="0" applyFont="1" applyFill="1" applyBorder="1"/>
    <xf numFmtId="0" fontId="11" fillId="0" borderId="0" xfId="0" applyFont="1" applyAlignment="1">
      <alignment horizontal="center" vertical="center"/>
    </xf>
    <xf numFmtId="0" fontId="18" fillId="16" borderId="5" xfId="0" applyFont="1" applyFill="1" applyBorder="1" applyAlignment="1">
      <alignment horizontal="center" vertical="center"/>
    </xf>
    <xf numFmtId="166" fontId="10" fillId="16" borderId="1" xfId="0" applyNumberFormat="1" applyFont="1" applyFill="1" applyBorder="1"/>
    <xf numFmtId="9" fontId="10" fillId="16" borderId="1" xfId="0" applyNumberFormat="1" applyFont="1" applyFill="1" applyBorder="1"/>
    <xf numFmtId="169" fontId="10" fillId="2" borderId="1" xfId="0" applyNumberFormat="1" applyFont="1" applyFill="1" applyBorder="1" applyAlignment="1">
      <alignment vertical="center"/>
    </xf>
    <xf numFmtId="0" fontId="20" fillId="5" borderId="1" xfId="0" applyFont="1" applyFill="1" applyBorder="1" applyAlignment="1">
      <alignment vertical="center"/>
    </xf>
    <xf numFmtId="0" fontId="20" fillId="9" borderId="1" xfId="0" applyFont="1" applyFill="1" applyBorder="1" applyAlignment="1">
      <alignment vertical="center"/>
    </xf>
    <xf numFmtId="0" fontId="10" fillId="9" borderId="53" xfId="0" applyFont="1" applyFill="1" applyBorder="1"/>
    <xf numFmtId="0" fontId="20" fillId="5" borderId="10" xfId="0" applyFont="1" applyFill="1" applyBorder="1" applyAlignment="1">
      <alignment vertical="center"/>
    </xf>
    <xf numFmtId="0" fontId="10" fillId="5" borderId="10" xfId="0" applyFont="1" applyFill="1" applyBorder="1"/>
    <xf numFmtId="0" fontId="36" fillId="2" borderId="1" xfId="0" applyFont="1" applyFill="1" applyBorder="1" applyAlignment="1">
      <alignment horizontal="center" vertical="center"/>
    </xf>
    <xf numFmtId="0" fontId="11" fillId="5" borderId="43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5" borderId="5" xfId="0" applyFont="1" applyFill="1" applyBorder="1"/>
    <xf numFmtId="0" fontId="11" fillId="5" borderId="44" xfId="0" applyFont="1" applyFill="1" applyBorder="1"/>
    <xf numFmtId="0" fontId="11" fillId="9" borderId="43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5" xfId="0" applyFont="1" applyFill="1" applyBorder="1"/>
    <xf numFmtId="0" fontId="11" fillId="9" borderId="1" xfId="0" applyFont="1" applyFill="1" applyBorder="1" applyAlignment="1">
      <alignment horizontal="center" vertical="center"/>
    </xf>
    <xf numFmtId="0" fontId="45" fillId="0" borderId="0" xfId="0" applyFont="1"/>
    <xf numFmtId="0" fontId="11" fillId="5" borderId="10" xfId="0" applyFont="1" applyFill="1" applyBorder="1" applyAlignment="1">
      <alignment horizontal="center" vertical="center"/>
    </xf>
    <xf numFmtId="0" fontId="11" fillId="5" borderId="10" xfId="0" applyFont="1" applyFill="1" applyBorder="1"/>
    <xf numFmtId="1" fontId="10" fillId="5" borderId="1" xfId="0" applyNumberFormat="1" applyFont="1" applyFill="1" applyBorder="1"/>
    <xf numFmtId="169" fontId="10" fillId="9" borderId="1" xfId="0" applyNumberFormat="1" applyFont="1" applyFill="1" applyBorder="1" applyAlignment="1">
      <alignment horizontal="center" vertical="center"/>
    </xf>
    <xf numFmtId="169" fontId="45" fillId="5" borderId="1" xfId="0" applyNumberFormat="1" applyFont="1" applyFill="1" applyBorder="1" applyAlignment="1">
      <alignment horizontal="center" vertical="center"/>
    </xf>
    <xf numFmtId="169" fontId="10" fillId="5" borderId="1" xfId="0" applyNumberFormat="1" applyFont="1" applyFill="1" applyBorder="1" applyAlignment="1">
      <alignment horizontal="center" vertical="center"/>
    </xf>
    <xf numFmtId="0" fontId="46" fillId="2" borderId="20" xfId="0" applyFont="1" applyFill="1" applyBorder="1" applyAlignment="1">
      <alignment horizontal="center" vertical="center" wrapText="1"/>
    </xf>
    <xf numFmtId="166" fontId="10" fillId="0" borderId="24" xfId="0" applyNumberFormat="1" applyFont="1" applyBorder="1"/>
    <xf numFmtId="166" fontId="10" fillId="0" borderId="15" xfId="0" applyNumberFormat="1" applyFont="1" applyBorder="1"/>
    <xf numFmtId="166" fontId="10" fillId="0" borderId="16" xfId="0" applyNumberFormat="1" applyFont="1" applyBorder="1"/>
    <xf numFmtId="0" fontId="46" fillId="0" borderId="11" xfId="0" applyFont="1" applyBorder="1" applyAlignment="1">
      <alignment horizontal="center"/>
    </xf>
    <xf numFmtId="166" fontId="10" fillId="0" borderId="21" xfId="0" applyNumberFormat="1" applyFont="1" applyBorder="1"/>
    <xf numFmtId="166" fontId="10" fillId="0" borderId="12" xfId="0" applyNumberFormat="1" applyFont="1" applyBorder="1"/>
    <xf numFmtId="0" fontId="10" fillId="0" borderId="11" xfId="0" applyFont="1" applyBorder="1" applyAlignment="1">
      <alignment horizontal="center"/>
    </xf>
    <xf numFmtId="0" fontId="46" fillId="0" borderId="17" xfId="0" applyFont="1" applyBorder="1" applyAlignment="1">
      <alignment horizontal="center"/>
    </xf>
    <xf numFmtId="166" fontId="10" fillId="0" borderId="23" xfId="0" applyNumberFormat="1" applyFont="1" applyBorder="1"/>
    <xf numFmtId="166" fontId="10" fillId="0" borderId="18" xfId="0" applyNumberFormat="1" applyFont="1" applyBorder="1"/>
    <xf numFmtId="166" fontId="10" fillId="0" borderId="19" xfId="0" applyNumberFormat="1" applyFont="1" applyBorder="1"/>
    <xf numFmtId="0" fontId="46" fillId="0" borderId="0" xfId="0" applyFont="1" applyAlignment="1">
      <alignment horizontal="center"/>
    </xf>
    <xf numFmtId="182" fontId="10" fillId="0" borderId="0" xfId="0" applyNumberFormat="1" applyFont="1"/>
    <xf numFmtId="0" fontId="18" fillId="4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 wrapText="1"/>
    </xf>
    <xf numFmtId="0" fontId="10" fillId="17" borderId="1" xfId="0" applyFont="1" applyFill="1" applyBorder="1"/>
    <xf numFmtId="1" fontId="10" fillId="4" borderId="1" xfId="0" applyNumberFormat="1" applyFont="1" applyFill="1" applyBorder="1" applyAlignment="1">
      <alignment horizontal="center" vertical="center"/>
    </xf>
    <xf numFmtId="1" fontId="10" fillId="10" borderId="1" xfId="0" applyNumberFormat="1" applyFont="1" applyFill="1" applyBorder="1"/>
    <xf numFmtId="11" fontId="10" fillId="0" borderId="0" xfId="0" applyNumberFormat="1" applyFont="1"/>
    <xf numFmtId="0" fontId="10" fillId="18" borderId="1" xfId="0" applyFont="1" applyFill="1" applyBorder="1"/>
    <xf numFmtId="0" fontId="33" fillId="16" borderId="1" xfId="0" applyFont="1" applyFill="1" applyBorder="1" applyAlignment="1">
      <alignment horizontal="center"/>
    </xf>
    <xf numFmtId="0" fontId="11" fillId="10" borderId="1" xfId="0" applyFont="1" applyFill="1" applyBorder="1" applyAlignment="1">
      <alignment horizontal="center" vertical="center"/>
    </xf>
    <xf numFmtId="0" fontId="11" fillId="18" borderId="10" xfId="0" applyFont="1" applyFill="1" applyBorder="1" applyAlignment="1">
      <alignment horizontal="center" vertical="center"/>
    </xf>
    <xf numFmtId="0" fontId="11" fillId="18" borderId="51" xfId="0" applyFont="1" applyFill="1" applyBorder="1"/>
    <xf numFmtId="0" fontId="11" fillId="18" borderId="6" xfId="0" applyFont="1" applyFill="1" applyBorder="1"/>
    <xf numFmtId="0" fontId="11" fillId="18" borderId="52" xfId="0" applyFont="1" applyFill="1" applyBorder="1"/>
    <xf numFmtId="0" fontId="11" fillId="5" borderId="1" xfId="0" applyFont="1" applyFill="1" applyBorder="1" applyAlignment="1">
      <alignment horizontal="center" vertical="center"/>
    </xf>
    <xf numFmtId="0" fontId="11" fillId="5" borderId="43" xfId="0" applyFont="1" applyFill="1" applyBorder="1"/>
    <xf numFmtId="0" fontId="33" fillId="16" borderId="1" xfId="0" applyFont="1" applyFill="1" applyBorder="1"/>
    <xf numFmtId="9" fontId="11" fillId="0" borderId="0" xfId="0" applyNumberFormat="1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11" fillId="10" borderId="1" xfId="0" applyFont="1" applyFill="1" applyBorder="1"/>
    <xf numFmtId="0" fontId="11" fillId="18" borderId="59" xfId="0" applyFont="1" applyFill="1" applyBorder="1"/>
    <xf numFmtId="1" fontId="10" fillId="18" borderId="43" xfId="0" applyNumberFormat="1" applyFont="1" applyFill="1" applyBorder="1" applyAlignment="1">
      <alignment horizontal="center"/>
    </xf>
    <xf numFmtId="1" fontId="10" fillId="18" borderId="5" xfId="0" applyNumberFormat="1" applyFont="1" applyFill="1" applyBorder="1" applyAlignment="1">
      <alignment horizontal="center"/>
    </xf>
    <xf numFmtId="1" fontId="10" fillId="18" borderId="44" xfId="0" applyNumberFormat="1" applyFont="1" applyFill="1" applyBorder="1" applyAlignment="1">
      <alignment horizontal="center"/>
    </xf>
    <xf numFmtId="0" fontId="11" fillId="5" borderId="51" xfId="0" applyFont="1" applyFill="1" applyBorder="1" applyAlignment="1">
      <alignment horizontal="center" vertical="center"/>
    </xf>
    <xf numFmtId="1" fontId="10" fillId="5" borderId="1" xfId="0" applyNumberFormat="1" applyFont="1" applyFill="1" applyBorder="1" applyAlignment="1">
      <alignment horizontal="center"/>
    </xf>
    <xf numFmtId="1" fontId="10" fillId="18" borderId="45" xfId="0" applyNumberFormat="1" applyFont="1" applyFill="1" applyBorder="1" applyAlignment="1">
      <alignment horizontal="center"/>
    </xf>
    <xf numFmtId="1" fontId="10" fillId="18" borderId="1" xfId="0" applyNumberFormat="1" applyFont="1" applyFill="1" applyBorder="1" applyAlignment="1">
      <alignment horizontal="center"/>
    </xf>
    <xf numFmtId="1" fontId="10" fillId="18" borderId="46" xfId="0" applyNumberFormat="1" applyFont="1" applyFill="1" applyBorder="1" applyAlignment="1">
      <alignment horizontal="center"/>
    </xf>
    <xf numFmtId="0" fontId="11" fillId="2" borderId="1" xfId="0" applyFont="1" applyFill="1" applyBorder="1"/>
    <xf numFmtId="1" fontId="11" fillId="5" borderId="10" xfId="0" applyNumberFormat="1" applyFont="1" applyFill="1" applyBorder="1" applyAlignment="1">
      <alignment horizontal="center" vertical="center"/>
    </xf>
    <xf numFmtId="176" fontId="33" fillId="16" borderId="1" xfId="0" applyNumberFormat="1" applyFont="1" applyFill="1" applyBorder="1"/>
    <xf numFmtId="176" fontId="11" fillId="0" borderId="0" xfId="0" applyNumberFormat="1" applyFont="1" applyAlignment="1">
      <alignment horizontal="center" vertical="center"/>
    </xf>
    <xf numFmtId="167" fontId="33" fillId="16" borderId="1" xfId="0" applyNumberFormat="1" applyFont="1" applyFill="1" applyBorder="1"/>
    <xf numFmtId="167" fontId="11" fillId="0" borderId="0" xfId="0" applyNumberFormat="1" applyFont="1" applyAlignment="1">
      <alignment horizontal="center" vertical="center"/>
    </xf>
    <xf numFmtId="169" fontId="11" fillId="0" borderId="0" xfId="0" applyNumberFormat="1" applyFont="1" applyAlignment="1">
      <alignment horizontal="center" vertical="center"/>
    </xf>
    <xf numFmtId="0" fontId="11" fillId="18" borderId="22" xfId="0" applyFont="1" applyFill="1" applyBorder="1"/>
    <xf numFmtId="1" fontId="10" fillId="18" borderId="48" xfId="0" applyNumberFormat="1" applyFont="1" applyFill="1" applyBorder="1" applyAlignment="1">
      <alignment horizontal="center"/>
    </xf>
    <xf numFmtId="1" fontId="10" fillId="18" borderId="53" xfId="0" applyNumberFormat="1" applyFont="1" applyFill="1" applyBorder="1" applyAlignment="1">
      <alignment horizontal="center"/>
    </xf>
    <xf numFmtId="1" fontId="10" fillId="18" borderId="50" xfId="0" applyNumberFormat="1" applyFont="1" applyFill="1" applyBorder="1" applyAlignment="1">
      <alignment horizontal="center"/>
    </xf>
    <xf numFmtId="167" fontId="33" fillId="0" borderId="0" xfId="0" applyNumberFormat="1" applyFont="1"/>
    <xf numFmtId="0" fontId="11" fillId="5" borderId="59" xfId="0" applyFont="1" applyFill="1" applyBorder="1" applyAlignment="1">
      <alignment horizontal="center" vertical="center"/>
    </xf>
    <xf numFmtId="0" fontId="11" fillId="18" borderId="1" xfId="0" applyFont="1" applyFill="1" applyBorder="1" applyAlignment="1">
      <alignment horizontal="center" vertical="center"/>
    </xf>
    <xf numFmtId="0" fontId="11" fillId="18" borderId="1" xfId="0" applyFont="1" applyFill="1" applyBorder="1"/>
    <xf numFmtId="1" fontId="11" fillId="18" borderId="1" xfId="0" applyNumberFormat="1" applyFont="1" applyFill="1" applyBorder="1" applyAlignment="1">
      <alignment horizontal="center"/>
    </xf>
    <xf numFmtId="1" fontId="10" fillId="2" borderId="1" xfId="0" applyNumberFormat="1" applyFont="1" applyFill="1" applyBorder="1" applyAlignment="1">
      <alignment horizontal="center"/>
    </xf>
    <xf numFmtId="1" fontId="11" fillId="2" borderId="1" xfId="0" applyNumberFormat="1" applyFont="1" applyFill="1" applyBorder="1"/>
    <xf numFmtId="9" fontId="11" fillId="18" borderId="1" xfId="0" applyNumberFormat="1" applyFont="1" applyFill="1" applyBorder="1" applyAlignment="1">
      <alignment horizontal="center"/>
    </xf>
    <xf numFmtId="0" fontId="36" fillId="2" borderId="1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169" fontId="10" fillId="2" borderId="1" xfId="0" applyNumberFormat="1" applyFont="1" applyFill="1" applyBorder="1" applyAlignment="1">
      <alignment horizontal="center" vertical="center"/>
    </xf>
    <xf numFmtId="9" fontId="33" fillId="2" borderId="1" xfId="0" applyNumberFormat="1" applyFont="1" applyFill="1" applyBorder="1" applyAlignment="1">
      <alignment horizontal="center" vertical="center"/>
    </xf>
    <xf numFmtId="170" fontId="18" fillId="2" borderId="5" xfId="0" applyNumberFormat="1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169" fontId="18" fillId="2" borderId="1" xfId="0" applyNumberFormat="1" applyFont="1" applyFill="1" applyBorder="1" applyAlignment="1">
      <alignment horizontal="center" vertical="center" wrapText="1"/>
    </xf>
    <xf numFmtId="1" fontId="18" fillId="2" borderId="1" xfId="0" applyNumberFormat="1" applyFont="1" applyFill="1" applyBorder="1" applyAlignment="1">
      <alignment horizontal="center" vertical="center" wrapText="1"/>
    </xf>
    <xf numFmtId="0" fontId="11" fillId="11" borderId="1" xfId="0" applyFont="1" applyFill="1" applyBorder="1"/>
    <xf numFmtId="0" fontId="10" fillId="14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10" fillId="16" borderId="1" xfId="0" applyFont="1" applyFill="1" applyBorder="1" applyAlignment="1">
      <alignment horizontal="center"/>
    </xf>
    <xf numFmtId="0" fontId="20" fillId="2" borderId="1" xfId="0" applyFont="1" applyFill="1" applyBorder="1"/>
    <xf numFmtId="0" fontId="20" fillId="18" borderId="51" xfId="0" applyFont="1" applyFill="1" applyBorder="1"/>
    <xf numFmtId="0" fontId="20" fillId="18" borderId="6" xfId="0" applyFont="1" applyFill="1" applyBorder="1"/>
    <xf numFmtId="0" fontId="20" fillId="18" borderId="52" xfId="0" applyFont="1" applyFill="1" applyBorder="1"/>
    <xf numFmtId="0" fontId="36" fillId="14" borderId="1" xfId="0" applyFont="1" applyFill="1" applyBorder="1" applyAlignment="1">
      <alignment horizontal="center" vertical="center" wrapText="1"/>
    </xf>
    <xf numFmtId="0" fontId="36" fillId="16" borderId="1" xfId="0" applyFont="1" applyFill="1" applyBorder="1" applyAlignment="1">
      <alignment horizontal="center" vertical="center" wrapText="1"/>
    </xf>
    <xf numFmtId="0" fontId="36" fillId="11" borderId="1" xfId="0" applyFont="1" applyFill="1" applyBorder="1" applyAlignment="1">
      <alignment horizontal="center" vertical="center" wrapText="1"/>
    </xf>
    <xf numFmtId="0" fontId="36" fillId="4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11" fillId="18" borderId="45" xfId="0" applyFont="1" applyFill="1" applyBorder="1" applyAlignment="1">
      <alignment horizontal="center" vertical="center"/>
    </xf>
    <xf numFmtId="0" fontId="11" fillId="18" borderId="46" xfId="0" applyFont="1" applyFill="1" applyBorder="1" applyAlignment="1">
      <alignment horizontal="center" vertical="center"/>
    </xf>
    <xf numFmtId="1" fontId="18" fillId="2" borderId="5" xfId="0" applyNumberFormat="1" applyFont="1" applyFill="1" applyBorder="1" applyAlignment="1">
      <alignment horizontal="center" vertical="center" wrapText="1"/>
    </xf>
    <xf numFmtId="9" fontId="18" fillId="14" borderId="5" xfId="0" applyNumberFormat="1" applyFont="1" applyFill="1" applyBorder="1" applyAlignment="1">
      <alignment horizontal="center" vertical="center" wrapText="1"/>
    </xf>
    <xf numFmtId="169" fontId="18" fillId="14" borderId="5" xfId="0" applyNumberFormat="1" applyFont="1" applyFill="1" applyBorder="1" applyAlignment="1">
      <alignment horizontal="center" vertical="center" wrapText="1"/>
    </xf>
    <xf numFmtId="9" fontId="18" fillId="16" borderId="5" xfId="0" applyNumberFormat="1" applyFont="1" applyFill="1" applyBorder="1" applyAlignment="1">
      <alignment horizontal="center" vertical="center" wrapText="1"/>
    </xf>
    <xf numFmtId="9" fontId="18" fillId="11" borderId="5" xfId="0" applyNumberFormat="1" applyFont="1" applyFill="1" applyBorder="1" applyAlignment="1">
      <alignment horizontal="center" vertical="center" wrapText="1"/>
    </xf>
    <xf numFmtId="1" fontId="10" fillId="4" borderId="6" xfId="0" applyNumberFormat="1" applyFont="1" applyFill="1" applyBorder="1" applyAlignment="1">
      <alignment horizontal="center" vertical="center"/>
    </xf>
    <xf numFmtId="169" fontId="10" fillId="4" borderId="6" xfId="0" applyNumberFormat="1" applyFont="1" applyFill="1" applyBorder="1"/>
    <xf numFmtId="1" fontId="10" fillId="14" borderId="6" xfId="0" applyNumberFormat="1" applyFont="1" applyFill="1" applyBorder="1"/>
    <xf numFmtId="0" fontId="10" fillId="14" borderId="6" xfId="0" applyFont="1" applyFill="1" applyBorder="1" applyAlignment="1">
      <alignment horizontal="center" vertical="center"/>
    </xf>
    <xf numFmtId="169" fontId="10" fillId="14" borderId="6" xfId="0" applyNumberFormat="1" applyFont="1" applyFill="1" applyBorder="1" applyAlignment="1">
      <alignment horizontal="center"/>
    </xf>
    <xf numFmtId="9" fontId="10" fillId="18" borderId="45" xfId="0" applyNumberFormat="1" applyFont="1" applyFill="1" applyBorder="1" applyAlignment="1">
      <alignment horizontal="center"/>
    </xf>
    <xf numFmtId="9" fontId="10" fillId="18" borderId="1" xfId="0" applyNumberFormat="1" applyFont="1" applyFill="1" applyBorder="1" applyAlignment="1">
      <alignment horizontal="center"/>
    </xf>
    <xf numFmtId="9" fontId="10" fillId="18" borderId="46" xfId="0" applyNumberFormat="1" applyFont="1" applyFill="1" applyBorder="1" applyAlignment="1">
      <alignment horizontal="center"/>
    </xf>
    <xf numFmtId="2" fontId="10" fillId="18" borderId="45" xfId="0" applyNumberFormat="1" applyFont="1" applyFill="1" applyBorder="1" applyAlignment="1">
      <alignment horizontal="center"/>
    </xf>
    <xf numFmtId="2" fontId="10" fillId="18" borderId="1" xfId="0" applyNumberFormat="1" applyFont="1" applyFill="1" applyBorder="1" applyAlignment="1">
      <alignment horizontal="center"/>
    </xf>
    <xf numFmtId="2" fontId="10" fillId="18" borderId="46" xfId="0" applyNumberFormat="1" applyFont="1" applyFill="1" applyBorder="1" applyAlignment="1">
      <alignment horizontal="center"/>
    </xf>
    <xf numFmtId="2" fontId="10" fillId="17" borderId="1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46" xfId="0" applyNumberFormat="1" applyFont="1" applyFill="1" applyBorder="1" applyAlignment="1">
      <alignment horizontal="center"/>
    </xf>
    <xf numFmtId="169" fontId="18" fillId="2" borderId="5" xfId="0" applyNumberFormat="1" applyFont="1" applyFill="1" applyBorder="1" applyAlignment="1">
      <alignment horizontal="center" vertical="center"/>
    </xf>
    <xf numFmtId="1" fontId="18" fillId="2" borderId="5" xfId="0" applyNumberFormat="1" applyFont="1" applyFill="1" applyBorder="1" applyAlignment="1">
      <alignment horizontal="center" vertical="center"/>
    </xf>
    <xf numFmtId="9" fontId="18" fillId="14" borderId="5" xfId="0" applyNumberFormat="1" applyFont="1" applyFill="1" applyBorder="1" applyAlignment="1">
      <alignment horizontal="center" vertical="center"/>
    </xf>
    <xf numFmtId="169" fontId="18" fillId="14" borderId="5" xfId="0" applyNumberFormat="1" applyFont="1" applyFill="1" applyBorder="1" applyAlignment="1">
      <alignment horizontal="center" vertical="center"/>
    </xf>
    <xf numFmtId="169" fontId="18" fillId="5" borderId="5" xfId="0" applyNumberFormat="1" applyFont="1" applyFill="1" applyBorder="1" applyAlignment="1">
      <alignment horizontal="center" vertical="center"/>
    </xf>
    <xf numFmtId="9" fontId="18" fillId="16" borderId="5" xfId="0" applyNumberFormat="1" applyFont="1" applyFill="1" applyBorder="1" applyAlignment="1">
      <alignment horizontal="center" vertical="center"/>
    </xf>
    <xf numFmtId="9" fontId="18" fillId="11" borderId="5" xfId="0" applyNumberFormat="1" applyFont="1" applyFill="1" applyBorder="1" applyAlignment="1">
      <alignment horizontal="center" vertical="center"/>
    </xf>
    <xf numFmtId="169" fontId="10" fillId="14" borderId="6" xfId="0" applyNumberFormat="1" applyFont="1" applyFill="1" applyBorder="1" applyAlignment="1">
      <alignment horizontal="center" vertical="center"/>
    </xf>
    <xf numFmtId="2" fontId="18" fillId="2" borderId="5" xfId="0" applyNumberFormat="1" applyFont="1" applyFill="1" applyBorder="1" applyAlignment="1">
      <alignment horizontal="center" vertical="center"/>
    </xf>
    <xf numFmtId="170" fontId="18" fillId="5" borderId="5" xfId="0" applyNumberFormat="1" applyFont="1" applyFill="1" applyBorder="1" applyAlignment="1">
      <alignment horizontal="center" vertical="center"/>
    </xf>
    <xf numFmtId="174" fontId="18" fillId="2" borderId="1" xfId="0" applyNumberFormat="1" applyFont="1" applyFill="1" applyBorder="1" applyAlignment="1">
      <alignment horizontal="center"/>
    </xf>
    <xf numFmtId="175" fontId="18" fillId="2" borderId="1" xfId="0" applyNumberFormat="1" applyFont="1" applyFill="1" applyBorder="1" applyAlignment="1">
      <alignment horizontal="center"/>
    </xf>
    <xf numFmtId="9" fontId="10" fillId="18" borderId="48" xfId="0" applyNumberFormat="1" applyFont="1" applyFill="1" applyBorder="1" applyAlignment="1">
      <alignment horizontal="center"/>
    </xf>
    <xf numFmtId="9" fontId="10" fillId="18" borderId="53" xfId="0" applyNumberFormat="1" applyFont="1" applyFill="1" applyBorder="1" applyAlignment="1">
      <alignment horizontal="center"/>
    </xf>
    <xf numFmtId="9" fontId="10" fillId="18" borderId="50" xfId="0" applyNumberFormat="1" applyFont="1" applyFill="1" applyBorder="1" applyAlignment="1">
      <alignment horizontal="center"/>
    </xf>
    <xf numFmtId="2" fontId="10" fillId="18" borderId="48" xfId="0" applyNumberFormat="1" applyFont="1" applyFill="1" applyBorder="1" applyAlignment="1">
      <alignment horizontal="center"/>
    </xf>
    <xf numFmtId="2" fontId="10" fillId="18" borderId="53" xfId="0" applyNumberFormat="1" applyFont="1" applyFill="1" applyBorder="1" applyAlignment="1">
      <alignment horizontal="center"/>
    </xf>
    <xf numFmtId="2" fontId="10" fillId="18" borderId="50" xfId="0" applyNumberFormat="1" applyFont="1" applyFill="1" applyBorder="1" applyAlignment="1">
      <alignment horizontal="center"/>
    </xf>
    <xf numFmtId="169" fontId="10" fillId="4" borderId="6" xfId="0" applyNumberFormat="1" applyFont="1" applyFill="1" applyBorder="1" applyAlignment="1">
      <alignment horizontal="center"/>
    </xf>
    <xf numFmtId="2" fontId="10" fillId="18" borderId="43" xfId="0" applyNumberFormat="1" applyFont="1" applyFill="1" applyBorder="1" applyAlignment="1">
      <alignment horizontal="center"/>
    </xf>
    <xf numFmtId="2" fontId="10" fillId="18" borderId="5" xfId="0" applyNumberFormat="1" applyFont="1" applyFill="1" applyBorder="1" applyAlignment="1">
      <alignment horizontal="center"/>
    </xf>
    <xf numFmtId="2" fontId="10" fillId="17" borderId="5" xfId="0" applyNumberFormat="1" applyFont="1" applyFill="1" applyBorder="1" applyAlignment="1">
      <alignment horizontal="center"/>
    </xf>
    <xf numFmtId="2" fontId="10" fillId="18" borderId="44" xfId="0" applyNumberFormat="1" applyFont="1" applyFill="1" applyBorder="1" applyAlignment="1">
      <alignment horizontal="center"/>
    </xf>
    <xf numFmtId="169" fontId="10" fillId="14" borderId="6" xfId="0" applyNumberFormat="1" applyFont="1" applyFill="1" applyBorder="1"/>
    <xf numFmtId="2" fontId="10" fillId="2" borderId="53" xfId="0" applyNumberFormat="1" applyFont="1" applyFill="1" applyBorder="1" applyAlignment="1">
      <alignment horizontal="center"/>
    </xf>
    <xf numFmtId="2" fontId="10" fillId="2" borderId="50" xfId="0" applyNumberFormat="1" applyFont="1" applyFill="1" applyBorder="1" applyAlignment="1">
      <alignment horizontal="center"/>
    </xf>
    <xf numFmtId="169" fontId="18" fillId="14" borderId="1" xfId="0" applyNumberFormat="1" applyFont="1" applyFill="1" applyBorder="1" applyAlignment="1">
      <alignment horizontal="center" vertical="center" wrapText="1"/>
    </xf>
    <xf numFmtId="169" fontId="18" fillId="5" borderId="1" xfId="0" applyNumberFormat="1" applyFont="1" applyFill="1" applyBorder="1" applyAlignment="1">
      <alignment horizontal="center" vertical="center" wrapText="1"/>
    </xf>
    <xf numFmtId="9" fontId="18" fillId="16" borderId="1" xfId="0" applyNumberFormat="1" applyFont="1" applyFill="1" applyBorder="1" applyAlignment="1">
      <alignment horizontal="center" vertical="center" wrapText="1"/>
    </xf>
    <xf numFmtId="9" fontId="18" fillId="11" borderId="1" xfId="0" applyNumberFormat="1" applyFont="1" applyFill="1" applyBorder="1" applyAlignment="1">
      <alignment horizontal="center" vertical="center" wrapText="1"/>
    </xf>
    <xf numFmtId="9" fontId="11" fillId="2" borderId="1" xfId="0" applyNumberFormat="1" applyFont="1" applyFill="1" applyBorder="1" applyAlignment="1">
      <alignment horizontal="center"/>
    </xf>
    <xf numFmtId="169" fontId="10" fillId="14" borderId="1" xfId="0" applyNumberFormat="1" applyFont="1" applyFill="1" applyBorder="1" applyAlignment="1">
      <alignment horizontal="center"/>
    </xf>
    <xf numFmtId="2" fontId="47" fillId="0" borderId="0" xfId="0" applyNumberFormat="1" applyFont="1"/>
    <xf numFmtId="0" fontId="20" fillId="2" borderId="53" xfId="0" applyFont="1" applyFill="1" applyBorder="1" applyAlignment="1">
      <alignment horizontal="center" vertical="center" wrapText="1"/>
    </xf>
    <xf numFmtId="0" fontId="36" fillId="14" borderId="53" xfId="0" applyFont="1" applyFill="1" applyBorder="1" applyAlignment="1">
      <alignment horizontal="center" vertical="center" wrapText="1"/>
    </xf>
    <xf numFmtId="0" fontId="36" fillId="5" borderId="53" xfId="0" applyFont="1" applyFill="1" applyBorder="1" applyAlignment="1">
      <alignment horizontal="center" vertical="center" wrapText="1"/>
    </xf>
    <xf numFmtId="0" fontId="36" fillId="16" borderId="53" xfId="0" applyFont="1" applyFill="1" applyBorder="1" applyAlignment="1">
      <alignment horizontal="center" vertical="center" wrapText="1"/>
    </xf>
    <xf numFmtId="0" fontId="36" fillId="11" borderId="53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 vertical="center"/>
    </xf>
    <xf numFmtId="0" fontId="46" fillId="2" borderId="6" xfId="0" applyFont="1" applyFill="1" applyBorder="1" applyAlignment="1">
      <alignment horizontal="center" vertical="center" wrapText="1"/>
    </xf>
    <xf numFmtId="1" fontId="46" fillId="0" borderId="13" xfId="0" applyNumberFormat="1" applyFont="1" applyBorder="1" applyAlignment="1">
      <alignment horizontal="center"/>
    </xf>
    <xf numFmtId="9" fontId="46" fillId="14" borderId="6" xfId="0" applyNumberFormat="1" applyFont="1" applyFill="1" applyBorder="1" applyAlignment="1">
      <alignment horizontal="center"/>
    </xf>
    <xf numFmtId="1" fontId="46" fillId="14" borderId="6" xfId="0" applyNumberFormat="1" applyFont="1" applyFill="1" applyBorder="1" applyAlignment="1">
      <alignment horizontal="center"/>
    </xf>
    <xf numFmtId="1" fontId="46" fillId="9" borderId="6" xfId="0" applyNumberFormat="1" applyFont="1" applyFill="1" applyBorder="1" applyAlignment="1">
      <alignment horizontal="center"/>
    </xf>
    <xf numFmtId="2" fontId="46" fillId="9" borderId="6" xfId="0" applyNumberFormat="1" applyFont="1" applyFill="1" applyBorder="1" applyAlignment="1">
      <alignment horizontal="center"/>
    </xf>
    <xf numFmtId="181" fontId="18" fillId="16" borderId="5" xfId="0" applyNumberFormat="1" applyFont="1" applyFill="1" applyBorder="1" applyAlignment="1">
      <alignment horizontal="center" vertical="center" wrapText="1"/>
    </xf>
    <xf numFmtId="1" fontId="46" fillId="4" borderId="6" xfId="0" applyNumberFormat="1" applyFont="1" applyFill="1" applyBorder="1" applyAlignment="1">
      <alignment horizontal="center"/>
    </xf>
    <xf numFmtId="169" fontId="46" fillId="4" borderId="6" xfId="0" applyNumberFormat="1" applyFont="1" applyFill="1" applyBorder="1" applyAlignment="1">
      <alignment horizontal="center"/>
    </xf>
    <xf numFmtId="1" fontId="10" fillId="14" borderId="6" xfId="0" applyNumberFormat="1" applyFont="1" applyFill="1" applyBorder="1" applyAlignment="1">
      <alignment horizontal="center" vertical="center"/>
    </xf>
    <xf numFmtId="1" fontId="46" fillId="0" borderId="0" xfId="0" applyNumberFormat="1" applyFont="1" applyAlignment="1">
      <alignment horizontal="center"/>
    </xf>
    <xf numFmtId="0" fontId="46" fillId="0" borderId="13" xfId="0" applyFont="1" applyBorder="1" applyAlignment="1">
      <alignment horizontal="center"/>
    </xf>
    <xf numFmtId="1" fontId="10" fillId="14" borderId="6" xfId="0" applyNumberFormat="1" applyFont="1" applyFill="1" applyBorder="1" applyAlignment="1">
      <alignment horizontal="center"/>
    </xf>
    <xf numFmtId="0" fontId="10" fillId="14" borderId="6" xfId="0" applyFont="1" applyFill="1" applyBorder="1" applyAlignment="1">
      <alignment horizontal="center"/>
    </xf>
    <xf numFmtId="9" fontId="18" fillId="16" borderId="6" xfId="0" applyNumberFormat="1" applyFont="1" applyFill="1" applyBorder="1" applyAlignment="1">
      <alignment horizontal="center" vertical="center" wrapText="1"/>
    </xf>
    <xf numFmtId="9" fontId="18" fillId="11" borderId="6" xfId="0" applyNumberFormat="1" applyFont="1" applyFill="1" applyBorder="1" applyAlignment="1">
      <alignment horizontal="center" vertical="center" wrapText="1"/>
    </xf>
    <xf numFmtId="1" fontId="10" fillId="0" borderId="14" xfId="0" applyNumberFormat="1" applyFont="1" applyBorder="1"/>
    <xf numFmtId="1" fontId="10" fillId="0" borderId="15" xfId="0" applyNumberFormat="1" applyFont="1" applyBorder="1"/>
    <xf numFmtId="1" fontId="10" fillId="0" borderId="24" xfId="0" applyNumberFormat="1" applyFont="1" applyBorder="1"/>
    <xf numFmtId="1" fontId="10" fillId="0" borderId="16" xfId="0" applyNumberFormat="1" applyFont="1" applyBorder="1"/>
    <xf numFmtId="1" fontId="10" fillId="0" borderId="18" xfId="0" applyNumberFormat="1" applyFont="1" applyBorder="1"/>
    <xf numFmtId="1" fontId="10" fillId="0" borderId="23" xfId="0" applyNumberFormat="1" applyFont="1" applyBorder="1"/>
    <xf numFmtId="1" fontId="10" fillId="0" borderId="19" xfId="0" applyNumberFormat="1" applyFont="1" applyBorder="1"/>
    <xf numFmtId="0" fontId="20" fillId="2" borderId="53" xfId="0" applyFont="1" applyFill="1" applyBorder="1" applyAlignment="1">
      <alignment horizontal="left" vertical="center"/>
    </xf>
    <xf numFmtId="0" fontId="36" fillId="2" borderId="53" xfId="0" applyFont="1" applyFill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" fontId="46" fillId="2" borderId="1" xfId="0" applyNumberFormat="1" applyFont="1" applyFill="1" applyBorder="1" applyAlignment="1">
      <alignment horizontal="center"/>
    </xf>
    <xf numFmtId="176" fontId="14" fillId="2" borderId="1" xfId="0" applyNumberFormat="1" applyFont="1" applyFill="1" applyBorder="1" applyAlignment="1">
      <alignment horizontal="center"/>
    </xf>
    <xf numFmtId="0" fontId="21" fillId="0" borderId="0" xfId="0" applyFont="1" applyAlignment="1">
      <alignment horizontal="center" wrapText="1"/>
    </xf>
    <xf numFmtId="1" fontId="49" fillId="0" borderId="0" xfId="0" applyNumberFormat="1" applyFont="1"/>
    <xf numFmtId="0" fontId="49" fillId="0" borderId="0" xfId="0" applyFont="1"/>
    <xf numFmtId="0" fontId="10" fillId="5" borderId="5" xfId="0" applyFont="1" applyFill="1" applyBorder="1" applyAlignment="1">
      <alignment horizontal="center" vertical="center"/>
    </xf>
    <xf numFmtId="0" fontId="46" fillId="0" borderId="15" xfId="0" applyFont="1" applyBorder="1" applyAlignment="1">
      <alignment horizontal="center"/>
    </xf>
    <xf numFmtId="1" fontId="10" fillId="11" borderId="1" xfId="0" applyNumberFormat="1" applyFont="1" applyFill="1" applyBorder="1"/>
    <xf numFmtId="167" fontId="10" fillId="0" borderId="0" xfId="0" applyNumberFormat="1" applyFont="1"/>
    <xf numFmtId="0" fontId="11" fillId="0" borderId="0" xfId="0" applyFont="1" applyAlignment="1">
      <alignment horizontal="center" vertical="center" wrapText="1"/>
    </xf>
    <xf numFmtId="169" fontId="10" fillId="12" borderId="1" xfId="0" applyNumberFormat="1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wrapText="1"/>
    </xf>
    <xf numFmtId="2" fontId="10" fillId="12" borderId="1" xfId="0" applyNumberFormat="1" applyFont="1" applyFill="1" applyBorder="1" applyAlignment="1">
      <alignment horizontal="center" vertical="center"/>
    </xf>
    <xf numFmtId="2" fontId="10" fillId="5" borderId="1" xfId="0" applyNumberFormat="1" applyFont="1" applyFill="1" applyBorder="1" applyAlignment="1">
      <alignment horizontal="center" vertical="center"/>
    </xf>
    <xf numFmtId="0" fontId="10" fillId="2" borderId="46" xfId="0" applyFont="1" applyFill="1" applyBorder="1"/>
    <xf numFmtId="0" fontId="10" fillId="2" borderId="45" xfId="0" applyFont="1" applyFill="1" applyBorder="1"/>
    <xf numFmtId="0" fontId="37" fillId="2" borderId="46" xfId="0" applyFont="1" applyFill="1" applyBorder="1" applyAlignment="1">
      <alignment horizontal="center"/>
    </xf>
    <xf numFmtId="0" fontId="37" fillId="2" borderId="1" xfId="0" applyFont="1" applyFill="1" applyBorder="1" applyAlignment="1">
      <alignment horizontal="center"/>
    </xf>
    <xf numFmtId="0" fontId="37" fillId="0" borderId="21" xfId="0" applyFont="1" applyBorder="1"/>
    <xf numFmtId="0" fontId="50" fillId="0" borderId="0" xfId="0" applyFont="1"/>
    <xf numFmtId="0" fontId="50" fillId="0" borderId="21" xfId="0" applyFont="1" applyBorder="1"/>
    <xf numFmtId="0" fontId="50" fillId="2" borderId="46" xfId="0" applyFont="1" applyFill="1" applyBorder="1"/>
    <xf numFmtId="0" fontId="50" fillId="0" borderId="0" xfId="0" applyFont="1" applyAlignment="1">
      <alignment horizontal="center"/>
    </xf>
    <xf numFmtId="0" fontId="50" fillId="2" borderId="1" xfId="0" applyFont="1" applyFill="1" applyBorder="1" applyAlignment="1">
      <alignment horizontal="center"/>
    </xf>
    <xf numFmtId="0" fontId="50" fillId="2" borderId="1" xfId="0" applyFont="1" applyFill="1" applyBorder="1"/>
    <xf numFmtId="0" fontId="50" fillId="2" borderId="1" xfId="0" applyFont="1" applyFill="1" applyBorder="1" applyAlignment="1">
      <alignment horizontal="left"/>
    </xf>
    <xf numFmtId="0" fontId="50" fillId="0" borderId="11" xfId="0" applyFont="1" applyBorder="1"/>
    <xf numFmtId="0" fontId="50" fillId="0" borderId="0" xfId="0" applyFont="1" applyAlignment="1">
      <alignment horizontal="left"/>
    </xf>
    <xf numFmtId="0" fontId="50" fillId="2" borderId="45" xfId="0" applyFont="1" applyFill="1" applyBorder="1"/>
    <xf numFmtId="0" fontId="50" fillId="0" borderId="12" xfId="0" applyFont="1" applyBorder="1"/>
    <xf numFmtId="0" fontId="11" fillId="3" borderId="6" xfId="0" applyFont="1" applyFill="1" applyBorder="1" applyAlignment="1">
      <alignment horizontal="left"/>
    </xf>
    <xf numFmtId="0" fontId="11" fillId="2" borderId="46" xfId="0" applyFont="1" applyFill="1" applyBorder="1" applyAlignment="1">
      <alignment horizontal="left"/>
    </xf>
    <xf numFmtId="0" fontId="11" fillId="10" borderId="51" xfId="0" applyFont="1" applyFill="1" applyBorder="1" applyAlignment="1">
      <alignment horizontal="left" vertical="center"/>
    </xf>
    <xf numFmtId="0" fontId="11" fillId="3" borderId="6" xfId="0" applyFont="1" applyFill="1" applyBorder="1" applyAlignment="1">
      <alignment horizontal="center" vertical="center"/>
    </xf>
    <xf numFmtId="0" fontId="11" fillId="2" borderId="46" xfId="0" applyFont="1" applyFill="1" applyBorder="1" applyAlignment="1">
      <alignment horizontal="center" vertical="center"/>
    </xf>
    <xf numFmtId="0" fontId="15" fillId="2" borderId="46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10" borderId="6" xfId="0" applyFont="1" applyFill="1" applyBorder="1" applyAlignment="1">
      <alignment horizontal="left"/>
    </xf>
    <xf numFmtId="0" fontId="15" fillId="10" borderId="6" xfId="0" applyFont="1" applyFill="1" applyBorder="1" applyAlignment="1">
      <alignment horizontal="center"/>
    </xf>
    <xf numFmtId="0" fontId="15" fillId="3" borderId="52" xfId="0" applyFont="1" applyFill="1" applyBorder="1" applyAlignment="1">
      <alignment horizontal="left"/>
    </xf>
    <xf numFmtId="0" fontId="15" fillId="2" borderId="1" xfId="0" applyFont="1" applyFill="1" applyBorder="1" applyAlignment="1">
      <alignment horizontal="left"/>
    </xf>
    <xf numFmtId="0" fontId="15" fillId="12" borderId="6" xfId="0" applyFont="1" applyFill="1" applyBorder="1" applyAlignment="1">
      <alignment horizontal="center" vertical="center"/>
    </xf>
    <xf numFmtId="0" fontId="15" fillId="12" borderId="6" xfId="0" applyFont="1" applyFill="1" applyBorder="1" applyAlignment="1">
      <alignment horizontal="left"/>
    </xf>
    <xf numFmtId="0" fontId="15" fillId="12" borderId="6" xfId="0" applyFont="1" applyFill="1" applyBorder="1" applyAlignment="1">
      <alignment horizontal="center"/>
    </xf>
    <xf numFmtId="0" fontId="15" fillId="12" borderId="52" xfId="0" applyFont="1" applyFill="1" applyBorder="1" applyAlignment="1">
      <alignment horizontal="left"/>
    </xf>
    <xf numFmtId="0" fontId="15" fillId="2" borderId="46" xfId="0" applyFont="1" applyFill="1" applyBorder="1" applyAlignment="1">
      <alignment horizontal="left"/>
    </xf>
    <xf numFmtId="0" fontId="15" fillId="2" borderId="45" xfId="0" applyFont="1" applyFill="1" applyBorder="1" applyAlignment="1">
      <alignment horizontal="center" vertical="center"/>
    </xf>
    <xf numFmtId="0" fontId="15" fillId="19" borderId="6" xfId="0" applyFont="1" applyFill="1" applyBorder="1" applyAlignment="1">
      <alignment horizontal="center" vertical="center"/>
    </xf>
    <xf numFmtId="0" fontId="15" fillId="19" borderId="6" xfId="0" applyFont="1" applyFill="1" applyBorder="1" applyAlignment="1">
      <alignment horizontal="left"/>
    </xf>
    <xf numFmtId="0" fontId="15" fillId="19" borderId="51" xfId="0" applyFont="1" applyFill="1" applyBorder="1" applyAlignment="1">
      <alignment horizontal="center" vertical="center"/>
    </xf>
    <xf numFmtId="0" fontId="15" fillId="19" borderId="52" xfId="0" applyFont="1" applyFill="1" applyBorder="1" applyAlignment="1">
      <alignment horizontal="center" vertical="center"/>
    </xf>
    <xf numFmtId="0" fontId="15" fillId="12" borderId="5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/>
    </xf>
    <xf numFmtId="0" fontId="15" fillId="2" borderId="46" xfId="0" applyFont="1" applyFill="1" applyBorder="1" applyAlignment="1">
      <alignment horizontal="center"/>
    </xf>
    <xf numFmtId="176" fontId="10" fillId="5" borderId="1" xfId="0" applyNumberFormat="1" applyFont="1" applyFill="1" applyBorder="1" applyAlignment="1">
      <alignment horizontal="center"/>
    </xf>
    <xf numFmtId="9" fontId="10" fillId="2" borderId="46" xfId="0" applyNumberFormat="1" applyFont="1" applyFill="1" applyBorder="1" applyAlignment="1">
      <alignment horizontal="center"/>
    </xf>
    <xf numFmtId="10" fontId="10" fillId="0" borderId="0" xfId="0" applyNumberFormat="1" applyFont="1" applyAlignment="1">
      <alignment horizontal="left"/>
    </xf>
    <xf numFmtId="10" fontId="10" fillId="2" borderId="1" xfId="0" applyNumberFormat="1" applyFont="1" applyFill="1" applyBorder="1"/>
    <xf numFmtId="10" fontId="10" fillId="2" borderId="46" xfId="0" applyNumberFormat="1" applyFont="1" applyFill="1" applyBorder="1"/>
    <xf numFmtId="183" fontId="10" fillId="2" borderId="1" xfId="0" applyNumberFormat="1" applyFont="1" applyFill="1" applyBorder="1"/>
    <xf numFmtId="165" fontId="10" fillId="2" borderId="46" xfId="0" applyNumberFormat="1" applyFont="1" applyFill="1" applyBorder="1"/>
    <xf numFmtId="165" fontId="10" fillId="2" borderId="1" xfId="0" applyNumberFormat="1" applyFont="1" applyFill="1" applyBorder="1" applyAlignment="1">
      <alignment horizontal="center" vertical="center"/>
    </xf>
    <xf numFmtId="165" fontId="10" fillId="2" borderId="1" xfId="0" applyNumberFormat="1" applyFont="1" applyFill="1" applyBorder="1" applyAlignment="1">
      <alignment horizontal="center"/>
    </xf>
    <xf numFmtId="2" fontId="10" fillId="12" borderId="1" xfId="0" applyNumberFormat="1" applyFont="1" applyFill="1" applyBorder="1"/>
    <xf numFmtId="9" fontId="10" fillId="2" borderId="46" xfId="0" applyNumberFormat="1" applyFont="1" applyFill="1" applyBorder="1"/>
    <xf numFmtId="9" fontId="10" fillId="2" borderId="45" xfId="0" applyNumberFormat="1" applyFont="1" applyFill="1" applyBorder="1"/>
    <xf numFmtId="10" fontId="10" fillId="2" borderId="1" xfId="0" applyNumberFormat="1" applyFont="1" applyFill="1" applyBorder="1" applyAlignment="1">
      <alignment horizontal="center"/>
    </xf>
    <xf numFmtId="10" fontId="10" fillId="2" borderId="1" xfId="0" applyNumberFormat="1" applyFont="1" applyFill="1" applyBorder="1" applyAlignment="1">
      <alignment horizontal="center" vertical="center"/>
    </xf>
    <xf numFmtId="10" fontId="10" fillId="2" borderId="46" xfId="0" applyNumberFormat="1" applyFont="1" applyFill="1" applyBorder="1" applyAlignment="1">
      <alignment horizontal="center"/>
    </xf>
    <xf numFmtId="9" fontId="42" fillId="0" borderId="0" xfId="0" applyNumberFormat="1" applyFont="1"/>
    <xf numFmtId="9" fontId="33" fillId="2" borderId="45" xfId="0" applyNumberFormat="1" applyFont="1" applyFill="1" applyBorder="1"/>
    <xf numFmtId="9" fontId="33" fillId="2" borderId="1" xfId="0" applyNumberFormat="1" applyFont="1" applyFill="1" applyBorder="1"/>
    <xf numFmtId="0" fontId="11" fillId="10" borderId="52" xfId="0" applyFont="1" applyFill="1" applyBorder="1"/>
    <xf numFmtId="2" fontId="10" fillId="2" borderId="46" xfId="0" applyNumberFormat="1" applyFont="1" applyFill="1" applyBorder="1" applyAlignment="1">
      <alignment horizontal="center" vertical="center"/>
    </xf>
    <xf numFmtId="0" fontId="15" fillId="12" borderId="6" xfId="0" applyFont="1" applyFill="1" applyBorder="1" applyAlignment="1">
      <alignment horizontal="left" vertical="center"/>
    </xf>
    <xf numFmtId="2" fontId="10" fillId="2" borderId="45" xfId="0" applyNumberFormat="1" applyFont="1" applyFill="1" applyBorder="1" applyAlignment="1">
      <alignment horizontal="center" vertical="center"/>
    </xf>
    <xf numFmtId="165" fontId="10" fillId="2" borderId="1" xfId="0" applyNumberFormat="1" applyFont="1" applyFill="1" applyBorder="1" applyAlignment="1">
      <alignment horizontal="left"/>
    </xf>
    <xf numFmtId="9" fontId="17" fillId="0" borderId="0" xfId="0" applyNumberFormat="1" applyFont="1"/>
    <xf numFmtId="9" fontId="10" fillId="2" borderId="1" xfId="0" applyNumberFormat="1" applyFont="1" applyFill="1" applyBorder="1" applyAlignment="1">
      <alignment horizontal="left"/>
    </xf>
    <xf numFmtId="9" fontId="10" fillId="0" borderId="0" xfId="0" applyNumberFormat="1" applyFont="1" applyAlignment="1">
      <alignment horizontal="left"/>
    </xf>
    <xf numFmtId="184" fontId="10" fillId="0" borderId="0" xfId="0" applyNumberFormat="1" applyFont="1" applyAlignment="1">
      <alignment horizontal="center"/>
    </xf>
    <xf numFmtId="0" fontId="15" fillId="13" borderId="6" xfId="0" applyFont="1" applyFill="1" applyBorder="1" applyAlignment="1">
      <alignment horizontal="right" vertical="center"/>
    </xf>
    <xf numFmtId="0" fontId="15" fillId="13" borderId="6" xfId="0" applyFont="1" applyFill="1" applyBorder="1" applyAlignment="1">
      <alignment horizontal="left" vertical="center"/>
    </xf>
    <xf numFmtId="2" fontId="10" fillId="0" borderId="0" xfId="0" applyNumberFormat="1" applyFont="1" applyAlignment="1">
      <alignment horizontal="right" vertical="center"/>
    </xf>
    <xf numFmtId="0" fontId="10" fillId="2" borderId="65" xfId="0" applyFont="1" applyFill="1" applyBorder="1"/>
    <xf numFmtId="0" fontId="10" fillId="2" borderId="66" xfId="0" applyFont="1" applyFill="1" applyBorder="1"/>
    <xf numFmtId="0" fontId="10" fillId="2" borderId="67" xfId="0" applyFont="1" applyFill="1" applyBorder="1"/>
    <xf numFmtId="0" fontId="10" fillId="2" borderId="68" xfId="0" applyFont="1" applyFill="1" applyBorder="1"/>
    <xf numFmtId="0" fontId="10" fillId="2" borderId="69" xfId="0" applyFont="1" applyFill="1" applyBorder="1"/>
    <xf numFmtId="0" fontId="11" fillId="2" borderId="52" xfId="0" applyFont="1" applyFill="1" applyBorder="1" applyAlignment="1">
      <alignment horizontal="center"/>
    </xf>
    <xf numFmtId="0" fontId="11" fillId="2" borderId="43" xfId="0" applyFont="1" applyFill="1" applyBorder="1" applyAlignment="1">
      <alignment horizontal="center"/>
    </xf>
    <xf numFmtId="0" fontId="11" fillId="2" borderId="44" xfId="0" applyFont="1" applyFill="1" applyBorder="1"/>
    <xf numFmtId="0" fontId="11" fillId="2" borderId="20" xfId="0" applyFont="1" applyFill="1" applyBorder="1"/>
    <xf numFmtId="0" fontId="18" fillId="2" borderId="51" xfId="0" applyFont="1" applyFill="1" applyBorder="1" applyAlignment="1">
      <alignment horizontal="center" vertical="center" wrapText="1"/>
    </xf>
    <xf numFmtId="0" fontId="18" fillId="2" borderId="6" xfId="0" applyFont="1" applyFill="1" applyBorder="1" applyAlignment="1">
      <alignment horizontal="center" vertical="center" wrapText="1"/>
    </xf>
    <xf numFmtId="0" fontId="18" fillId="2" borderId="52" xfId="0" applyFont="1" applyFill="1" applyBorder="1" applyAlignment="1">
      <alignment horizontal="center" vertical="center" wrapText="1"/>
    </xf>
    <xf numFmtId="0" fontId="18" fillId="2" borderId="10" xfId="0" applyFont="1" applyFill="1" applyBorder="1" applyAlignment="1">
      <alignment horizontal="center" vertical="center" wrapText="1"/>
    </xf>
    <xf numFmtId="0" fontId="11" fillId="2" borderId="43" xfId="0" applyFont="1" applyFill="1" applyBorder="1"/>
    <xf numFmtId="0" fontId="33" fillId="2" borderId="43" xfId="0" applyFont="1" applyFill="1" applyBorder="1"/>
    <xf numFmtId="0" fontId="10" fillId="2" borderId="44" xfId="0" applyFont="1" applyFill="1" applyBorder="1"/>
    <xf numFmtId="0" fontId="10" fillId="2" borderId="20" xfId="0" applyFont="1" applyFill="1" applyBorder="1"/>
    <xf numFmtId="0" fontId="10" fillId="2" borderId="51" xfId="0" applyFont="1" applyFill="1" applyBorder="1"/>
    <xf numFmtId="0" fontId="10" fillId="9" borderId="51" xfId="0" applyFont="1" applyFill="1" applyBorder="1" applyAlignment="1">
      <alignment horizontal="center" vertical="center"/>
    </xf>
    <xf numFmtId="0" fontId="10" fillId="9" borderId="6" xfId="0" applyFont="1" applyFill="1" applyBorder="1" applyAlignment="1">
      <alignment horizontal="center" vertical="center"/>
    </xf>
    <xf numFmtId="0" fontId="10" fillId="9" borderId="52" xfId="0" applyFont="1" applyFill="1" applyBorder="1" applyAlignment="1">
      <alignment horizontal="center" vertical="center"/>
    </xf>
    <xf numFmtId="0" fontId="10" fillId="9" borderId="10" xfId="0" applyFont="1" applyFill="1" applyBorder="1" applyAlignment="1">
      <alignment horizontal="center" vertical="center"/>
    </xf>
    <xf numFmtId="0" fontId="10" fillId="2" borderId="45" xfId="0" applyFont="1" applyFill="1" applyBorder="1" applyAlignment="1">
      <alignment horizontal="left"/>
    </xf>
    <xf numFmtId="0" fontId="10" fillId="2" borderId="59" xfId="0" applyFont="1" applyFill="1" applyBorder="1"/>
    <xf numFmtId="0" fontId="10" fillId="2" borderId="59" xfId="0" applyFont="1" applyFill="1" applyBorder="1" applyAlignment="1">
      <alignment horizontal="left"/>
    </xf>
    <xf numFmtId="0" fontId="10" fillId="2" borderId="45" xfId="0" applyFont="1" applyFill="1" applyBorder="1" applyAlignment="1">
      <alignment horizontal="center"/>
    </xf>
    <xf numFmtId="0" fontId="10" fillId="2" borderId="59" xfId="0" applyFont="1" applyFill="1" applyBorder="1" applyAlignment="1">
      <alignment horizontal="center"/>
    </xf>
    <xf numFmtId="0" fontId="10" fillId="2" borderId="22" xfId="0" applyFont="1" applyFill="1" applyBorder="1" applyAlignment="1">
      <alignment horizontal="left"/>
    </xf>
    <xf numFmtId="0" fontId="10" fillId="2" borderId="51" xfId="0" applyFont="1" applyFill="1" applyBorder="1" applyAlignment="1">
      <alignment horizontal="left"/>
    </xf>
    <xf numFmtId="0" fontId="10" fillId="2" borderId="10" xfId="0" applyFont="1" applyFill="1" applyBorder="1"/>
    <xf numFmtId="169" fontId="10" fillId="2" borderId="50" xfId="0" applyNumberFormat="1" applyFont="1" applyFill="1" applyBorder="1"/>
    <xf numFmtId="0" fontId="10" fillId="2" borderId="22" xfId="0" applyFont="1" applyFill="1" applyBorder="1"/>
    <xf numFmtId="0" fontId="10" fillId="2" borderId="10" xfId="0" applyFont="1" applyFill="1" applyBorder="1" applyAlignment="1">
      <alignment horizontal="left"/>
    </xf>
    <xf numFmtId="0" fontId="10" fillId="9" borderId="51" xfId="0" applyFont="1" applyFill="1" applyBorder="1" applyAlignment="1">
      <alignment horizontal="center"/>
    </xf>
    <xf numFmtId="0" fontId="10" fillId="2" borderId="52" xfId="0" applyFont="1" applyFill="1" applyBorder="1" applyAlignment="1">
      <alignment horizontal="center"/>
    </xf>
    <xf numFmtId="0" fontId="10" fillId="2" borderId="22" xfId="0" applyFont="1" applyFill="1" applyBorder="1" applyAlignment="1">
      <alignment horizontal="center"/>
    </xf>
    <xf numFmtId="0" fontId="11" fillId="2" borderId="51" xfId="0" applyFont="1" applyFill="1" applyBorder="1" applyAlignment="1">
      <alignment horizontal="center"/>
    </xf>
    <xf numFmtId="0" fontId="11" fillId="2" borderId="52" xfId="0" applyFont="1" applyFill="1" applyBorder="1"/>
    <xf numFmtId="0" fontId="11" fillId="2" borderId="10" xfId="0" applyFont="1" applyFill="1" applyBorder="1"/>
    <xf numFmtId="0" fontId="11" fillId="2" borderId="45" xfId="0" applyFont="1" applyFill="1" applyBorder="1"/>
    <xf numFmtId="0" fontId="11" fillId="2" borderId="59" xfId="0" applyFont="1" applyFill="1" applyBorder="1"/>
    <xf numFmtId="0" fontId="11" fillId="2" borderId="10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 vertical="center"/>
    </xf>
    <xf numFmtId="0" fontId="10" fillId="2" borderId="52" xfId="0" applyFont="1" applyFill="1" applyBorder="1" applyAlignment="1">
      <alignment horizontal="center" vertical="center"/>
    </xf>
    <xf numFmtId="0" fontId="10" fillId="2" borderId="59" xfId="0" applyFont="1" applyFill="1" applyBorder="1" applyAlignment="1">
      <alignment horizontal="center" vertical="center"/>
    </xf>
    <xf numFmtId="0" fontId="45" fillId="2" borderId="43" xfId="0" applyFont="1" applyFill="1" applyBorder="1"/>
    <xf numFmtId="0" fontId="10" fillId="2" borderId="22" xfId="0" applyFont="1" applyFill="1" applyBorder="1" applyAlignment="1">
      <alignment horizontal="center" vertical="center"/>
    </xf>
    <xf numFmtId="2" fontId="10" fillId="2" borderId="52" xfId="0" applyNumberFormat="1" applyFont="1" applyFill="1" applyBorder="1"/>
    <xf numFmtId="0" fontId="10" fillId="2" borderId="48" xfId="0" applyFont="1" applyFill="1" applyBorder="1" applyAlignment="1">
      <alignment horizontal="center"/>
    </xf>
    <xf numFmtId="0" fontId="10" fillId="5" borderId="22" xfId="0" applyFont="1" applyFill="1" applyBorder="1" applyAlignment="1">
      <alignment horizontal="center"/>
    </xf>
    <xf numFmtId="0" fontId="10" fillId="2" borderId="70" xfId="0" applyFont="1" applyFill="1" applyBorder="1"/>
    <xf numFmtId="0" fontId="10" fillId="2" borderId="71" xfId="0" applyFont="1" applyFill="1" applyBorder="1"/>
    <xf numFmtId="0" fontId="10" fillId="2" borderId="72" xfId="0" applyFont="1" applyFill="1" applyBorder="1"/>
    <xf numFmtId="0" fontId="10" fillId="2" borderId="43" xfId="0" applyFont="1" applyFill="1" applyBorder="1"/>
    <xf numFmtId="0" fontId="10" fillId="2" borderId="44" xfId="0" applyFont="1" applyFill="1" applyBorder="1" applyAlignment="1">
      <alignment horizontal="center"/>
    </xf>
    <xf numFmtId="0" fontId="10" fillId="2" borderId="46" xfId="0" applyFont="1" applyFill="1" applyBorder="1" applyAlignment="1">
      <alignment horizontal="center"/>
    </xf>
    <xf numFmtId="0" fontId="11" fillId="0" borderId="18" xfId="0" applyFont="1" applyBorder="1"/>
    <xf numFmtId="0" fontId="11" fillId="0" borderId="13" xfId="0" applyFont="1" applyBorder="1"/>
    <xf numFmtId="0" fontId="10" fillId="2" borderId="53" xfId="0" applyFont="1" applyFill="1" applyBorder="1"/>
    <xf numFmtId="0" fontId="10" fillId="2" borderId="5" xfId="0" applyFont="1" applyFill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10" fillId="0" borderId="15" xfId="0" applyNumberFormat="1" applyFont="1" applyBorder="1" applyAlignment="1">
      <alignment horizontal="center"/>
    </xf>
    <xf numFmtId="0" fontId="10" fillId="2" borderId="53" xfId="0" applyFont="1" applyFill="1" applyBorder="1" applyAlignment="1">
      <alignment horizontal="center"/>
    </xf>
    <xf numFmtId="1" fontId="10" fillId="0" borderId="18" xfId="0" applyNumberFormat="1" applyFont="1" applyBorder="1" applyAlignment="1">
      <alignment horizontal="center"/>
    </xf>
    <xf numFmtId="0" fontId="11" fillId="2" borderId="1" xfId="0" applyFont="1" applyFill="1" applyBorder="1" applyAlignment="1">
      <alignment horizontal="left"/>
    </xf>
    <xf numFmtId="9" fontId="10" fillId="0" borderId="15" xfId="0" applyNumberFormat="1" applyFont="1" applyBorder="1"/>
    <xf numFmtId="9" fontId="10" fillId="0" borderId="18" xfId="0" applyNumberFormat="1" applyFont="1" applyBorder="1"/>
    <xf numFmtId="0" fontId="10" fillId="0" borderId="23" xfId="0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10" fillId="0" borderId="21" xfId="0" applyFont="1" applyBorder="1" applyAlignment="1">
      <alignment horizontal="center"/>
    </xf>
    <xf numFmtId="9" fontId="10" fillId="0" borderId="12" xfId="0" applyNumberFormat="1" applyFont="1" applyBorder="1" applyAlignment="1">
      <alignment horizontal="center"/>
    </xf>
    <xf numFmtId="9" fontId="10" fillId="0" borderId="18" xfId="0" applyNumberFormat="1" applyFont="1" applyBorder="1" applyAlignment="1">
      <alignment horizontal="center"/>
    </xf>
    <xf numFmtId="9" fontId="10" fillId="0" borderId="19" xfId="0" applyNumberFormat="1" applyFont="1" applyBorder="1" applyAlignment="1">
      <alignment horizontal="center"/>
    </xf>
    <xf numFmtId="0" fontId="10" fillId="0" borderId="13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9" fontId="10" fillId="0" borderId="21" xfId="0" applyNumberFormat="1" applyFont="1" applyBorder="1"/>
    <xf numFmtId="9" fontId="10" fillId="0" borderId="23" xfId="0" applyNumberFormat="1" applyFont="1" applyBorder="1"/>
    <xf numFmtId="9" fontId="10" fillId="0" borderId="19" xfId="0" applyNumberFormat="1" applyFont="1" applyBorder="1"/>
    <xf numFmtId="0" fontId="10" fillId="0" borderId="9" xfId="0" applyFont="1" applyBorder="1"/>
    <xf numFmtId="0" fontId="9" fillId="0" borderId="0" xfId="0" applyFont="1" applyAlignment="1">
      <alignment horizontal="center"/>
    </xf>
    <xf numFmtId="0" fontId="8" fillId="0" borderId="0" xfId="0" applyFont="1"/>
    <xf numFmtId="184" fontId="0" fillId="0" borderId="0" xfId="0" applyNumberFormat="1"/>
    <xf numFmtId="0" fontId="17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6" fillId="0" borderId="0" xfId="0" applyFont="1"/>
    <xf numFmtId="167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5" fontId="10" fillId="10" borderId="1" xfId="1" applyNumberFormat="1" applyFont="1" applyFill="1" applyBorder="1"/>
    <xf numFmtId="0" fontId="61" fillId="0" borderId="0" xfId="0" applyFont="1"/>
    <xf numFmtId="0" fontId="59" fillId="0" borderId="0" xfId="0" applyFont="1"/>
    <xf numFmtId="174" fontId="33" fillId="0" borderId="0" xfId="0" applyNumberFormat="1" applyFont="1"/>
    <xf numFmtId="9" fontId="33" fillId="0" borderId="0" xfId="0" applyNumberFormat="1" applyFont="1"/>
    <xf numFmtId="10" fontId="0" fillId="0" borderId="0" xfId="0" applyNumberFormat="1"/>
    <xf numFmtId="0" fontId="5" fillId="0" borderId="0" xfId="0" applyFont="1"/>
    <xf numFmtId="186" fontId="0" fillId="0" borderId="0" xfId="1" applyNumberFormat="1" applyFont="1"/>
    <xf numFmtId="186" fontId="10" fillId="0" borderId="12" xfId="1" applyNumberFormat="1" applyFont="1" applyBorder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62" fillId="0" borderId="0" xfId="0" applyFon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60" fillId="0" borderId="0" xfId="0" applyFont="1"/>
    <xf numFmtId="170" fontId="0" fillId="0" borderId="0" xfId="0" applyNumberFormat="1" applyAlignment="1">
      <alignment horizontal="center"/>
    </xf>
    <xf numFmtId="0" fontId="0" fillId="0" borderId="73" xfId="0" applyBorder="1"/>
    <xf numFmtId="0" fontId="5" fillId="0" borderId="73" xfId="0" applyFont="1" applyBorder="1" applyAlignment="1">
      <alignment horizontal="center"/>
    </xf>
    <xf numFmtId="0" fontId="5" fillId="0" borderId="73" xfId="0" applyFont="1" applyBorder="1"/>
    <xf numFmtId="1" fontId="0" fillId="0" borderId="73" xfId="0" applyNumberFormat="1" applyBorder="1" applyAlignment="1">
      <alignment horizontal="center"/>
    </xf>
    <xf numFmtId="169" fontId="0" fillId="0" borderId="73" xfId="0" applyNumberFormat="1" applyBorder="1" applyAlignment="1">
      <alignment horizontal="center"/>
    </xf>
    <xf numFmtId="0" fontId="63" fillId="0" borderId="0" xfId="0" applyFont="1"/>
    <xf numFmtId="9" fontId="0" fillId="0" borderId="0" xfId="0" applyNumberFormat="1"/>
    <xf numFmtId="0" fontId="10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69" fontId="0" fillId="0" borderId="0" xfId="0" applyNumberFormat="1"/>
    <xf numFmtId="0" fontId="64" fillId="0" borderId="0" xfId="0" applyFont="1"/>
    <xf numFmtId="0" fontId="64" fillId="0" borderId="0" xfId="0" applyFont="1" applyAlignment="1">
      <alignment horizontal="center"/>
    </xf>
    <xf numFmtId="169" fontId="64" fillId="0" borderId="0" xfId="0" applyNumberFormat="1" applyFont="1" applyAlignment="1">
      <alignment horizontal="center"/>
    </xf>
    <xf numFmtId="1" fontId="64" fillId="0" borderId="0" xfId="0" applyNumberFormat="1" applyFont="1" applyAlignment="1">
      <alignment horizontal="center"/>
    </xf>
    <xf numFmtId="9" fontId="0" fillId="0" borderId="0" xfId="2" applyFont="1"/>
    <xf numFmtId="186" fontId="64" fillId="0" borderId="0" xfId="1" applyNumberFormat="1" applyFont="1" applyAlignment="1">
      <alignment horizontal="center"/>
    </xf>
    <xf numFmtId="186" fontId="64" fillId="0" borderId="0" xfId="0" applyNumberFormat="1" applyFont="1" applyAlignment="1">
      <alignment horizontal="center"/>
    </xf>
    <xf numFmtId="0" fontId="65" fillId="0" borderId="0" xfId="0" applyFont="1" applyAlignment="1">
      <alignment horizontal="center"/>
    </xf>
    <xf numFmtId="186" fontId="65" fillId="0" borderId="0" xfId="1" applyNumberFormat="1" applyFont="1" applyAlignment="1">
      <alignment horizontal="center"/>
    </xf>
    <xf numFmtId="167" fontId="60" fillId="0" borderId="0" xfId="0" applyNumberFormat="1" applyFont="1"/>
    <xf numFmtId="2" fontId="64" fillId="0" borderId="0" xfId="0" applyNumberFormat="1" applyFont="1"/>
    <xf numFmtId="0" fontId="66" fillId="0" borderId="0" xfId="0" applyFont="1"/>
    <xf numFmtId="0" fontId="67" fillId="0" borderId="0" xfId="0" applyFont="1"/>
    <xf numFmtId="0" fontId="5" fillId="0" borderId="0" xfId="0" applyFont="1" applyAlignment="1">
      <alignment vertical="center"/>
    </xf>
    <xf numFmtId="167" fontId="18" fillId="0" borderId="17" xfId="0" applyNumberFormat="1" applyFont="1" applyBorder="1"/>
    <xf numFmtId="0" fontId="5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4" fillId="0" borderId="0" xfId="0" applyFont="1"/>
    <xf numFmtId="43" fontId="0" fillId="0" borderId="0" xfId="1" applyFont="1"/>
    <xf numFmtId="1" fontId="0" fillId="0" borderId="0" xfId="0" applyNumberFormat="1"/>
    <xf numFmtId="1" fontId="69" fillId="20" borderId="0" xfId="0" applyNumberFormat="1" applyFont="1" applyFill="1"/>
    <xf numFmtId="2" fontId="4" fillId="0" borderId="0" xfId="0" applyNumberFormat="1" applyFont="1"/>
    <xf numFmtId="0" fontId="0" fillId="0" borderId="0" xfId="0" applyAlignment="1">
      <alignment horizontal="left"/>
    </xf>
    <xf numFmtId="0" fontId="4" fillId="0" borderId="0" xfId="0" applyFont="1" applyAlignment="1">
      <alignment horizontal="center" vertical="center"/>
    </xf>
    <xf numFmtId="184" fontId="0" fillId="0" borderId="76" xfId="0" applyNumberFormat="1" applyBorder="1"/>
    <xf numFmtId="0" fontId="60" fillId="0" borderId="0" xfId="0" applyFont="1" applyAlignment="1">
      <alignment horizontal="center"/>
    </xf>
    <xf numFmtId="0" fontId="0" fillId="21" borderId="0" xfId="0" applyFill="1"/>
    <xf numFmtId="165" fontId="0" fillId="0" borderId="0" xfId="2" applyNumberFormat="1" applyFont="1"/>
    <xf numFmtId="9" fontId="17" fillId="0" borderId="0" xfId="2" applyFont="1"/>
    <xf numFmtId="0" fontId="0" fillId="0" borderId="0" xfId="0" applyAlignment="1">
      <alignment horizontal="right"/>
    </xf>
    <xf numFmtId="2" fontId="10" fillId="0" borderId="0" xfId="0" applyNumberFormat="1" applyFont="1" applyAlignment="1">
      <alignment horizontal="left"/>
    </xf>
    <xf numFmtId="43" fontId="17" fillId="0" borderId="0" xfId="1" applyFont="1"/>
    <xf numFmtId="0" fontId="71" fillId="0" borderId="0" xfId="0" applyFont="1"/>
    <xf numFmtId="0" fontId="10" fillId="22" borderId="1" xfId="0" applyFont="1" applyFill="1" applyBorder="1"/>
    <xf numFmtId="0" fontId="0" fillId="23" borderId="0" xfId="0" applyFill="1"/>
    <xf numFmtId="0" fontId="10" fillId="24" borderId="1" xfId="0" applyFont="1" applyFill="1" applyBorder="1"/>
    <xf numFmtId="0" fontId="10" fillId="25" borderId="1" xfId="0" applyFont="1" applyFill="1" applyBorder="1"/>
    <xf numFmtId="0" fontId="10" fillId="2" borderId="64" xfId="0" applyFont="1" applyFill="1" applyBorder="1"/>
    <xf numFmtId="43" fontId="0" fillId="23" borderId="0" xfId="0" applyNumberFormat="1" applyFill="1"/>
    <xf numFmtId="165" fontId="10" fillId="0" borderId="0" xfId="2" applyNumberFormat="1" applyFont="1"/>
    <xf numFmtId="10" fontId="10" fillId="21" borderId="0" xfId="0" applyNumberFormat="1" applyFont="1" applyFill="1"/>
    <xf numFmtId="0" fontId="10" fillId="21" borderId="0" xfId="0" applyFont="1" applyFill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 applyAlignment="1">
      <alignment horizontal="center"/>
    </xf>
    <xf numFmtId="9" fontId="74" fillId="0" borderId="0" xfId="0" applyNumberFormat="1" applyFont="1"/>
    <xf numFmtId="9" fontId="74" fillId="0" borderId="0" xfId="2" applyFont="1"/>
    <xf numFmtId="169" fontId="75" fillId="0" borderId="0" xfId="0" applyNumberFormat="1" applyFont="1" applyAlignment="1">
      <alignment horizontal="center"/>
    </xf>
    <xf numFmtId="1" fontId="75" fillId="0" borderId="0" xfId="0" applyNumberFormat="1" applyFont="1" applyAlignment="1">
      <alignment horizontal="center"/>
    </xf>
    <xf numFmtId="186" fontId="75" fillId="0" borderId="0" xfId="1" applyNumberFormat="1" applyFont="1" applyAlignment="1">
      <alignment horizontal="center"/>
    </xf>
    <xf numFmtId="9" fontId="74" fillId="0" borderId="76" xfId="0" applyNumberFormat="1" applyFont="1" applyBorder="1"/>
    <xf numFmtId="186" fontId="75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86" fontId="76" fillId="0" borderId="0" xfId="1" applyNumberFormat="1" applyFont="1" applyAlignment="1">
      <alignment horizontal="center"/>
    </xf>
    <xf numFmtId="0" fontId="77" fillId="0" borderId="0" xfId="0" applyFont="1" applyAlignment="1">
      <alignment horizontal="right"/>
    </xf>
    <xf numFmtId="2" fontId="2" fillId="0" borderId="0" xfId="0" applyNumberFormat="1" applyFont="1"/>
    <xf numFmtId="169" fontId="2" fillId="0" borderId="0" xfId="0" applyNumberFormat="1" applyFont="1"/>
    <xf numFmtId="169" fontId="4" fillId="0" borderId="0" xfId="0" applyNumberFormat="1" applyFont="1"/>
    <xf numFmtId="169" fontId="0" fillId="21" borderId="0" xfId="0" applyNumberFormat="1" applyFill="1"/>
    <xf numFmtId="169" fontId="0" fillId="26" borderId="0" xfId="0" applyNumberFormat="1" applyFill="1"/>
    <xf numFmtId="10" fontId="0" fillId="0" borderId="0" xfId="2" applyNumberFormat="1" applyFont="1"/>
    <xf numFmtId="165" fontId="0" fillId="0" borderId="0" xfId="0" applyNumberFormat="1"/>
    <xf numFmtId="0" fontId="11" fillId="2" borderId="2" xfId="0" applyFont="1" applyFill="1" applyBorder="1" applyAlignment="1">
      <alignment horizontal="center"/>
    </xf>
    <xf numFmtId="0" fontId="12" fillId="0" borderId="3" xfId="0" applyFont="1" applyBorder="1"/>
    <xf numFmtId="0" fontId="12" fillId="0" borderId="4" xfId="0" applyFont="1" applyBorder="1"/>
    <xf numFmtId="0" fontId="11" fillId="0" borderId="0" xfId="0" applyFont="1" applyAlignment="1">
      <alignment horizontal="center"/>
    </xf>
    <xf numFmtId="0" fontId="0" fillId="0" borderId="0" xfId="0"/>
    <xf numFmtId="0" fontId="27" fillId="7" borderId="29" xfId="0" applyFont="1" applyFill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26" fillId="6" borderId="29" xfId="0" applyFont="1" applyFill="1" applyBorder="1" applyAlignment="1">
      <alignment horizontal="center" vertical="center"/>
    </xf>
    <xf numFmtId="0" fontId="26" fillId="6" borderId="35" xfId="0" applyFont="1" applyFill="1" applyBorder="1" applyAlignment="1">
      <alignment horizontal="center" vertical="center"/>
    </xf>
    <xf numFmtId="0" fontId="12" fillId="0" borderId="36" xfId="0" applyFont="1" applyBorder="1"/>
    <xf numFmtId="0" fontId="12" fillId="0" borderId="37" xfId="0" applyFont="1" applyBorder="1"/>
    <xf numFmtId="0" fontId="26" fillId="6" borderId="38" xfId="0" applyFont="1" applyFill="1" applyBorder="1" applyAlignment="1">
      <alignment horizontal="center" vertical="center"/>
    </xf>
    <xf numFmtId="0" fontId="12" fillId="0" borderId="39" xfId="0" applyFont="1" applyBorder="1"/>
    <xf numFmtId="0" fontId="12" fillId="0" borderId="40" xfId="0" applyFont="1" applyBorder="1"/>
    <xf numFmtId="0" fontId="11" fillId="0" borderId="8" xfId="0" applyFont="1" applyBorder="1" applyAlignment="1">
      <alignment horizontal="center"/>
    </xf>
    <xf numFmtId="0" fontId="12" fillId="0" borderId="9" xfId="0" applyFont="1" applyBorder="1"/>
    <xf numFmtId="0" fontId="18" fillId="0" borderId="16" xfId="0" applyFont="1" applyBorder="1" applyAlignment="1">
      <alignment horizontal="left" vertical="center"/>
    </xf>
    <xf numFmtId="0" fontId="12" fillId="0" borderId="12" xfId="0" applyFont="1" applyBorder="1"/>
    <xf numFmtId="0" fontId="12" fillId="0" borderId="19" xfId="0" applyFont="1" applyBorder="1"/>
    <xf numFmtId="0" fontId="11" fillId="0" borderId="23" xfId="0" applyFont="1" applyBorder="1" applyAlignment="1">
      <alignment horizontal="center"/>
    </xf>
    <xf numFmtId="0" fontId="12" fillId="0" borderId="18" xfId="0" applyFont="1" applyBorder="1"/>
    <xf numFmtId="0" fontId="19" fillId="0" borderId="0" xfId="0" applyFont="1" applyAlignment="1">
      <alignment horizontal="center"/>
    </xf>
    <xf numFmtId="2" fontId="10" fillId="0" borderId="24" xfId="0" applyNumberFormat="1" applyFont="1" applyBorder="1" applyAlignment="1">
      <alignment horizontal="center" vertical="center"/>
    </xf>
    <xf numFmtId="0" fontId="12" fillId="0" borderId="21" xfId="0" applyFont="1" applyBorder="1"/>
    <xf numFmtId="0" fontId="12" fillId="0" borderId="23" xfId="0" applyFont="1" applyBorder="1"/>
    <xf numFmtId="171" fontId="10" fillId="0" borderId="16" xfId="0" applyNumberFormat="1" applyFont="1" applyBorder="1" applyAlignment="1">
      <alignment horizontal="center" vertical="center"/>
    </xf>
    <xf numFmtId="2" fontId="18" fillId="0" borderId="24" xfId="0" applyNumberFormat="1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31" fillId="0" borderId="0" xfId="0" applyFont="1" applyAlignment="1">
      <alignment horizontal="center"/>
    </xf>
    <xf numFmtId="0" fontId="38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5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12" fillId="0" borderId="13" xfId="0" applyFont="1" applyBorder="1"/>
    <xf numFmtId="0" fontId="11" fillId="2" borderId="8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9" fontId="10" fillId="2" borderId="47" xfId="0" applyNumberFormat="1" applyFont="1" applyFill="1" applyBorder="1" applyAlignment="1">
      <alignment horizontal="center" vertical="center"/>
    </xf>
    <xf numFmtId="0" fontId="12" fillId="0" borderId="49" xfId="0" applyFont="1" applyBorder="1"/>
    <xf numFmtId="9" fontId="10" fillId="0" borderId="0" xfId="0" applyNumberFormat="1" applyFont="1" applyAlignment="1">
      <alignment horizontal="center"/>
    </xf>
    <xf numFmtId="0" fontId="11" fillId="2" borderId="54" xfId="0" applyFont="1" applyFill="1" applyBorder="1" applyAlignment="1">
      <alignment horizontal="center" vertical="center"/>
    </xf>
    <xf numFmtId="0" fontId="12" fillId="0" borderId="55" xfId="0" applyFont="1" applyBorder="1"/>
    <xf numFmtId="0" fontId="12" fillId="0" borderId="56" xfId="0" applyFont="1" applyBorder="1"/>
    <xf numFmtId="0" fontId="11" fillId="2" borderId="57" xfId="0" applyFont="1" applyFill="1" applyBorder="1" applyAlignment="1">
      <alignment horizontal="center" vertical="center"/>
    </xf>
    <xf numFmtId="0" fontId="12" fillId="0" borderId="58" xfId="0" applyFont="1" applyBorder="1"/>
    <xf numFmtId="0" fontId="44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20" fillId="18" borderId="2" xfId="0" applyFont="1" applyFill="1" applyBorder="1" applyAlignment="1">
      <alignment horizontal="center"/>
    </xf>
    <xf numFmtId="0" fontId="20" fillId="5" borderId="2" xfId="0" applyFont="1" applyFill="1" applyBorder="1" applyAlignment="1">
      <alignment horizontal="center"/>
    </xf>
    <xf numFmtId="0" fontId="48" fillId="10" borderId="60" xfId="0" applyFont="1" applyFill="1" applyBorder="1" applyAlignment="1">
      <alignment horizontal="center"/>
    </xf>
    <xf numFmtId="0" fontId="12" fillId="0" borderId="61" xfId="0" applyFont="1" applyBorder="1"/>
    <xf numFmtId="0" fontId="12" fillId="0" borderId="62" xfId="0" applyFont="1" applyBorder="1"/>
    <xf numFmtId="0" fontId="48" fillId="10" borderId="60" xfId="0" applyFont="1" applyFill="1" applyBorder="1" applyAlignment="1">
      <alignment horizontal="center" wrapText="1"/>
    </xf>
    <xf numFmtId="0" fontId="11" fillId="5" borderId="2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/>
    </xf>
    <xf numFmtId="0" fontId="20" fillId="18" borderId="8" xfId="0" applyFont="1" applyFill="1" applyBorder="1" applyAlignment="1">
      <alignment horizontal="center"/>
    </xf>
    <xf numFmtId="0" fontId="11" fillId="16" borderId="2" xfId="0" applyFont="1" applyFill="1" applyBorder="1" applyAlignment="1">
      <alignment horizontal="center"/>
    </xf>
    <xf numFmtId="0" fontId="20" fillId="18" borderId="8" xfId="0" applyFont="1" applyFill="1" applyBorder="1" applyAlignment="1">
      <alignment horizontal="center" vertical="center"/>
    </xf>
    <xf numFmtId="0" fontId="36" fillId="2" borderId="2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50" fillId="0" borderId="63" xfId="0" applyFont="1" applyBorder="1" applyAlignment="1">
      <alignment horizontal="center"/>
    </xf>
    <xf numFmtId="0" fontId="12" fillId="0" borderId="63" xfId="0" applyFont="1" applyBorder="1"/>
    <xf numFmtId="0" fontId="12" fillId="0" borderId="64" xfId="0" applyFont="1" applyBorder="1"/>
    <xf numFmtId="0" fontId="37" fillId="2" borderId="2" xfId="0" applyFont="1" applyFill="1" applyBorder="1" applyAlignment="1">
      <alignment horizontal="center"/>
    </xf>
    <xf numFmtId="0" fontId="11" fillId="0" borderId="18" xfId="0" applyFont="1" applyBorder="1" applyAlignment="1">
      <alignment horizontal="center"/>
    </xf>
    <xf numFmtId="0" fontId="10" fillId="0" borderId="18" xfId="0" applyFont="1" applyBorder="1" applyAlignment="1">
      <alignment horizontal="center"/>
    </xf>
  </cellXfs>
  <cellStyles count="3">
    <cellStyle name="Millares" xfId="1" builtinId="3"/>
    <cellStyle name="Normal" xfId="0" builtinId="0"/>
    <cellStyle name="Porcentaje" xfId="2" builtinId="5"/>
  </cellStyles>
  <dxfs count="94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A7" zoomScale="70" zoomScaleNormal="70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04" t="s">
        <v>36</v>
      </c>
      <c r="Y14" s="905"/>
      <c r="Z14" s="905"/>
      <c r="AA14" s="905"/>
      <c r="AB14" s="905"/>
      <c r="AC14" s="905"/>
      <c r="AD14" s="905"/>
      <c r="AE14" s="905"/>
      <c r="AF14" s="906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904" t="s">
        <v>37</v>
      </c>
      <c r="C15" s="905"/>
      <c r="D15" s="905"/>
      <c r="E15" s="905"/>
      <c r="F15" s="905"/>
      <c r="G15" s="905"/>
      <c r="H15" s="905"/>
      <c r="I15" s="905"/>
      <c r="J15" s="906"/>
      <c r="K15" s="1"/>
      <c r="L15" s="1"/>
      <c r="M15" s="904" t="s">
        <v>38</v>
      </c>
      <c r="N15" s="905"/>
      <c r="O15" s="905"/>
      <c r="P15" s="905"/>
      <c r="Q15" s="905"/>
      <c r="R15" s="905"/>
      <c r="S15" s="905"/>
      <c r="T15" s="905"/>
      <c r="U15" s="906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04" t="s">
        <v>39</v>
      </c>
      <c r="AJ15" s="905"/>
      <c r="AK15" s="905"/>
      <c r="AL15" s="905"/>
      <c r="AM15" s="905"/>
      <c r="AN15" s="905"/>
      <c r="AO15" s="905"/>
      <c r="AP15" s="905"/>
      <c r="AQ15" s="906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907" t="s">
        <v>307</v>
      </c>
      <c r="C18" s="908"/>
      <c r="D18" s="908"/>
      <c r="E18" s="908"/>
      <c r="F18" s="908"/>
      <c r="G18" s="908"/>
      <c r="H18" s="908"/>
      <c r="I18" s="908"/>
      <c r="J18" s="908"/>
      <c r="L18" s="907" t="s">
        <v>308</v>
      </c>
      <c r="M18" s="908"/>
      <c r="N18" s="908"/>
      <c r="O18" s="908"/>
      <c r="P18" s="908"/>
      <c r="Q18" s="908"/>
      <c r="R18" s="908"/>
      <c r="S18" s="908"/>
      <c r="T18" s="908"/>
      <c r="V18" s="907" t="s">
        <v>309</v>
      </c>
      <c r="W18" s="908"/>
      <c r="X18" s="908"/>
      <c r="Y18" s="908"/>
      <c r="Z18" s="908"/>
      <c r="AA18" s="908"/>
      <c r="AB18" s="908"/>
      <c r="AC18" s="908"/>
      <c r="AD18" s="908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zoomScale="115" zoomScaleNormal="115" workbookViewId="0">
      <selection activeCell="F25" sqref="F25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919" t="s">
        <v>552</v>
      </c>
      <c r="G2" s="920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921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922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923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x14ac:dyDescent="0.25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854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924" t="s">
        <v>552</v>
      </c>
      <c r="F41" s="923"/>
      <c r="G41" s="924" t="s">
        <v>618</v>
      </c>
      <c r="H41" s="925"/>
      <c r="I41" s="925"/>
      <c r="J41" s="925"/>
      <c r="K41" s="925"/>
      <c r="L41" s="925"/>
      <c r="M41" s="925"/>
      <c r="N41" s="923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926" t="s">
        <v>619</v>
      </c>
      <c r="L42" s="908"/>
      <c r="M42" s="908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927">
        <f>+G114</f>
        <v>6.0871741676095334</v>
      </c>
      <c r="F46" s="930">
        <f>+L114*1000</f>
        <v>77.841777688967127</v>
      </c>
      <c r="G46" s="931">
        <v>6.0871741676095334</v>
      </c>
      <c r="H46" s="932" t="s">
        <v>628</v>
      </c>
      <c r="I46" s="932">
        <v>40670.462586675276</v>
      </c>
      <c r="J46" s="933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928"/>
      <c r="F47" s="922"/>
      <c r="G47" s="928"/>
      <c r="H47" s="908"/>
      <c r="I47" s="908"/>
      <c r="J47" s="922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929"/>
      <c r="F48" s="923"/>
      <c r="G48" s="929"/>
      <c r="H48" s="925"/>
      <c r="I48" s="925"/>
      <c r="J48" s="923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912" t="s">
        <v>658</v>
      </c>
      <c r="C106" s="910"/>
      <c r="D106" s="910"/>
      <c r="E106" s="910"/>
      <c r="F106" s="910"/>
      <c r="G106" s="910"/>
      <c r="H106" s="910"/>
      <c r="I106" s="910"/>
      <c r="J106" s="910"/>
      <c r="K106" s="910"/>
      <c r="L106" s="911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909" t="s">
        <v>660</v>
      </c>
      <c r="E107" s="910"/>
      <c r="F107" s="910"/>
      <c r="G107" s="910"/>
      <c r="H107" s="910"/>
      <c r="I107" s="910"/>
      <c r="J107" s="911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912" t="s">
        <v>701</v>
      </c>
      <c r="C123" s="910"/>
      <c r="D123" s="910"/>
      <c r="E123" s="910"/>
      <c r="F123" s="910"/>
      <c r="G123" s="910"/>
      <c r="H123" s="910"/>
      <c r="I123" s="910"/>
      <c r="J123" s="910"/>
      <c r="K123" s="910"/>
      <c r="L123" s="911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913"/>
      <c r="C140" s="914"/>
      <c r="D140" s="914"/>
      <c r="E140" s="915"/>
      <c r="F140" s="20"/>
      <c r="G140" s="916" t="s">
        <v>736</v>
      </c>
      <c r="H140" s="917"/>
      <c r="I140" s="918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34" workbookViewId="0">
      <selection activeCell="L38" sqref="L38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1.7109375" customWidth="1"/>
    <col min="13" max="13" width="15.5703125" customWidth="1"/>
    <col min="14" max="14" width="13" customWidth="1"/>
    <col min="15" max="15" width="14.140625" customWidth="1"/>
    <col min="16" max="16" width="13.140625" customWidth="1"/>
    <col min="17" max="17" width="15.140625" customWidth="1"/>
    <col min="18" max="18" width="12.28515625" customWidth="1"/>
    <col min="19" max="19" width="13.855468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 x14ac:dyDescent="0.25"/>
    <row r="35" spans="2:23" ht="15.75" customHeight="1" x14ac:dyDescent="0.25">
      <c r="D35" s="12">
        <v>287</v>
      </c>
      <c r="E35" s="12" t="s">
        <v>878</v>
      </c>
    </row>
    <row r="36" spans="2:23" ht="15.75" customHeight="1" x14ac:dyDescent="0.25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 x14ac:dyDescent="0.25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 x14ac:dyDescent="0.25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 x14ac:dyDescent="0.25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 x14ac:dyDescent="0.25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 x14ac:dyDescent="0.25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 x14ac:dyDescent="0.25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 x14ac:dyDescent="0.25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 x14ac:dyDescent="0.25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 x14ac:dyDescent="0.25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 x14ac:dyDescent="0.25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 x14ac:dyDescent="0.25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 x14ac:dyDescent="0.25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5:23" ht="15.75" customHeight="1" x14ac:dyDescent="0.25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5:23" ht="15.75" customHeight="1" x14ac:dyDescent="0.25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5:23" ht="15.75" customHeight="1" x14ac:dyDescent="0.25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5:23" ht="15.75" customHeight="1" x14ac:dyDescent="0.25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5:23" ht="15.75" customHeight="1" x14ac:dyDescent="0.25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5:23" ht="15.75" customHeight="1" x14ac:dyDescent="0.25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5:23" ht="15.75" customHeight="1" x14ac:dyDescent="0.25">
      <c r="E55">
        <f>64.7*L47</f>
        <v>308.56251739379042</v>
      </c>
      <c r="F55" s="806" t="s">
        <v>59</v>
      </c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5:23" ht="15.75" customHeight="1" x14ac:dyDescent="0.25">
      <c r="E56">
        <f>+E55*2.7</f>
        <v>833.11879696323422</v>
      </c>
      <c r="F56" s="806" t="s">
        <v>746</v>
      </c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5:23" ht="15.75" customHeight="1" x14ac:dyDescent="0.25">
      <c r="E57">
        <f>+E56/365</f>
        <v>2.2825172519540664</v>
      </c>
      <c r="F57" s="806" t="s">
        <v>1641</v>
      </c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5:23" ht="15.75" customHeight="1" x14ac:dyDescent="0.25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5:23" ht="15.75" customHeight="1" x14ac:dyDescent="0.25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5:23" ht="15.75" customHeight="1" x14ac:dyDescent="0.25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5:23" ht="15.75" customHeight="1" x14ac:dyDescent="0.25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5:23" ht="15.75" customHeight="1" x14ac:dyDescent="0.25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5:23" ht="15.75" customHeight="1" x14ac:dyDescent="0.25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5:23" ht="15.75" customHeight="1" x14ac:dyDescent="0.25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 x14ac:dyDescent="0.25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 x14ac:dyDescent="0.25"/>
    <row r="67" spans="9:19" ht="15.75" customHeight="1" x14ac:dyDescent="0.25"/>
    <row r="68" spans="9:19" ht="15.75" customHeight="1" x14ac:dyDescent="0.25"/>
    <row r="69" spans="9:19" ht="15.75" customHeight="1" x14ac:dyDescent="0.25"/>
    <row r="70" spans="9:19" ht="15.75" customHeight="1" x14ac:dyDescent="0.25"/>
    <row r="71" spans="9:19" ht="15.75" customHeight="1" x14ac:dyDescent="0.25"/>
    <row r="72" spans="9:19" ht="15.75" customHeight="1" x14ac:dyDescent="0.25">
      <c r="I72" s="12" t="s">
        <v>902</v>
      </c>
    </row>
    <row r="73" spans="9:19" ht="15.75" customHeight="1" x14ac:dyDescent="0.25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 x14ac:dyDescent="0.25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 x14ac:dyDescent="0.25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 x14ac:dyDescent="0.25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 x14ac:dyDescent="0.25"/>
    <row r="78" spans="9:19" ht="15.75" customHeight="1" x14ac:dyDescent="0.25"/>
    <row r="79" spans="9:19" ht="15.75" customHeight="1" x14ac:dyDescent="0.25"/>
    <row r="80" spans="9:19" ht="15.75" customHeight="1" x14ac:dyDescent="0.25">
      <c r="I80" s="12" t="s">
        <v>913</v>
      </c>
      <c r="J80" s="12">
        <v>5.6607000000000003</v>
      </c>
      <c r="K80" s="12" t="s">
        <v>905</v>
      </c>
    </row>
    <row r="81" spans="9:41" ht="15.75" customHeight="1" x14ac:dyDescent="0.25">
      <c r="J81" s="12" t="s">
        <v>908</v>
      </c>
      <c r="K81" s="12" t="s">
        <v>908</v>
      </c>
    </row>
    <row r="82" spans="9:41" ht="15.75" customHeight="1" x14ac:dyDescent="0.25">
      <c r="J82" s="12">
        <f>4.5/J80</f>
        <v>0.79495468758280774</v>
      </c>
      <c r="K82" s="12" t="s">
        <v>914</v>
      </c>
    </row>
    <row r="83" spans="9:41" ht="15.75" customHeight="1" x14ac:dyDescent="0.25">
      <c r="J83" s="12">
        <f>9/J80</f>
        <v>1.5899093751656155</v>
      </c>
      <c r="K83" s="12" t="s">
        <v>915</v>
      </c>
    </row>
    <row r="84" spans="9:41" ht="15.75" customHeight="1" x14ac:dyDescent="0.25"/>
    <row r="85" spans="9:41" ht="15.75" customHeight="1" x14ac:dyDescent="0.25"/>
    <row r="86" spans="9:41" ht="15.75" customHeight="1" x14ac:dyDescent="0.25"/>
    <row r="87" spans="9:41" ht="15.75" customHeight="1" x14ac:dyDescent="0.25"/>
    <row r="88" spans="9:41" ht="15.75" customHeight="1" x14ac:dyDescent="0.25"/>
    <row r="89" spans="9:41" ht="15.75" customHeight="1" x14ac:dyDescent="0.25"/>
    <row r="90" spans="9:41" ht="15.75" customHeight="1" x14ac:dyDescent="0.25"/>
    <row r="91" spans="9:41" ht="15.75" customHeight="1" x14ac:dyDescent="0.25"/>
    <row r="92" spans="9:41" ht="15.75" customHeight="1" x14ac:dyDescent="0.25"/>
    <row r="93" spans="9:41" ht="15.75" customHeight="1" x14ac:dyDescent="0.25"/>
    <row r="94" spans="9:41" ht="15.75" customHeight="1" x14ac:dyDescent="0.25"/>
    <row r="95" spans="9:41" ht="15.75" customHeight="1" x14ac:dyDescent="0.25">
      <c r="I95" s="12" t="s">
        <v>916</v>
      </c>
    </row>
    <row r="96" spans="9:41" ht="15.75" customHeight="1" x14ac:dyDescent="0.25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 x14ac:dyDescent="0.25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 x14ac:dyDescent="0.25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 x14ac:dyDescent="0.25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 x14ac:dyDescent="0.25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 x14ac:dyDescent="0.25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 x14ac:dyDescent="0.25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 x14ac:dyDescent="0.25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 x14ac:dyDescent="0.25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 x14ac:dyDescent="0.25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 x14ac:dyDescent="0.25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 x14ac:dyDescent="0.25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 x14ac:dyDescent="0.25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 x14ac:dyDescent="0.25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 x14ac:dyDescent="0.25"/>
    <row r="111" spans="9:41" ht="15.75" customHeight="1" x14ac:dyDescent="0.25"/>
    <row r="112" spans="9:41" ht="15.75" customHeight="1" x14ac:dyDescent="0.25"/>
    <row r="113" spans="8:17" ht="15.75" customHeight="1" x14ac:dyDescent="0.25">
      <c r="I113" s="12" t="s">
        <v>918</v>
      </c>
    </row>
    <row r="114" spans="8:17" ht="15.75" customHeight="1" x14ac:dyDescent="0.25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 x14ac:dyDescent="0.25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 x14ac:dyDescent="0.25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 x14ac:dyDescent="0.25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 x14ac:dyDescent="0.25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 x14ac:dyDescent="0.25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 x14ac:dyDescent="0.25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 x14ac:dyDescent="0.25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 x14ac:dyDescent="0.25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 x14ac:dyDescent="0.25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 x14ac:dyDescent="0.25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 x14ac:dyDescent="0.25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 x14ac:dyDescent="0.25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 x14ac:dyDescent="0.25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 x14ac:dyDescent="0.25"/>
    <row r="129" spans="9:17" ht="15.75" customHeight="1" x14ac:dyDescent="0.25"/>
    <row r="130" spans="9:17" ht="15.75" customHeight="1" x14ac:dyDescent="0.25"/>
    <row r="131" spans="9:17" ht="15.75" customHeight="1" x14ac:dyDescent="0.25"/>
    <row r="132" spans="9:17" ht="15.75" customHeight="1" x14ac:dyDescent="0.25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 x14ac:dyDescent="0.25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 x14ac:dyDescent="0.25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 x14ac:dyDescent="0.25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 x14ac:dyDescent="0.25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 x14ac:dyDescent="0.25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 x14ac:dyDescent="0.25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 x14ac:dyDescent="0.25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 x14ac:dyDescent="0.25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 x14ac:dyDescent="0.25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 x14ac:dyDescent="0.25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 x14ac:dyDescent="0.25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 x14ac:dyDescent="0.25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 x14ac:dyDescent="0.25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 x14ac:dyDescent="0.25"/>
    <row r="147" spans="9:17" ht="15.75" customHeight="1" x14ac:dyDescent="0.25"/>
    <row r="148" spans="9:17" ht="15.75" customHeight="1" x14ac:dyDescent="0.25"/>
    <row r="149" spans="9:17" ht="15.75" customHeight="1" x14ac:dyDescent="0.25"/>
    <row r="150" spans="9:17" ht="15.75" customHeight="1" x14ac:dyDescent="0.25"/>
    <row r="151" spans="9:17" ht="15.75" customHeight="1" x14ac:dyDescent="0.25"/>
    <row r="152" spans="9:17" ht="15.75" customHeight="1" x14ac:dyDescent="0.25"/>
    <row r="153" spans="9:17" ht="15.75" customHeight="1" x14ac:dyDescent="0.25"/>
    <row r="154" spans="9:17" ht="15.75" customHeight="1" x14ac:dyDescent="0.25"/>
    <row r="155" spans="9:17" ht="15.75" customHeight="1" x14ac:dyDescent="0.25"/>
    <row r="156" spans="9:17" ht="15.75" customHeight="1" x14ac:dyDescent="0.25"/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spans="9:17" ht="15.75" customHeight="1" x14ac:dyDescent="0.25"/>
    <row r="162" spans="9:17" ht="15.75" customHeight="1" x14ac:dyDescent="0.25"/>
    <row r="163" spans="9:17" ht="15.75" customHeight="1" x14ac:dyDescent="0.25"/>
    <row r="164" spans="9:17" ht="15.75" customHeight="1" x14ac:dyDescent="0.25"/>
    <row r="165" spans="9:17" ht="15.75" customHeight="1" x14ac:dyDescent="0.25"/>
    <row r="166" spans="9:17" ht="15.75" customHeight="1" x14ac:dyDescent="0.25"/>
    <row r="167" spans="9:17" ht="15.75" customHeight="1" x14ac:dyDescent="0.25">
      <c r="I167" s="12" t="s">
        <v>924</v>
      </c>
    </row>
    <row r="168" spans="9:17" ht="15.75" customHeight="1" x14ac:dyDescent="0.25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 x14ac:dyDescent="0.25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 x14ac:dyDescent="0.25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 x14ac:dyDescent="0.25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 x14ac:dyDescent="0.25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 x14ac:dyDescent="0.25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 x14ac:dyDescent="0.25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 x14ac:dyDescent="0.25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 x14ac:dyDescent="0.25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 x14ac:dyDescent="0.25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 x14ac:dyDescent="0.25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 x14ac:dyDescent="0.25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 x14ac:dyDescent="0.25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 x14ac:dyDescent="0.25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 x14ac:dyDescent="0.25"/>
    <row r="183" spans="9:17" ht="15.75" customHeight="1" x14ac:dyDescent="0.25"/>
    <row r="184" spans="9:17" ht="15.75" customHeight="1" x14ac:dyDescent="0.25"/>
    <row r="185" spans="9:17" ht="15.75" customHeight="1" x14ac:dyDescent="0.25"/>
    <row r="186" spans="9:17" ht="15.75" customHeight="1" x14ac:dyDescent="0.25">
      <c r="I186" s="12" t="s">
        <v>925</v>
      </c>
    </row>
    <row r="187" spans="9:17" ht="15.75" customHeight="1" x14ac:dyDescent="0.25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 x14ac:dyDescent="0.25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 x14ac:dyDescent="0.25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 x14ac:dyDescent="0.25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 x14ac:dyDescent="0.25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 x14ac:dyDescent="0.25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 x14ac:dyDescent="0.25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 x14ac:dyDescent="0.25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 x14ac:dyDescent="0.25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 x14ac:dyDescent="0.25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 x14ac:dyDescent="0.25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 x14ac:dyDescent="0.25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 x14ac:dyDescent="0.25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 x14ac:dyDescent="0.25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 x14ac:dyDescent="0.25"/>
    <row r="202" spans="8:17" ht="15.75" customHeight="1" x14ac:dyDescent="0.25"/>
    <row r="203" spans="8:17" ht="15.75" customHeight="1" x14ac:dyDescent="0.25"/>
    <row r="204" spans="8:17" ht="15.75" customHeight="1" x14ac:dyDescent="0.25">
      <c r="I204" s="12" t="s">
        <v>926</v>
      </c>
    </row>
    <row r="205" spans="8:17" ht="15.75" customHeight="1" x14ac:dyDescent="0.25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 x14ac:dyDescent="0.25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 x14ac:dyDescent="0.25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 x14ac:dyDescent="0.25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 x14ac:dyDescent="0.25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 x14ac:dyDescent="0.25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 x14ac:dyDescent="0.25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 x14ac:dyDescent="0.25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 x14ac:dyDescent="0.25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 x14ac:dyDescent="0.25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 x14ac:dyDescent="0.25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 x14ac:dyDescent="0.25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 x14ac:dyDescent="0.25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 x14ac:dyDescent="0.25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 x14ac:dyDescent="0.25"/>
    <row r="220" spans="8:17" ht="15.75" customHeight="1" x14ac:dyDescent="0.25"/>
    <row r="221" spans="8:17" ht="15.75" customHeight="1" x14ac:dyDescent="0.25">
      <c r="I221" s="14" t="s">
        <v>927</v>
      </c>
    </row>
    <row r="222" spans="8:17" ht="15.75" customHeight="1" x14ac:dyDescent="0.25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 x14ac:dyDescent="0.25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 x14ac:dyDescent="0.25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 x14ac:dyDescent="0.25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 x14ac:dyDescent="0.25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 x14ac:dyDescent="0.25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 x14ac:dyDescent="0.25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 x14ac:dyDescent="0.25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 x14ac:dyDescent="0.25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 x14ac:dyDescent="0.25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 x14ac:dyDescent="0.25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 x14ac:dyDescent="0.25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 x14ac:dyDescent="0.25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 x14ac:dyDescent="0.25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 x14ac:dyDescent="0.25"/>
    <row r="237" spans="8:17" ht="15.75" customHeight="1" x14ac:dyDescent="0.25"/>
    <row r="238" spans="8:17" ht="15.75" customHeight="1" x14ac:dyDescent="0.25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 x14ac:dyDescent="0.25"/>
    <row r="240" spans="8:17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C64" zoomScale="115" zoomScaleNormal="115" workbookViewId="0">
      <selection activeCell="D74" sqref="D74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4:20" ht="15.75" customHeight="1" x14ac:dyDescent="0.25">
      <c r="H65" s="235" t="s">
        <v>880</v>
      </c>
    </row>
    <row r="66" spans="4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4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25">
      <c r="D73" s="808" t="s">
        <v>976</v>
      </c>
      <c r="E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25">
      <c r="D74" s="809" t="s">
        <v>1642</v>
      </c>
      <c r="E74" s="266">
        <f>+'Bases de Cálculo'!D22</f>
        <v>9.3659149944684009E-2</v>
      </c>
      <c r="H74" s="12" t="s">
        <v>977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25">
      <c r="H76" s="12" t="s">
        <v>978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979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topLeftCell="A13" workbookViewId="0">
      <selection activeCell="B40" sqref="B40:F43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980</v>
      </c>
      <c r="G16" s="222">
        <v>0.16600000000000001</v>
      </c>
      <c r="H16" s="12" t="s">
        <v>981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980</v>
      </c>
      <c r="G17" s="280">
        <f>+(G16/1000000)</f>
        <v>1.66E-7</v>
      </c>
      <c r="H17" s="12" t="s">
        <v>982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980</v>
      </c>
      <c r="G18" s="12">
        <f>+G17*(1000000)</f>
        <v>0.16600000000000001</v>
      </c>
      <c r="H18" s="12" t="s">
        <v>983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980</v>
      </c>
      <c r="G19" s="281">
        <f>+G18/0.0036</f>
        <v>46.111111111111114</v>
      </c>
      <c r="H19" s="281" t="s">
        <v>984</v>
      </c>
    </row>
    <row r="21" spans="2:15" ht="15.75" customHeight="1" x14ac:dyDescent="0.3">
      <c r="B21" s="282" t="s">
        <v>985</v>
      </c>
    </row>
    <row r="22" spans="2:15" ht="15.75" customHeight="1" x14ac:dyDescent="0.25"/>
    <row r="23" spans="2:15" ht="15.75" customHeight="1" x14ac:dyDescent="0.25">
      <c r="B23" s="283" t="s">
        <v>986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987</v>
      </c>
    </row>
    <row r="32" spans="2:1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0" workbookViewId="0">
      <selection activeCell="B55" sqref="B55"/>
    </sheetView>
  </sheetViews>
  <sheetFormatPr baseColWidth="10" defaultColWidth="14.42578125" defaultRowHeight="15" customHeight="1" x14ac:dyDescent="0.25"/>
  <cols>
    <col min="1" max="1" width="10.7109375" customWidth="1"/>
    <col min="2" max="2" width="16.85546875" customWidth="1"/>
    <col min="3" max="3" width="25.28515625" customWidth="1"/>
    <col min="4" max="4" width="14.140625" customWidth="1"/>
    <col min="5" max="5" width="13.7109375" customWidth="1"/>
    <col min="6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991</v>
      </c>
    </row>
    <row r="4" spans="2:10" x14ac:dyDescent="0.25">
      <c r="B4" s="70"/>
      <c r="C4" s="70"/>
      <c r="J4" s="12" t="s">
        <v>992</v>
      </c>
    </row>
    <row r="5" spans="2:10" x14ac:dyDescent="0.25">
      <c r="B5" s="289"/>
      <c r="C5" s="202"/>
      <c r="D5" s="934" t="s">
        <v>993</v>
      </c>
      <c r="E5" s="908"/>
      <c r="F5" s="908"/>
    </row>
    <row r="6" spans="2:10" x14ac:dyDescent="0.25">
      <c r="B6" s="289"/>
      <c r="C6" s="290"/>
      <c r="D6" s="290" t="s">
        <v>994</v>
      </c>
      <c r="E6" s="290" t="s">
        <v>995</v>
      </c>
      <c r="F6" s="290" t="s">
        <v>996</v>
      </c>
    </row>
    <row r="7" spans="2:10" x14ac:dyDescent="0.25">
      <c r="B7" s="935" t="s">
        <v>997</v>
      </c>
      <c r="C7" s="290" t="s">
        <v>998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908"/>
      <c r="C8" s="290" t="s">
        <v>999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996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1000</v>
      </c>
      <c r="C10" s="290" t="s">
        <v>1001</v>
      </c>
      <c r="E10" s="292">
        <v>0.6</v>
      </c>
      <c r="F10" s="293"/>
    </row>
    <row r="11" spans="2:10" x14ac:dyDescent="0.25">
      <c r="B11" s="70"/>
      <c r="C11" s="290" t="s">
        <v>1002</v>
      </c>
      <c r="D11" s="294"/>
      <c r="E11" s="292">
        <v>0.25</v>
      </c>
      <c r="F11" s="293"/>
    </row>
    <row r="12" spans="2:10" x14ac:dyDescent="0.25">
      <c r="B12" s="70"/>
      <c r="C12" s="290" t="s">
        <v>1003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994</v>
      </c>
      <c r="E14" s="214" t="s">
        <v>995</v>
      </c>
      <c r="F14" s="214" t="s">
        <v>996</v>
      </c>
    </row>
    <row r="15" spans="2:10" x14ac:dyDescent="0.25">
      <c r="B15" s="70" t="s">
        <v>997</v>
      </c>
      <c r="C15" s="214" t="s">
        <v>1004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1005</v>
      </c>
      <c r="C16" s="14" t="s">
        <v>1006</v>
      </c>
      <c r="D16" s="295">
        <v>0.7</v>
      </c>
      <c r="E16" s="295">
        <f>45000/150000</f>
        <v>0.3</v>
      </c>
    </row>
    <row r="17" spans="2:8" x14ac:dyDescent="0.25">
      <c r="B17" s="70"/>
    </row>
    <row r="18" spans="2:8" x14ac:dyDescent="0.25">
      <c r="B18" s="70"/>
    </row>
    <row r="19" spans="2:8" x14ac:dyDescent="0.25">
      <c r="B19" s="70"/>
    </row>
    <row r="20" spans="2:8" x14ac:dyDescent="0.25">
      <c r="B20" s="70"/>
      <c r="C20" s="14"/>
      <c r="D20" s="14" t="s">
        <v>994</v>
      </c>
      <c r="E20" s="12" t="s">
        <v>995</v>
      </c>
    </row>
    <row r="21" spans="2:8" ht="15.75" customHeight="1" x14ac:dyDescent="0.25">
      <c r="B21" s="70"/>
      <c r="C21" s="14" t="s">
        <v>1007</v>
      </c>
      <c r="D21" s="14">
        <v>250</v>
      </c>
      <c r="E21" s="14">
        <v>150</v>
      </c>
    </row>
    <row r="22" spans="2:8" ht="15.75" customHeight="1" x14ac:dyDescent="0.25">
      <c r="B22" s="70"/>
    </row>
    <row r="23" spans="2:8" ht="15.75" customHeight="1" x14ac:dyDescent="0.25">
      <c r="B23" s="70"/>
    </row>
    <row r="24" spans="2:8" ht="15.75" customHeight="1" x14ac:dyDescent="0.25">
      <c r="B24" s="70"/>
      <c r="D24" s="14" t="s">
        <v>994</v>
      </c>
      <c r="E24" s="12" t="s">
        <v>995</v>
      </c>
    </row>
    <row r="25" spans="2:8" ht="15.75" customHeight="1" x14ac:dyDescent="0.25">
      <c r="B25" s="70" t="s">
        <v>1008</v>
      </c>
      <c r="C25" s="12" t="s">
        <v>1009</v>
      </c>
      <c r="D25" s="266">
        <v>0.83</v>
      </c>
      <c r="E25" s="266">
        <v>0.93700000000000006</v>
      </c>
    </row>
    <row r="26" spans="2:8" ht="15.75" customHeight="1" x14ac:dyDescent="0.25">
      <c r="B26" s="70" t="s">
        <v>1000</v>
      </c>
      <c r="D26" s="293">
        <v>220000</v>
      </c>
      <c r="E26" s="293">
        <v>150000</v>
      </c>
    </row>
    <row r="27" spans="2:8" ht="15.75" customHeight="1" x14ac:dyDescent="0.25">
      <c r="B27" s="70"/>
    </row>
    <row r="28" spans="2:8" ht="15.75" customHeight="1" x14ac:dyDescent="0.25">
      <c r="B28" s="70"/>
      <c r="D28" s="14" t="s">
        <v>994</v>
      </c>
      <c r="E28" s="12" t="s">
        <v>995</v>
      </c>
    </row>
    <row r="29" spans="2:8" ht="15.75" customHeight="1" x14ac:dyDescent="0.25">
      <c r="B29" s="70" t="s">
        <v>1008</v>
      </c>
      <c r="C29" s="12" t="s">
        <v>1010</v>
      </c>
      <c r="D29" s="228">
        <v>0.61</v>
      </c>
      <c r="E29" s="228">
        <v>0.97</v>
      </c>
    </row>
    <row r="30" spans="2:8" ht="15.75" customHeight="1" x14ac:dyDescent="0.25">
      <c r="B30" s="816"/>
      <c r="C30" s="817"/>
      <c r="D30" s="227" t="s">
        <v>994</v>
      </c>
      <c r="E30" s="817" t="s">
        <v>995</v>
      </c>
    </row>
    <row r="31" spans="2:8" ht="15.75" customHeight="1" x14ac:dyDescent="0.25">
      <c r="B31" s="816" t="s">
        <v>1011</v>
      </c>
      <c r="C31" s="817" t="s">
        <v>1012</v>
      </c>
      <c r="D31" s="817">
        <v>180000</v>
      </c>
      <c r="E31" s="817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25">
      <c r="B32" s="816"/>
      <c r="C32" s="817" t="s">
        <v>1013</v>
      </c>
      <c r="D32" s="817">
        <v>222000</v>
      </c>
      <c r="E32" s="817">
        <v>165000</v>
      </c>
    </row>
    <row r="33" spans="2:9" ht="15.75" customHeight="1" x14ac:dyDescent="0.25">
      <c r="B33" s="816"/>
      <c r="C33" s="817" t="s">
        <v>1014</v>
      </c>
      <c r="D33" s="818">
        <f t="shared" ref="D33:E33" si="3">+D31/D32</f>
        <v>0.81081081081081086</v>
      </c>
      <c r="E33" s="818">
        <f t="shared" si="3"/>
        <v>0.78787878787878785</v>
      </c>
    </row>
    <row r="34" spans="2:9" ht="15.75" customHeight="1" x14ac:dyDescent="0.25">
      <c r="B34" s="70" t="s">
        <v>1008</v>
      </c>
      <c r="C34" s="12" t="s">
        <v>1012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1013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1014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994</v>
      </c>
      <c r="E39" s="12" t="s">
        <v>995</v>
      </c>
    </row>
    <row r="40" spans="2:9" ht="15.75" customHeight="1" x14ac:dyDescent="0.25">
      <c r="B40" s="70"/>
      <c r="C40" s="12" t="s">
        <v>1015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1016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936" t="s">
        <v>1005</v>
      </c>
      <c r="C45" s="12" t="s">
        <v>1017</v>
      </c>
    </row>
    <row r="46" spans="2:9" ht="15.75" customHeight="1" x14ac:dyDescent="0.25">
      <c r="B46" s="908"/>
      <c r="D46" s="14" t="s">
        <v>994</v>
      </c>
      <c r="E46" s="12" t="s">
        <v>995</v>
      </c>
      <c r="F46" s="12" t="s">
        <v>1018</v>
      </c>
    </row>
    <row r="47" spans="2:9" ht="15.75" customHeight="1" x14ac:dyDescent="0.25">
      <c r="B47" s="908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908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908"/>
      <c r="C49" s="12" t="s">
        <v>1019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908"/>
      <c r="C50" s="12" t="s">
        <v>1020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25">
      <c r="B52" s="297"/>
      <c r="C52" s="12" t="s">
        <v>1021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995</v>
      </c>
      <c r="H54" s="293"/>
    </row>
    <row r="55" spans="2:15" ht="15.75" customHeight="1" x14ac:dyDescent="0.25">
      <c r="B55" s="70" t="s">
        <v>1022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1019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1020</v>
      </c>
      <c r="D58" s="293">
        <f>+D31-D59</f>
        <v>42300</v>
      </c>
      <c r="E58" s="298"/>
      <c r="F58" s="293"/>
      <c r="H58" s="293"/>
    </row>
    <row r="59" spans="2:15" ht="15.75" customHeight="1" x14ac:dyDescent="0.25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1005</v>
      </c>
      <c r="C62" s="301" t="s">
        <v>1023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994</v>
      </c>
      <c r="E63" s="12" t="s">
        <v>995</v>
      </c>
      <c r="G63" s="305"/>
    </row>
    <row r="64" spans="2:15" ht="15.75" customHeight="1" x14ac:dyDescent="0.25">
      <c r="B64" s="304"/>
      <c r="C64" s="12" t="s">
        <v>1024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1025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1026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1025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1019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1027</v>
      </c>
      <c r="L66" s="228">
        <v>4.7E-2</v>
      </c>
      <c r="M66" s="12">
        <f t="shared" si="6"/>
        <v>4.7E-2</v>
      </c>
      <c r="N66" s="12" t="s">
        <v>1025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1020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1020</v>
      </c>
      <c r="L67" s="228">
        <v>9.1999999999999998E-2</v>
      </c>
      <c r="M67" s="12">
        <f t="shared" si="6"/>
        <v>9.1999999999999998E-2</v>
      </c>
      <c r="N67" s="12" t="s">
        <v>1025</v>
      </c>
    </row>
    <row r="68" spans="2:17" ht="15.75" customHeight="1" x14ac:dyDescent="0.25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1025</v>
      </c>
      <c r="O68" s="12">
        <f>+M68*'4.1 Ref_Cart'!E8</f>
        <v>6.0871741676095334</v>
      </c>
    </row>
    <row r="69" spans="2:17" ht="15.75" customHeight="1" x14ac:dyDescent="0.25">
      <c r="B69" s="308" t="s">
        <v>1022</v>
      </c>
      <c r="D69" s="14" t="s">
        <v>994</v>
      </c>
      <c r="E69" s="12" t="s">
        <v>995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1024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1019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1020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25">
      <c r="B75" s="308" t="s">
        <v>1028</v>
      </c>
      <c r="D75" s="14" t="s">
        <v>994</v>
      </c>
      <c r="E75" s="12" t="s">
        <v>995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823">
        <f>+D76*$D$31</f>
        <v>58320</v>
      </c>
    </row>
    <row r="77" spans="2:17" ht="15.75" customHeight="1" x14ac:dyDescent="0.25">
      <c r="B77" s="304"/>
      <c r="C77" s="12" t="s">
        <v>63</v>
      </c>
      <c r="D77" s="266">
        <v>0.32900000000000001</v>
      </c>
      <c r="G77" s="823">
        <f t="shared" ref="G77:G79" si="9">+D77*$D$31</f>
        <v>59220</v>
      </c>
    </row>
    <row r="78" spans="2:17" ht="15.75" customHeight="1" x14ac:dyDescent="0.25">
      <c r="B78" s="304"/>
      <c r="C78" s="12" t="s">
        <v>1019</v>
      </c>
      <c r="D78" s="266">
        <v>9.9000000000000005E-2</v>
      </c>
      <c r="G78" s="823">
        <f t="shared" si="9"/>
        <v>17820</v>
      </c>
    </row>
    <row r="79" spans="2:17" ht="15.75" customHeight="1" x14ac:dyDescent="0.25">
      <c r="B79" s="304"/>
      <c r="C79" s="12" t="s">
        <v>1029</v>
      </c>
      <c r="D79" s="266">
        <v>0.248</v>
      </c>
      <c r="G79" s="823">
        <f t="shared" si="9"/>
        <v>44640</v>
      </c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25">
      <c r="B81" s="70" t="s">
        <v>1028</v>
      </c>
      <c r="C81" s="306" t="s">
        <v>1030</v>
      </c>
      <c r="D81" s="14" t="s">
        <v>994</v>
      </c>
      <c r="E81" s="12" t="s">
        <v>995</v>
      </c>
      <c r="I81" s="821" t="s">
        <v>994</v>
      </c>
      <c r="J81" s="821" t="s">
        <v>995</v>
      </c>
    </row>
    <row r="82" spans="2:10" ht="15.75" customHeight="1" x14ac:dyDescent="0.25">
      <c r="B82" s="70"/>
      <c r="C82" s="817" t="s">
        <v>60</v>
      </c>
      <c r="D82" s="819">
        <v>0.24</v>
      </c>
      <c r="E82" s="819">
        <v>0.19</v>
      </c>
      <c r="I82" s="822">
        <f>+D82*$D$31</f>
        <v>43200</v>
      </c>
      <c r="J82" s="822">
        <f>+E82*$E$31</f>
        <v>24700</v>
      </c>
    </row>
    <row r="83" spans="2:10" ht="15.75" customHeight="1" x14ac:dyDescent="0.25">
      <c r="B83" s="70"/>
      <c r="C83" s="817" t="s">
        <v>63</v>
      </c>
      <c r="D83" s="819">
        <v>0.28999999999999998</v>
      </c>
      <c r="E83" s="819">
        <v>0.52</v>
      </c>
      <c r="I83" s="822">
        <f t="shared" ref="I83:I85" si="10">+D83*$D$31</f>
        <v>52200</v>
      </c>
      <c r="J83" s="822">
        <f t="shared" ref="J83:J85" si="11">+E83*$E$31</f>
        <v>67600</v>
      </c>
    </row>
    <row r="84" spans="2:10" ht="15.75" customHeight="1" x14ac:dyDescent="0.25">
      <c r="B84" s="70"/>
      <c r="C84" s="817" t="s">
        <v>1019</v>
      </c>
      <c r="D84" s="819">
        <v>0.09</v>
      </c>
      <c r="E84" s="819">
        <v>7.0000000000000007E-2</v>
      </c>
      <c r="I84" s="822">
        <f t="shared" si="10"/>
        <v>16200</v>
      </c>
      <c r="J84" s="822">
        <f t="shared" si="11"/>
        <v>9100</v>
      </c>
    </row>
    <row r="85" spans="2:10" ht="15.75" customHeight="1" x14ac:dyDescent="0.25">
      <c r="B85" s="70"/>
      <c r="C85" s="817" t="s">
        <v>22</v>
      </c>
      <c r="D85" s="819">
        <v>0.01</v>
      </c>
      <c r="E85" s="819">
        <v>0.01</v>
      </c>
      <c r="I85" s="822">
        <f t="shared" si="10"/>
        <v>1800</v>
      </c>
      <c r="J85" s="822">
        <f t="shared" si="11"/>
        <v>1300</v>
      </c>
    </row>
    <row r="86" spans="2:10" ht="15.75" customHeight="1" x14ac:dyDescent="0.25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25">
      <c r="B87" s="70"/>
    </row>
    <row r="88" spans="2:10" ht="15.75" customHeight="1" x14ac:dyDescent="0.25">
      <c r="B88" s="70"/>
    </row>
    <row r="89" spans="2:10" ht="15.75" customHeight="1" x14ac:dyDescent="0.25">
      <c r="B89" s="70"/>
    </row>
    <row r="90" spans="2:10" ht="15.75" customHeight="1" x14ac:dyDescent="0.25">
      <c r="B90" s="70" t="s">
        <v>1005</v>
      </c>
    </row>
    <row r="91" spans="2:10" ht="15.75" customHeight="1" x14ac:dyDescent="0.25">
      <c r="B91" s="70"/>
      <c r="C91" s="214"/>
      <c r="D91" s="214" t="s">
        <v>1031</v>
      </c>
      <c r="E91" s="214"/>
    </row>
    <row r="92" spans="2:10" ht="15.75" customHeight="1" x14ac:dyDescent="0.25">
      <c r="B92" s="70"/>
      <c r="C92" s="214" t="s">
        <v>1032</v>
      </c>
      <c r="D92" s="313" t="s">
        <v>1033</v>
      </c>
      <c r="E92" s="214" t="s">
        <v>1034</v>
      </c>
    </row>
    <row r="93" spans="2:10" ht="15.75" customHeight="1" x14ac:dyDescent="0.25">
      <c r="B93" s="70"/>
      <c r="C93" s="214" t="s">
        <v>1035</v>
      </c>
      <c r="D93" s="313">
        <v>0.307</v>
      </c>
      <c r="E93" s="313">
        <v>0.43</v>
      </c>
    </row>
    <row r="94" spans="2:10" ht="15.75" customHeight="1" x14ac:dyDescent="0.25">
      <c r="B94" s="70"/>
      <c r="C94" s="214" t="s">
        <v>1036</v>
      </c>
      <c r="D94" s="313">
        <v>0.29599999999999999</v>
      </c>
      <c r="E94" s="313">
        <v>0.33600000000000002</v>
      </c>
    </row>
    <row r="95" spans="2:10" ht="15.75" customHeight="1" x14ac:dyDescent="0.25">
      <c r="B95" s="70"/>
      <c r="C95" s="214" t="s">
        <v>1037</v>
      </c>
      <c r="D95" s="313">
        <v>0.10100000000000001</v>
      </c>
      <c r="E95" s="313">
        <v>0.114</v>
      </c>
    </row>
    <row r="96" spans="2:10" ht="15.75" customHeight="1" x14ac:dyDescent="0.25">
      <c r="B96" s="70"/>
      <c r="C96" s="214" t="s">
        <v>1020</v>
      </c>
      <c r="D96" s="314">
        <v>0.29599999999999999</v>
      </c>
      <c r="E96" s="314">
        <v>0.12</v>
      </c>
    </row>
    <row r="97" spans="2:5" ht="15.75" customHeight="1" x14ac:dyDescent="0.25">
      <c r="B97" s="70"/>
      <c r="E97" s="820"/>
    </row>
    <row r="98" spans="2:5" ht="15.75" customHeight="1" x14ac:dyDescent="0.25">
      <c r="B98" s="70"/>
    </row>
    <row r="99" spans="2:5" ht="15.75" customHeight="1" x14ac:dyDescent="0.25">
      <c r="B99" s="70"/>
    </row>
    <row r="100" spans="2:5" ht="15.75" customHeight="1" x14ac:dyDescent="0.25">
      <c r="B100" s="70" t="s">
        <v>1028</v>
      </c>
      <c r="C100" s="70"/>
      <c r="D100" s="12" t="s">
        <v>1038</v>
      </c>
    </row>
    <row r="101" spans="2:5" ht="15.75" customHeight="1" x14ac:dyDescent="0.25">
      <c r="B101" s="70"/>
      <c r="C101" s="12" t="s">
        <v>1024</v>
      </c>
      <c r="D101" s="266">
        <v>0.60299999999999998</v>
      </c>
    </row>
    <row r="102" spans="2:5" ht="15.75" customHeight="1" x14ac:dyDescent="0.25">
      <c r="B102" s="70"/>
      <c r="C102" s="12" t="s">
        <v>63</v>
      </c>
      <c r="D102" s="266">
        <v>0.57799999999999996</v>
      </c>
    </row>
    <row r="103" spans="2:5" ht="15.75" customHeight="1" x14ac:dyDescent="0.25">
      <c r="B103" s="70"/>
      <c r="C103" s="12" t="s">
        <v>1019</v>
      </c>
      <c r="D103" s="228">
        <v>0.64</v>
      </c>
    </row>
    <row r="104" spans="2:5" ht="15.75" customHeight="1" x14ac:dyDescent="0.25">
      <c r="B104" s="70"/>
      <c r="C104" s="12" t="s">
        <v>1039</v>
      </c>
      <c r="D104" s="228">
        <v>0.7</v>
      </c>
    </row>
    <row r="105" spans="2:5" ht="15.75" customHeight="1" x14ac:dyDescent="0.25">
      <c r="B105" s="70"/>
    </row>
    <row r="106" spans="2:5" ht="15.75" customHeight="1" x14ac:dyDescent="0.25">
      <c r="B106" s="70"/>
    </row>
    <row r="107" spans="2:5" ht="15.75" customHeight="1" x14ac:dyDescent="0.25">
      <c r="B107" s="70"/>
    </row>
    <row r="108" spans="2:5" ht="15.75" customHeight="1" x14ac:dyDescent="0.25">
      <c r="B108" s="70"/>
    </row>
    <row r="109" spans="2:5" ht="15.75" customHeight="1" x14ac:dyDescent="0.25">
      <c r="B109" s="70"/>
    </row>
    <row r="110" spans="2:5" ht="15.75" customHeight="1" x14ac:dyDescent="0.25">
      <c r="B110" s="70"/>
    </row>
    <row r="111" spans="2:5" ht="15.75" customHeight="1" x14ac:dyDescent="0.25">
      <c r="B111" s="70"/>
    </row>
    <row r="112" spans="2:5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opLeftCell="A41" zoomScale="115" zoomScaleNormal="115" workbookViewId="0">
      <selection activeCell="E37" sqref="E37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7" t="s">
        <v>1687</v>
      </c>
      <c r="B1" s="857"/>
      <c r="C1" s="12" t="s">
        <v>1040</v>
      </c>
      <c r="D1" s="12">
        <v>119.96</v>
      </c>
      <c r="E1" s="12" t="s">
        <v>774</v>
      </c>
    </row>
    <row r="2" spans="1:24" x14ac:dyDescent="0.25">
      <c r="A2" s="862">
        <f>41868000000/(1000000000000000)</f>
        <v>4.1868E-5</v>
      </c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3" spans="1:24" x14ac:dyDescent="0.25">
      <c r="A3" s="857" t="s">
        <v>1688</v>
      </c>
      <c r="J3" s="828" t="s">
        <v>1652</v>
      </c>
      <c r="K3">
        <v>8.33</v>
      </c>
      <c r="L3" s="821" t="s">
        <v>1653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1654</v>
      </c>
      <c r="M4" s="821" t="s">
        <v>1655</v>
      </c>
      <c r="O4" s="14" t="s">
        <v>585</v>
      </c>
      <c r="P4" s="821" t="s">
        <v>1656</v>
      </c>
    </row>
    <row r="5" spans="1:24" ht="75" x14ac:dyDescent="0.25">
      <c r="C5" s="14"/>
      <c r="D5" s="14" t="str">
        <f>'Bases de Cálculo'!G4</f>
        <v>kt/PJ</v>
      </c>
      <c r="E5" s="825" t="s">
        <v>662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1651</v>
      </c>
      <c r="M5" s="613" t="s">
        <v>765</v>
      </c>
      <c r="N5" s="428" t="str">
        <f>'5. Data'!M66</f>
        <v>Type of Oil producing</v>
      </c>
      <c r="O5" s="428" t="str">
        <f>'5. Data'!N66</f>
        <v>OFISCA</v>
      </c>
      <c r="P5" s="826" t="s">
        <v>1650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1670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38"/>
      <c r="U7" s="937" t="s">
        <v>1650</v>
      </c>
      <c r="V7" s="937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1671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939"/>
      <c r="U8" s="831" t="s">
        <v>1657</v>
      </c>
      <c r="V8" s="831" t="s">
        <v>653</v>
      </c>
      <c r="W8" s="832" t="s">
        <v>765</v>
      </c>
      <c r="X8" s="831" t="s">
        <v>1658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1671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1661</v>
      </c>
      <c r="T9" s="831" t="s">
        <v>1196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1671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1660</v>
      </c>
      <c r="T10" s="831" t="s">
        <v>1195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1671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1659</v>
      </c>
      <c r="T11" s="831" t="s">
        <v>1194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1671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1671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1671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1671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1671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1671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1682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7" t="s">
        <v>1040</v>
      </c>
      <c r="C20">
        <v>120.1</v>
      </c>
      <c r="D20" s="857" t="s">
        <v>774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7" t="s">
        <v>1040</v>
      </c>
      <c r="C21">
        <f>+C20/1000</f>
        <v>0.1201</v>
      </c>
      <c r="D21" s="857" t="s">
        <v>1701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1662</v>
      </c>
      <c r="S29" s="835"/>
    </row>
    <row r="30" spans="1:19" x14ac:dyDescent="0.25">
      <c r="C30" s="869"/>
    </row>
    <row r="31" spans="1:19" x14ac:dyDescent="0.25">
      <c r="C31" s="856" t="s">
        <v>1011</v>
      </c>
      <c r="D31" s="821" t="s">
        <v>1663</v>
      </c>
      <c r="E31">
        <v>20</v>
      </c>
      <c r="F31" s="821" t="s">
        <v>1658</v>
      </c>
    </row>
    <row r="32" spans="1:19" x14ac:dyDescent="0.25">
      <c r="C32" s="856" t="s">
        <v>997</v>
      </c>
      <c r="D32" s="821" t="s">
        <v>1664</v>
      </c>
      <c r="E32" s="836">
        <v>0.3</v>
      </c>
    </row>
    <row r="33" spans="3:10" x14ac:dyDescent="0.25">
      <c r="C33" s="869"/>
      <c r="G33" s="841"/>
      <c r="H33" s="841" t="s">
        <v>1657</v>
      </c>
      <c r="I33" s="841" t="s">
        <v>1654</v>
      </c>
      <c r="J33" s="841" t="s">
        <v>653</v>
      </c>
    </row>
    <row r="34" spans="3:10" x14ac:dyDescent="0.25">
      <c r="C34" s="869"/>
      <c r="D34" s="852" t="s">
        <v>1667</v>
      </c>
      <c r="G34" s="841" t="s">
        <v>1658</v>
      </c>
      <c r="H34" s="841" t="s">
        <v>1665</v>
      </c>
      <c r="I34" s="841" t="s">
        <v>765</v>
      </c>
      <c r="J34" s="841" t="s">
        <v>1666</v>
      </c>
    </row>
    <row r="35" spans="3:10" x14ac:dyDescent="0.25">
      <c r="C35" s="869"/>
      <c r="D35" s="821" t="s">
        <v>907</v>
      </c>
      <c r="E35" s="836">
        <v>0.3</v>
      </c>
      <c r="G35" s="842">
        <f>+X9</f>
        <v>46.232114566966032</v>
      </c>
      <c r="H35" s="841">
        <v>30</v>
      </c>
      <c r="I35" s="843">
        <f>+(141.5/(G35+131.5))*$K$4</f>
        <v>278.5382378452905</v>
      </c>
      <c r="J35" s="845">
        <f>+I35*H35</f>
        <v>8356.1471353587149</v>
      </c>
    </row>
    <row r="36" spans="3:10" x14ac:dyDescent="0.25">
      <c r="C36" s="869"/>
      <c r="D36" s="821" t="s">
        <v>909</v>
      </c>
      <c r="E36" s="844">
        <f>+H36/100</f>
        <v>0</v>
      </c>
      <c r="G36" s="842">
        <f>+X10</f>
        <v>22.068612719099065</v>
      </c>
      <c r="H36" s="842">
        <v>0</v>
      </c>
      <c r="I36" s="843">
        <f>+(141.5/(G36+131.5))*$K$4</f>
        <v>322.36528756402009</v>
      </c>
      <c r="J36" s="845">
        <f>+I36*H36</f>
        <v>0</v>
      </c>
    </row>
    <row r="37" spans="3:10" x14ac:dyDescent="0.25">
      <c r="C37" s="869"/>
      <c r="D37" s="821" t="s">
        <v>911</v>
      </c>
      <c r="E37" s="844">
        <f>+H37/100</f>
        <v>0.70983175746414107</v>
      </c>
      <c r="G37" s="842">
        <f>+X11</f>
        <v>12.986528564073609</v>
      </c>
      <c r="H37" s="842">
        <v>70.983175746414105</v>
      </c>
      <c r="I37" s="843">
        <f t="shared" ref="I37" si="6">+(141.5/(G37+131.5))*$K$4</f>
        <v>342.62841312604837</v>
      </c>
      <c r="J37" s="845">
        <f>+I37*H37</f>
        <v>24320.852864641271</v>
      </c>
    </row>
    <row r="38" spans="3:10" x14ac:dyDescent="0.25">
      <c r="C38" s="869"/>
      <c r="E38" s="838">
        <f>+SUM(E35:E37)</f>
        <v>1.0098317574641411</v>
      </c>
      <c r="G38" s="841">
        <f>+(141.5/(I38/K4)-131.5)</f>
        <v>20</v>
      </c>
      <c r="H38" s="842">
        <f>+SUM(H35:H37)</f>
        <v>100.9831757464141</v>
      </c>
      <c r="I38" s="843">
        <f>+(141.5/(G39+131.5))*$K$4</f>
        <v>326.7669306930693</v>
      </c>
      <c r="J38" s="846">
        <f>+SUM(J35:J37)</f>
        <v>32676.999999999985</v>
      </c>
    </row>
    <row r="39" spans="3:10" x14ac:dyDescent="0.25">
      <c r="C39" s="869"/>
      <c r="G39" s="847">
        <f>+E31</f>
        <v>20</v>
      </c>
      <c r="H39" s="847"/>
      <c r="I39" s="847"/>
      <c r="J39" s="848">
        <f>+I38*H38</f>
        <v>32997.962390294531</v>
      </c>
    </row>
    <row r="41" spans="3:10" x14ac:dyDescent="0.25">
      <c r="C41" s="856" t="s">
        <v>1000</v>
      </c>
      <c r="D41" s="852" t="s">
        <v>1668</v>
      </c>
      <c r="G41" s="841"/>
      <c r="H41" s="841" t="s">
        <v>1657</v>
      </c>
      <c r="I41" s="841" t="s">
        <v>1654</v>
      </c>
      <c r="J41" s="841" t="s">
        <v>653</v>
      </c>
    </row>
    <row r="42" spans="3:10" x14ac:dyDescent="0.25">
      <c r="D42" s="821" t="s">
        <v>907</v>
      </c>
      <c r="E42" s="836">
        <v>0.15</v>
      </c>
      <c r="G42" s="841" t="s">
        <v>1658</v>
      </c>
      <c r="H42" s="841" t="s">
        <v>1665</v>
      </c>
      <c r="I42" s="841" t="s">
        <v>765</v>
      </c>
      <c r="J42" s="841" t="s">
        <v>1666</v>
      </c>
    </row>
    <row r="43" spans="3:10" x14ac:dyDescent="0.25">
      <c r="D43" s="821" t="s">
        <v>909</v>
      </c>
      <c r="E43" s="844">
        <v>0.25</v>
      </c>
      <c r="G43" s="842">
        <f>+G35</f>
        <v>46.232114566966032</v>
      </c>
      <c r="H43" s="841">
        <v>30</v>
      </c>
      <c r="I43" s="843">
        <f>+(141.5/(G43+131.5))*$K$4</f>
        <v>278.5382378452905</v>
      </c>
      <c r="J43" s="845">
        <f>+I43*H43</f>
        <v>8356.1471353587149</v>
      </c>
    </row>
    <row r="44" spans="3:10" x14ac:dyDescent="0.25">
      <c r="D44" s="821" t="s">
        <v>911</v>
      </c>
      <c r="E44" s="844">
        <v>0.6</v>
      </c>
      <c r="G44" s="842">
        <f>+G36</f>
        <v>22.068612719099065</v>
      </c>
      <c r="H44" s="842">
        <v>0</v>
      </c>
      <c r="I44" s="843">
        <f>+(141.5/(G44+131.5))*$K$4</f>
        <v>322.36528756402009</v>
      </c>
      <c r="J44" s="845">
        <f>+I44*H44</f>
        <v>0</v>
      </c>
    </row>
    <row r="45" spans="3:10" x14ac:dyDescent="0.25">
      <c r="E45" s="838">
        <f>+SUM(E42:E44)</f>
        <v>1</v>
      </c>
      <c r="G45" s="842">
        <f>+G37</f>
        <v>12.986528564073609</v>
      </c>
      <c r="H45" s="842">
        <v>70</v>
      </c>
      <c r="I45" s="843">
        <f t="shared" ref="I45" si="7">+(141.5/(G45+131.5))*$K$4</f>
        <v>342.62841312604837</v>
      </c>
      <c r="J45" s="845">
        <f>+I45*H45</f>
        <v>23983.988918823386</v>
      </c>
    </row>
    <row r="46" spans="3:10" x14ac:dyDescent="0.25">
      <c r="G46" s="841">
        <f>+(141.5/(I46/K4)-131.5)</f>
        <v>20</v>
      </c>
      <c r="H46" s="842">
        <f>+SUM(H43:H45)</f>
        <v>100</v>
      </c>
      <c r="I46" s="843">
        <f>+(141.5/(G47+131.5))*$K$4</f>
        <v>326.7669306930693</v>
      </c>
      <c r="J46" s="846">
        <f>+SUM(J43:J45)</f>
        <v>32340.136054182101</v>
      </c>
    </row>
    <row r="47" spans="3:10" x14ac:dyDescent="0.25">
      <c r="G47" s="847">
        <f>+E31</f>
        <v>20</v>
      </c>
      <c r="H47" s="847"/>
      <c r="I47" s="847"/>
      <c r="J47" s="848">
        <f>+I46*H46</f>
        <v>32676.69306930693</v>
      </c>
    </row>
    <row r="49" spans="3:6" x14ac:dyDescent="0.25">
      <c r="D49" s="851" t="s">
        <v>612</v>
      </c>
    </row>
    <row r="50" spans="3:6" x14ac:dyDescent="0.25">
      <c r="D50" s="821" t="s">
        <v>1675</v>
      </c>
      <c r="E50">
        <f>+General_SEC_SGC!F20+General_SEC_SGC!F21+General_SEC_SGC!F22+General_SEC_SGC!F23+General_SEC_SGC!F24+General_SEC_SGC!F25+General_SEC_SGC!F26</f>
        <v>2.7603</v>
      </c>
      <c r="F50" s="821" t="s">
        <v>556</v>
      </c>
    </row>
    <row r="51" spans="3:6" x14ac:dyDescent="0.25">
      <c r="D51" s="840" t="s">
        <v>1669</v>
      </c>
      <c r="E51" s="850">
        <f>+E50*($C$8/1000)</f>
        <v>1.6802426854852597E-2</v>
      </c>
      <c r="F51" s="840" t="s">
        <v>1672</v>
      </c>
    </row>
    <row r="52" spans="3:6" x14ac:dyDescent="0.25">
      <c r="D52" s="840" t="s">
        <v>1669</v>
      </c>
      <c r="E52" s="850">
        <f>+E51*1000</f>
        <v>16.802426854852598</v>
      </c>
      <c r="F52" s="840" t="s">
        <v>1673</v>
      </c>
    </row>
    <row r="53" spans="3:6" x14ac:dyDescent="0.25">
      <c r="D53" s="840" t="s">
        <v>1669</v>
      </c>
      <c r="E53" s="850">
        <f>+E52</f>
        <v>16.802426854852598</v>
      </c>
      <c r="F53" s="840" t="s">
        <v>1674</v>
      </c>
    </row>
    <row r="56" spans="3:6" ht="18.75" x14ac:dyDescent="0.3">
      <c r="D56" s="835" t="s">
        <v>1676</v>
      </c>
    </row>
    <row r="58" spans="3:6" x14ac:dyDescent="0.25">
      <c r="D58" s="851" t="s">
        <v>1715</v>
      </c>
    </row>
    <row r="59" spans="3:6" x14ac:dyDescent="0.25">
      <c r="C59" s="70" t="s">
        <v>1681</v>
      </c>
      <c r="D59" s="18" t="s">
        <v>1106</v>
      </c>
      <c r="E59" s="12">
        <v>165</v>
      </c>
      <c r="F59" s="365" t="s">
        <v>589</v>
      </c>
    </row>
    <row r="60" spans="3:6" x14ac:dyDescent="0.25">
      <c r="C60" s="70" t="s">
        <v>1680</v>
      </c>
      <c r="D60" s="18" t="s">
        <v>1108</v>
      </c>
      <c r="E60" s="12">
        <v>155</v>
      </c>
      <c r="F60" s="365" t="s">
        <v>589</v>
      </c>
    </row>
    <row r="61" spans="3:6" x14ac:dyDescent="0.25">
      <c r="C61" s="853"/>
      <c r="D61" s="18" t="s">
        <v>1678</v>
      </c>
      <c r="E61" s="275">
        <f>+E59*365*C8/1000</f>
        <v>366.60006424428417</v>
      </c>
      <c r="F61" s="365" t="s">
        <v>59</v>
      </c>
    </row>
    <row r="62" spans="3:6" x14ac:dyDescent="0.25">
      <c r="C62" s="853"/>
      <c r="D62" s="18" t="s">
        <v>1679</v>
      </c>
      <c r="E62" s="275">
        <f>+E60*365*C9/1000</f>
        <v>344.3818785325094</v>
      </c>
      <c r="F62" s="365" t="s">
        <v>59</v>
      </c>
    </row>
    <row r="63" spans="3:6" x14ac:dyDescent="0.25">
      <c r="C63" s="853"/>
      <c r="D63" s="18"/>
      <c r="E63" s="275"/>
      <c r="F63" s="365"/>
    </row>
    <row r="64" spans="3:6" x14ac:dyDescent="0.25">
      <c r="C64" s="70" t="s">
        <v>1718</v>
      </c>
      <c r="D64" s="18" t="s">
        <v>1713</v>
      </c>
      <c r="E64" s="868">
        <f>+E60/E59</f>
        <v>0.93939393939393945</v>
      </c>
      <c r="F64" s="365"/>
    </row>
    <row r="65" spans="1:9" x14ac:dyDescent="0.25">
      <c r="C65" s="70" t="s">
        <v>1717</v>
      </c>
      <c r="D65" s="18" t="s">
        <v>1714</v>
      </c>
      <c r="E65" s="868">
        <v>0.95</v>
      </c>
      <c r="F65" s="365"/>
    </row>
    <row r="66" spans="1:9" x14ac:dyDescent="0.25">
      <c r="C66" s="853"/>
      <c r="D66" s="18"/>
      <c r="E66" s="868"/>
      <c r="F66" s="365"/>
    </row>
    <row r="67" spans="1:9" x14ac:dyDescent="0.25">
      <c r="C67" s="70" t="s">
        <v>1720</v>
      </c>
      <c r="D67" s="18" t="s">
        <v>1716</v>
      </c>
      <c r="E67" s="871">
        <v>4.8099999999999996</v>
      </c>
      <c r="F67" s="870" t="s">
        <v>1719</v>
      </c>
    </row>
    <row r="68" spans="1:9" x14ac:dyDescent="0.25">
      <c r="A68" s="872">
        <v>8.2176851262728707</v>
      </c>
      <c r="C68" s="853"/>
      <c r="D68" s="18" t="s">
        <v>1721</v>
      </c>
      <c r="E68" s="871">
        <f>+E67/A68</f>
        <v>0.58532298647241721</v>
      </c>
      <c r="F68" s="870" t="s">
        <v>849</v>
      </c>
    </row>
    <row r="70" spans="1:9" x14ac:dyDescent="0.25">
      <c r="D70" s="851" t="s">
        <v>1677</v>
      </c>
    </row>
    <row r="71" spans="1:9" x14ac:dyDescent="0.25">
      <c r="E71" s="863" t="s">
        <v>662</v>
      </c>
      <c r="F71" s="286" t="s">
        <v>59</v>
      </c>
    </row>
    <row r="72" spans="1:9" x14ac:dyDescent="0.25">
      <c r="C72" s="856" t="s">
        <v>1681</v>
      </c>
      <c r="D72" s="857" t="s">
        <v>1692</v>
      </c>
      <c r="E72" s="812">
        <f>0.17+0.015+0.035+0.043</f>
        <v>0.26300000000000001</v>
      </c>
      <c r="F72" s="839">
        <f>+E72*365*C21</f>
        <v>11.528999500000001</v>
      </c>
    </row>
    <row r="73" spans="1:9" x14ac:dyDescent="0.25">
      <c r="C73" s="856" t="s">
        <v>1681</v>
      </c>
      <c r="D73" s="857" t="s">
        <v>1691</v>
      </c>
      <c r="E73">
        <v>33.799999999999997</v>
      </c>
      <c r="F73" s="839">
        <f>+(E73*C17/1000)*365</f>
        <v>12.365388545948255</v>
      </c>
      <c r="I73" s="857"/>
    </row>
    <row r="74" spans="1:9" x14ac:dyDescent="0.25">
      <c r="C74" s="856" t="s">
        <v>1690</v>
      </c>
      <c r="D74" s="857" t="s">
        <v>1693</v>
      </c>
      <c r="E74" s="839">
        <f>+G79-E73</f>
        <v>37.977777777777774</v>
      </c>
      <c r="F74" s="839">
        <f>+(E74*C7/1000)*365</f>
        <v>13.994371732299081</v>
      </c>
    </row>
    <row r="75" spans="1:9" x14ac:dyDescent="0.25">
      <c r="C75" s="856" t="s">
        <v>1683</v>
      </c>
      <c r="D75" s="821" t="s">
        <v>858</v>
      </c>
      <c r="E75" s="858">
        <v>0</v>
      </c>
      <c r="F75" s="858">
        <v>0</v>
      </c>
    </row>
    <row r="76" spans="1:9" x14ac:dyDescent="0.25">
      <c r="C76" s="856" t="s">
        <v>1684</v>
      </c>
      <c r="D76" s="857" t="s">
        <v>1694</v>
      </c>
      <c r="E76">
        <v>347</v>
      </c>
      <c r="F76" s="812">
        <f>+(E76/E14)/1000</f>
        <v>0.51374637610155072</v>
      </c>
    </row>
    <row r="77" spans="1:9" x14ac:dyDescent="0.25">
      <c r="C77" s="856"/>
      <c r="D77" s="821"/>
    </row>
    <row r="79" spans="1:9" x14ac:dyDescent="0.25">
      <c r="C79" s="856" t="s">
        <v>1689</v>
      </c>
      <c r="D79" s="857" t="s">
        <v>1685</v>
      </c>
      <c r="E79" s="839">
        <v>165</v>
      </c>
      <c r="F79" s="857" t="s">
        <v>1686</v>
      </c>
      <c r="G79" s="860">
        <f>+SLOPE(G80:G81,E80:E81)*E79+INTERCEPT(G80:G81,E80:E81)</f>
        <v>71.777777777777771</v>
      </c>
      <c r="H79" s="857" t="s">
        <v>614</v>
      </c>
    </row>
    <row r="80" spans="1:9" x14ac:dyDescent="0.25">
      <c r="A80" s="855"/>
      <c r="C80" s="856" t="s">
        <v>1681</v>
      </c>
      <c r="D80" s="857" t="s">
        <v>1685</v>
      </c>
      <c r="E80">
        <v>200</v>
      </c>
      <c r="F80" s="857" t="s">
        <v>1686</v>
      </c>
      <c r="G80">
        <v>78</v>
      </c>
      <c r="H80" s="861" t="s">
        <v>614</v>
      </c>
      <c r="I80" s="821"/>
    </row>
    <row r="81" spans="1:9" x14ac:dyDescent="0.25">
      <c r="A81" s="812"/>
      <c r="B81" s="822"/>
      <c r="C81" s="856" t="s">
        <v>1681</v>
      </c>
      <c r="D81" s="857" t="s">
        <v>1685</v>
      </c>
      <c r="E81">
        <v>245</v>
      </c>
      <c r="F81" s="857" t="s">
        <v>1686</v>
      </c>
      <c r="G81" s="859">
        <v>86</v>
      </c>
      <c r="H81" s="857" t="s">
        <v>614</v>
      </c>
    </row>
    <row r="82" spans="1:9" x14ac:dyDescent="0.25">
      <c r="A82" s="812"/>
      <c r="B82" s="822"/>
      <c r="C82" s="821"/>
      <c r="D82" s="821"/>
      <c r="E82" s="812"/>
      <c r="F82" s="821"/>
    </row>
    <row r="83" spans="1:9" x14ac:dyDescent="0.25">
      <c r="A83" s="812"/>
      <c r="B83" s="839"/>
      <c r="C83" s="821"/>
      <c r="D83" s="851" t="s">
        <v>1695</v>
      </c>
      <c r="E83" s="812"/>
      <c r="F83" s="821"/>
    </row>
    <row r="85" spans="1:9" x14ac:dyDescent="0.25">
      <c r="D85" s="857" t="s">
        <v>1696</v>
      </c>
      <c r="E85" s="807">
        <f>+F72/E61</f>
        <v>3.144843829682923E-2</v>
      </c>
      <c r="F85" s="857" t="s">
        <v>609</v>
      </c>
      <c r="I85" s="812"/>
    </row>
    <row r="86" spans="1:9" x14ac:dyDescent="0.25">
      <c r="D86" s="857" t="s">
        <v>1697</v>
      </c>
      <c r="E86">
        <f>+F73/E61</f>
        <v>3.372991374521029E-2</v>
      </c>
      <c r="F86" s="857" t="s">
        <v>609</v>
      </c>
      <c r="I86" s="812"/>
    </row>
    <row r="87" spans="1:9" x14ac:dyDescent="0.25">
      <c r="D87" s="857" t="s">
        <v>1698</v>
      </c>
      <c r="E87">
        <f>+F74/E61</f>
        <v>3.8173402290987937E-2</v>
      </c>
      <c r="F87" s="857" t="s">
        <v>609</v>
      </c>
      <c r="I87" s="812"/>
    </row>
    <row r="88" spans="1:9" x14ac:dyDescent="0.25">
      <c r="D88" s="857" t="s">
        <v>1699</v>
      </c>
      <c r="E88" s="858">
        <v>0</v>
      </c>
      <c r="I88" s="812"/>
    </row>
    <row r="89" spans="1:9" x14ac:dyDescent="0.25">
      <c r="D89" s="857" t="s">
        <v>1700</v>
      </c>
      <c r="E89">
        <f>+F76/E62</f>
        <v>1.4917927107278191E-3</v>
      </c>
      <c r="F89" s="857" t="s">
        <v>609</v>
      </c>
      <c r="I89" s="812"/>
    </row>
    <row r="90" spans="1:9" x14ac:dyDescent="0.25">
      <c r="E90" s="864">
        <f>+SUM(E85:E89)</f>
        <v>0.10484354704375527</v>
      </c>
      <c r="F90" s="857" t="s">
        <v>609</v>
      </c>
      <c r="H90" s="812">
        <f>+E90*$E$62</f>
        <v>36.106217682939963</v>
      </c>
      <c r="I90" s="882" t="s">
        <v>59</v>
      </c>
    </row>
    <row r="93" spans="1:9" ht="18.75" x14ac:dyDescent="0.3">
      <c r="D93" s="835" t="s">
        <v>1702</v>
      </c>
    </row>
    <row r="95" spans="1:9" x14ac:dyDescent="0.25">
      <c r="E95" s="391"/>
      <c r="F95" s="392" t="s">
        <v>662</v>
      </c>
      <c r="G95" s="392" t="s">
        <v>1069</v>
      </c>
    </row>
    <row r="96" spans="1:9" x14ac:dyDescent="0.25">
      <c r="B96" s="856" t="s">
        <v>1705</v>
      </c>
      <c r="C96" s="856" t="s">
        <v>1704</v>
      </c>
      <c r="E96" s="393" t="s">
        <v>1120</v>
      </c>
      <c r="F96" s="394">
        <f>394.77/299.7</f>
        <v>1.3172172172172172</v>
      </c>
      <c r="G96" s="395">
        <f>+F96</f>
        <v>1.3172172172172172</v>
      </c>
      <c r="H96" s="12" t="s">
        <v>1121</v>
      </c>
    </row>
    <row r="97" spans="2:8" x14ac:dyDescent="0.25">
      <c r="B97" s="856"/>
      <c r="C97" s="856"/>
      <c r="E97" s="393"/>
      <c r="F97" s="394"/>
      <c r="G97" s="395"/>
      <c r="H97" s="12"/>
    </row>
    <row r="99" spans="2:8" ht="18.75" x14ac:dyDescent="0.3">
      <c r="D99" s="835" t="s">
        <v>1703</v>
      </c>
    </row>
    <row r="101" spans="2:8" x14ac:dyDescent="0.25">
      <c r="E101" s="865" t="s">
        <v>662</v>
      </c>
      <c r="F101" s="865" t="s">
        <v>1069</v>
      </c>
      <c r="H101" s="857" t="s">
        <v>1731</v>
      </c>
    </row>
    <row r="102" spans="2:8" x14ac:dyDescent="0.25">
      <c r="C102" s="856" t="s">
        <v>1681</v>
      </c>
      <c r="D102" s="857" t="s">
        <v>1707</v>
      </c>
      <c r="E102" s="866">
        <f>+E103+E104+E105+E106+E107</f>
        <v>160.5</v>
      </c>
      <c r="F102" s="839">
        <f>+SUM(F103:F108)</f>
        <v>331.52912709130356</v>
      </c>
      <c r="G102" s="857" t="s">
        <v>59</v>
      </c>
    </row>
    <row r="103" spans="2:8" x14ac:dyDescent="0.25">
      <c r="C103" s="856" t="s">
        <v>1681</v>
      </c>
      <c r="D103" s="857" t="s">
        <v>1035</v>
      </c>
      <c r="E103">
        <f>36.8+12.6</f>
        <v>49.4</v>
      </c>
      <c r="F103" s="839">
        <f>+E103*365*C11/1000</f>
        <v>96.121435081229123</v>
      </c>
      <c r="G103" s="857" t="s">
        <v>59</v>
      </c>
      <c r="H103" s="844">
        <f>+F103/SUM($F$103:$F$108)</f>
        <v>0.28993360530508427</v>
      </c>
    </row>
    <row r="104" spans="2:8" x14ac:dyDescent="0.25">
      <c r="C104" s="856" t="s">
        <v>1681</v>
      </c>
      <c r="D104" s="857" t="s">
        <v>1096</v>
      </c>
      <c r="E104">
        <v>94</v>
      </c>
      <c r="F104" s="839">
        <f>+E104*365*C12/1000</f>
        <v>194.56685801250259</v>
      </c>
      <c r="G104" s="857" t="s">
        <v>59</v>
      </c>
      <c r="H104" s="844">
        <f t="shared" ref="H104:H107" si="8">+F104/SUM($F$103:$F$108)</f>
        <v>0.58687711610605675</v>
      </c>
    </row>
    <row r="105" spans="2:8" x14ac:dyDescent="0.25">
      <c r="C105" s="856" t="s">
        <v>1681</v>
      </c>
      <c r="D105" s="857" t="s">
        <v>1706</v>
      </c>
      <c r="E105">
        <v>10.199999999999999</v>
      </c>
      <c r="F105" s="839">
        <f>+E105*365*C13/1000</f>
        <v>17.542012028306285</v>
      </c>
      <c r="G105" s="857" t="s">
        <v>59</v>
      </c>
      <c r="H105" s="844">
        <f t="shared" si="8"/>
        <v>5.2912430899247027E-2</v>
      </c>
    </row>
    <row r="106" spans="2:8" x14ac:dyDescent="0.25">
      <c r="C106" s="856" t="s">
        <v>1681</v>
      </c>
      <c r="D106" s="857" t="s">
        <v>858</v>
      </c>
      <c r="E106">
        <v>1.4</v>
      </c>
      <c r="F106" s="839">
        <f>+E106*365*C15/1000</f>
        <v>2.7904793352524089</v>
      </c>
      <c r="G106" s="857" t="s">
        <v>59</v>
      </c>
      <c r="H106" s="844">
        <f t="shared" si="8"/>
        <v>8.4169959959020657E-3</v>
      </c>
    </row>
    <row r="107" spans="2:8" x14ac:dyDescent="0.25">
      <c r="C107" s="856" t="s">
        <v>1681</v>
      </c>
      <c r="D107" s="857" t="s">
        <v>22</v>
      </c>
      <c r="E107" s="857">
        <v>5.5</v>
      </c>
      <c r="F107" s="839">
        <f>+E107*365*C14/1000</f>
        <v>8.1429540880649238</v>
      </c>
      <c r="G107" s="857" t="s">
        <v>59</v>
      </c>
      <c r="H107" s="844">
        <f t="shared" si="8"/>
        <v>2.4561805955053667E-2</v>
      </c>
    </row>
    <row r="108" spans="2:8" x14ac:dyDescent="0.25">
      <c r="C108" s="856" t="s">
        <v>1710</v>
      </c>
      <c r="D108" s="857" t="s">
        <v>1709</v>
      </c>
      <c r="E108">
        <f>+F108*E17</f>
        <v>33.799999999999997</v>
      </c>
      <c r="F108" s="839">
        <f>+F73</f>
        <v>12.365388545948255</v>
      </c>
      <c r="G108" s="857" t="s">
        <v>59</v>
      </c>
      <c r="H108" s="844">
        <f>+F108/SUM($F$103:$F$108)</f>
        <v>3.7298045738656353E-2</v>
      </c>
    </row>
    <row r="109" spans="2:8" x14ac:dyDescent="0.25">
      <c r="H109" s="836">
        <f>+SUM(H103:H108)</f>
        <v>1</v>
      </c>
    </row>
    <row r="111" spans="2:8" x14ac:dyDescent="0.25">
      <c r="D111" s="851" t="s">
        <v>1708</v>
      </c>
    </row>
    <row r="112" spans="2:8" x14ac:dyDescent="0.25">
      <c r="D112" s="857" t="s">
        <v>1035</v>
      </c>
      <c r="E112" s="811">
        <f>+F103/$E$61</f>
        <v>0.26219699464421958</v>
      </c>
      <c r="F112" s="857" t="s">
        <v>609</v>
      </c>
    </row>
    <row r="113" spans="1:6" x14ac:dyDescent="0.25">
      <c r="D113" s="857" t="s">
        <v>1096</v>
      </c>
      <c r="E113" s="811">
        <f t="shared" ref="E113:E117" si="9">+F104/$E$61</f>
        <v>0.53073328945968989</v>
      </c>
      <c r="F113" s="857" t="s">
        <v>609</v>
      </c>
    </row>
    <row r="114" spans="1:6" x14ac:dyDescent="0.25">
      <c r="D114" s="857" t="s">
        <v>1706</v>
      </c>
      <c r="E114" s="811">
        <f t="shared" si="9"/>
        <v>4.7850542700988603E-2</v>
      </c>
      <c r="F114" s="857" t="s">
        <v>609</v>
      </c>
    </row>
    <row r="115" spans="1:6" x14ac:dyDescent="0.25">
      <c r="D115" s="857" t="s">
        <v>858</v>
      </c>
      <c r="E115" s="811">
        <f t="shared" si="9"/>
        <v>7.611780813527003E-3</v>
      </c>
      <c r="F115" s="857" t="s">
        <v>609</v>
      </c>
    </row>
    <row r="116" spans="1:6" x14ac:dyDescent="0.25">
      <c r="D116" s="857" t="s">
        <v>22</v>
      </c>
      <c r="E116" s="811">
        <f t="shared" si="9"/>
        <v>2.2212091274045335E-2</v>
      </c>
      <c r="F116" s="857" t="s">
        <v>609</v>
      </c>
    </row>
    <row r="117" spans="1:6" x14ac:dyDescent="0.25">
      <c r="D117" s="857" t="s">
        <v>1709</v>
      </c>
      <c r="E117" s="811">
        <f t="shared" si="9"/>
        <v>3.372991374521029E-2</v>
      </c>
      <c r="F117" s="857" t="s">
        <v>609</v>
      </c>
    </row>
    <row r="119" spans="1:6" x14ac:dyDescent="0.25">
      <c r="C119" s="856" t="s">
        <v>1722</v>
      </c>
      <c r="D119" s="857" t="s">
        <v>1711</v>
      </c>
      <c r="E119" s="867">
        <f>+F102/E61</f>
        <v>0.90433461263768067</v>
      </c>
      <c r="F119" s="857"/>
    </row>
    <row r="120" spans="1:6" x14ac:dyDescent="0.25">
      <c r="C120" s="856"/>
    </row>
    <row r="124" spans="1:6" x14ac:dyDescent="0.25">
      <c r="A124" s="327" t="s">
        <v>310</v>
      </c>
      <c r="B124" s="1"/>
      <c r="C124" s="1"/>
      <c r="D124" s="1"/>
      <c r="E124" s="1"/>
      <c r="F124" s="1"/>
    </row>
    <row r="125" spans="1:6" x14ac:dyDescent="0.25">
      <c r="A125" s="331" t="s">
        <v>311</v>
      </c>
      <c r="B125" s="332" t="s">
        <v>42</v>
      </c>
      <c r="C125" s="332" t="s">
        <v>312</v>
      </c>
      <c r="D125" s="332" t="s">
        <v>313</v>
      </c>
      <c r="E125" s="332" t="s">
        <v>314</v>
      </c>
      <c r="F125" s="333" t="s">
        <v>315</v>
      </c>
    </row>
    <row r="126" spans="1:6" x14ac:dyDescent="0.25">
      <c r="A126" s="1" t="s">
        <v>329</v>
      </c>
      <c r="B126" s="1"/>
      <c r="C126" s="17" t="s">
        <v>1051</v>
      </c>
      <c r="D126" s="1" t="s">
        <v>1052</v>
      </c>
      <c r="E126" s="1" t="s">
        <v>59</v>
      </c>
      <c r="F126" s="1" t="s">
        <v>328</v>
      </c>
    </row>
    <row r="127" spans="1:6" x14ac:dyDescent="0.25">
      <c r="A127" s="1"/>
      <c r="B127" s="1"/>
      <c r="C127" s="338" t="s">
        <v>1055</v>
      </c>
      <c r="D127" s="328" t="s">
        <v>1056</v>
      </c>
      <c r="E127" s="1" t="s">
        <v>59</v>
      </c>
      <c r="F127" s="1" t="s">
        <v>328</v>
      </c>
    </row>
    <row r="128" spans="1:6" x14ac:dyDescent="0.25">
      <c r="A128" s="1"/>
      <c r="B128" s="1"/>
      <c r="C128" s="342" t="s">
        <v>1057</v>
      </c>
      <c r="D128" s="328" t="s">
        <v>1058</v>
      </c>
      <c r="E128" s="1" t="s">
        <v>59</v>
      </c>
      <c r="F128" s="1" t="s">
        <v>328</v>
      </c>
    </row>
    <row r="129" spans="1:6" x14ac:dyDescent="0.25">
      <c r="A129" s="1"/>
      <c r="B129" s="1"/>
      <c r="C129" s="17" t="s">
        <v>1059</v>
      </c>
      <c r="D129" s="328" t="s">
        <v>1060</v>
      </c>
      <c r="E129" s="1" t="s">
        <v>59</v>
      </c>
      <c r="F129" s="1" t="s">
        <v>328</v>
      </c>
    </row>
    <row r="130" spans="1:6" x14ac:dyDescent="0.25">
      <c r="A130" s="328"/>
      <c r="B130" s="328"/>
      <c r="C130" s="18" t="s">
        <v>1061</v>
      </c>
      <c r="D130" s="12" t="s">
        <v>1062</v>
      </c>
      <c r="E130" s="1" t="s">
        <v>59</v>
      </c>
      <c r="F130" s="1" t="s">
        <v>328</v>
      </c>
    </row>
    <row r="131" spans="1:6" x14ac:dyDescent="0.25">
      <c r="A131" s="328"/>
      <c r="B131" s="328"/>
      <c r="C131" s="18" t="s">
        <v>1063</v>
      </c>
      <c r="D131" s="12" t="s">
        <v>1064</v>
      </c>
      <c r="E131" s="12" t="s">
        <v>59</v>
      </c>
      <c r="F131" s="344" t="s">
        <v>328</v>
      </c>
    </row>
    <row r="132" spans="1:6" x14ac:dyDescent="0.25">
      <c r="A132" s="328"/>
      <c r="B132" s="328"/>
      <c r="C132" s="18" t="s">
        <v>1065</v>
      </c>
      <c r="D132" s="328" t="s">
        <v>1066</v>
      </c>
      <c r="E132" s="328" t="s">
        <v>59</v>
      </c>
      <c r="F132" s="344" t="s">
        <v>328</v>
      </c>
    </row>
    <row r="133" spans="1:6" ht="15.75" customHeight="1" x14ac:dyDescent="0.25">
      <c r="A133" s="328"/>
      <c r="B133" s="328"/>
      <c r="C133" s="1" t="s">
        <v>1723</v>
      </c>
      <c r="D133" s="1" t="s">
        <v>1724</v>
      </c>
      <c r="E133" s="328" t="s">
        <v>59</v>
      </c>
      <c r="F133" s="344" t="s">
        <v>328</v>
      </c>
    </row>
    <row r="134" spans="1:6" x14ac:dyDescent="0.25">
      <c r="A134" s="328"/>
      <c r="B134" s="328"/>
      <c r="C134" s="1" t="s">
        <v>1725</v>
      </c>
      <c r="D134" s="1" t="s">
        <v>1726</v>
      </c>
      <c r="E134" s="328" t="s">
        <v>59</v>
      </c>
      <c r="F134" s="344" t="s">
        <v>328</v>
      </c>
    </row>
    <row r="135" spans="1:6" x14ac:dyDescent="0.25">
      <c r="A135" s="328"/>
      <c r="B135" s="328"/>
      <c r="F135" s="1"/>
    </row>
    <row r="136" spans="1:6" x14ac:dyDescent="0.25">
      <c r="A136" s="328"/>
      <c r="B136" s="328"/>
      <c r="F136" s="328"/>
    </row>
    <row r="137" spans="1:6" x14ac:dyDescent="0.25">
      <c r="A137" s="328"/>
      <c r="B137" s="328"/>
      <c r="C137" s="328"/>
      <c r="D137" s="328"/>
      <c r="E137" s="328"/>
      <c r="F137" s="328"/>
    </row>
    <row r="138" spans="1:6" x14ac:dyDescent="0.25">
      <c r="A138" s="348" t="s">
        <v>40</v>
      </c>
      <c r="B138" s="348"/>
      <c r="C138" s="349"/>
      <c r="D138" s="349"/>
      <c r="E138" s="349"/>
      <c r="F138" s="328"/>
    </row>
    <row r="139" spans="1:6" x14ac:dyDescent="0.25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25">
      <c r="A140" s="350" t="s">
        <v>58</v>
      </c>
      <c r="B140" s="350"/>
      <c r="C140" s="1" t="s">
        <v>1053</v>
      </c>
      <c r="D140" s="1" t="s">
        <v>1075</v>
      </c>
      <c r="E140" s="1" t="s">
        <v>59</v>
      </c>
      <c r="F140" s="328"/>
    </row>
    <row r="141" spans="1:6" x14ac:dyDescent="0.25">
      <c r="A141" s="1"/>
      <c r="B141" s="1"/>
      <c r="C141" s="12" t="s">
        <v>1078</v>
      </c>
      <c r="D141" s="12" t="s">
        <v>1079</v>
      </c>
      <c r="E141" s="12" t="s">
        <v>59</v>
      </c>
      <c r="F141" s="328"/>
    </row>
    <row r="142" spans="1:6" x14ac:dyDescent="0.25">
      <c r="A142" s="1"/>
      <c r="B142" s="328"/>
      <c r="C142" s="12" t="s">
        <v>1080</v>
      </c>
      <c r="D142" s="12" t="s">
        <v>1081</v>
      </c>
      <c r="E142" s="12" t="s">
        <v>59</v>
      </c>
      <c r="F142" s="328"/>
    </row>
    <row r="143" spans="1:6" x14ac:dyDescent="0.25">
      <c r="A143" s="1"/>
      <c r="B143" s="328"/>
      <c r="C143" s="18" t="s">
        <v>1082</v>
      </c>
      <c r="D143" s="12" t="s">
        <v>1083</v>
      </c>
      <c r="E143" s="12" t="s">
        <v>59</v>
      </c>
      <c r="F143" s="328"/>
    </row>
    <row r="144" spans="1:6" x14ac:dyDescent="0.25">
      <c r="C144" s="18" t="s">
        <v>1085</v>
      </c>
      <c r="D144" s="18" t="s">
        <v>1086</v>
      </c>
      <c r="E144" s="344" t="s">
        <v>59</v>
      </c>
    </row>
    <row r="145" spans="1:7" x14ac:dyDescent="0.25">
      <c r="A145" s="1"/>
      <c r="B145" s="1"/>
      <c r="C145" s="18" t="s">
        <v>1087</v>
      </c>
      <c r="D145" s="18" t="s">
        <v>1088</v>
      </c>
      <c r="E145" s="344" t="s">
        <v>59</v>
      </c>
    </row>
    <row r="146" spans="1:7" x14ac:dyDescent="0.25">
      <c r="A146" s="1"/>
      <c r="B146" s="1"/>
      <c r="C146" s="18" t="s">
        <v>1727</v>
      </c>
      <c r="D146" s="857" t="s">
        <v>1729</v>
      </c>
      <c r="E146" s="344" t="s">
        <v>59</v>
      </c>
      <c r="F146" s="328"/>
    </row>
    <row r="147" spans="1:7" x14ac:dyDescent="0.25">
      <c r="A147" s="1"/>
      <c r="B147" s="1"/>
      <c r="C147" s="1" t="s">
        <v>1728</v>
      </c>
      <c r="D147" s="1" t="s">
        <v>1730</v>
      </c>
      <c r="E147" s="344" t="s">
        <v>59</v>
      </c>
      <c r="F147" s="328"/>
    </row>
    <row r="148" spans="1:7" x14ac:dyDescent="0.25">
      <c r="A148" s="877"/>
      <c r="B148" s="877"/>
      <c r="C148" s="877"/>
      <c r="D148" s="877"/>
      <c r="E148" s="877"/>
      <c r="F148" s="328"/>
    </row>
    <row r="149" spans="1:7" x14ac:dyDescent="0.25">
      <c r="A149" s="336" t="s">
        <v>880</v>
      </c>
      <c r="B149" s="328"/>
      <c r="C149" s="1"/>
      <c r="D149" s="1"/>
    </row>
    <row r="150" spans="1:7" x14ac:dyDescent="0.25">
      <c r="A150" s="360" t="s">
        <v>312</v>
      </c>
      <c r="B150" s="360" t="s">
        <v>881</v>
      </c>
      <c r="C150" s="360" t="s">
        <v>882</v>
      </c>
      <c r="D150" s="360" t="s">
        <v>930</v>
      </c>
    </row>
    <row r="151" spans="1:7" x14ac:dyDescent="0.25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25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25">
      <c r="A153" s="813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25">
      <c r="A154" s="813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.75" x14ac:dyDescent="0.3">
      <c r="C157" s="835" t="s">
        <v>1662</v>
      </c>
    </row>
    <row r="160" spans="1:7" x14ac:dyDescent="0.25">
      <c r="C160" s="329" t="s">
        <v>880</v>
      </c>
      <c r="D160" s="1"/>
      <c r="E160" s="1"/>
      <c r="F160" s="1"/>
      <c r="G160" s="1"/>
    </row>
    <row r="161" spans="3:11" x14ac:dyDescent="0.25">
      <c r="C161" s="334" t="s">
        <v>312</v>
      </c>
      <c r="D161" s="209" t="s">
        <v>881</v>
      </c>
      <c r="E161" s="209" t="s">
        <v>882</v>
      </c>
      <c r="F161" s="209" t="s">
        <v>1050</v>
      </c>
      <c r="G161" s="335" t="s">
        <v>930</v>
      </c>
    </row>
    <row r="162" spans="3:11" x14ac:dyDescent="0.25">
      <c r="C162" s="16" t="str">
        <f>+C126</f>
        <v>MIX-OIL-REF1</v>
      </c>
      <c r="D162" s="16" t="s">
        <v>13</v>
      </c>
      <c r="E162" s="16" t="s">
        <v>1053</v>
      </c>
      <c r="F162" s="292">
        <f>+E42</f>
        <v>0.15</v>
      </c>
      <c r="G162" s="322">
        <v>1</v>
      </c>
    </row>
    <row r="163" spans="3:11" x14ac:dyDescent="0.25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25">
      <c r="D164" s="16" t="s">
        <v>17</v>
      </c>
      <c r="E164" s="214"/>
      <c r="F164" s="295">
        <f>+E43</f>
        <v>0.25</v>
      </c>
      <c r="G164" s="214"/>
    </row>
    <row r="166" spans="3:11" x14ac:dyDescent="0.25">
      <c r="C166" s="336"/>
      <c r="D166" s="207"/>
      <c r="E166" s="207"/>
    </row>
    <row r="167" spans="3:11" x14ac:dyDescent="0.25">
      <c r="C167" s="337" t="s">
        <v>312</v>
      </c>
      <c r="D167" s="337" t="s">
        <v>882</v>
      </c>
      <c r="E167" s="337" t="s">
        <v>1054</v>
      </c>
    </row>
    <row r="168" spans="3:11" x14ac:dyDescent="0.25">
      <c r="C168" s="339" t="str">
        <f>+C162</f>
        <v>MIX-OIL-REF1</v>
      </c>
      <c r="D168" s="340" t="s">
        <v>135</v>
      </c>
      <c r="E168" s="341">
        <f>+E50</f>
        <v>2.7603</v>
      </c>
    </row>
    <row r="171" spans="3:11" ht="18.75" x14ac:dyDescent="0.3">
      <c r="C171" s="835" t="s">
        <v>1676</v>
      </c>
    </row>
    <row r="174" spans="3:11" x14ac:dyDescent="0.25">
      <c r="C174" s="336" t="s">
        <v>1084</v>
      </c>
      <c r="D174" s="328"/>
      <c r="E174" s="1"/>
      <c r="G174" s="283" t="s">
        <v>986</v>
      </c>
    </row>
    <row r="175" spans="3:11" ht="15.75" thickBot="1" x14ac:dyDescent="0.3">
      <c r="C175" s="354" t="s">
        <v>312</v>
      </c>
      <c r="D175" s="355" t="s">
        <v>881</v>
      </c>
      <c r="E175" s="356" t="s">
        <v>974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.75" thickBot="1" x14ac:dyDescent="0.3">
      <c r="C176" s="357" t="s">
        <v>1055</v>
      </c>
      <c r="D176" s="1" t="str">
        <f>+E162</f>
        <v>OIL-REF1</v>
      </c>
      <c r="E176" s="879">
        <f>1/(1+SUM($E$85:$E$89))</f>
        <v>0.90510552618577855</v>
      </c>
      <c r="G176" s="211" t="s">
        <v>935</v>
      </c>
      <c r="H176" s="212" t="s">
        <v>556</v>
      </c>
      <c r="I176" s="212" t="s">
        <v>556</v>
      </c>
      <c r="J176" s="212" t="s">
        <v>556</v>
      </c>
      <c r="K176" s="212" t="s">
        <v>556</v>
      </c>
    </row>
    <row r="177" spans="3:11" s="874" customFormat="1" x14ac:dyDescent="0.25">
      <c r="C177" s="16"/>
      <c r="D177" s="873" t="str">
        <f>+C142</f>
        <v>H2-REF1</v>
      </c>
      <c r="E177" s="879">
        <f>E85/(1+SUM($E$85:$E$89))</f>
        <v>2.846415529237261E-2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4" customFormat="1" x14ac:dyDescent="0.25">
      <c r="C178" s="1"/>
      <c r="D178" s="875" t="str">
        <f>+C151</f>
        <v>GAS-REF1</v>
      </c>
      <c r="E178" s="879">
        <f>E87/(1+SUM($E$85:$E$89))</f>
        <v>3.4550957366886043E-2</v>
      </c>
    </row>
    <row r="179" spans="3:11" s="874" customFormat="1" x14ac:dyDescent="0.25">
      <c r="C179" s="1"/>
      <c r="D179" s="876" t="str">
        <f>+C154</f>
        <v>RFG1-REF1</v>
      </c>
      <c r="E179" s="879">
        <f>E86/(1+SUM($E$85:$E$89))</f>
        <v>3.0529131328559483E-2</v>
      </c>
      <c r="G179" s="878"/>
    </row>
    <row r="180" spans="3:11" s="874" customFormat="1" x14ac:dyDescent="0.25">
      <c r="D180" s="874" t="str">
        <f>+C153</f>
        <v>LPG-REF1</v>
      </c>
      <c r="E180" s="879">
        <f>E89/(1+SUM($E$85:$E$89))</f>
        <v>1.3502298264034115E-3</v>
      </c>
    </row>
    <row r="183" spans="3:11" ht="18.75" x14ac:dyDescent="0.3">
      <c r="C183" s="835" t="s">
        <v>1702</v>
      </c>
    </row>
    <row r="185" spans="3:11" x14ac:dyDescent="0.25">
      <c r="C185" s="329" t="s">
        <v>880</v>
      </c>
      <c r="D185" s="1"/>
      <c r="E185" s="1"/>
      <c r="F185" s="397"/>
      <c r="G185" s="1"/>
    </row>
    <row r="186" spans="3:11" x14ac:dyDescent="0.25">
      <c r="C186" s="355" t="s">
        <v>312</v>
      </c>
      <c r="D186" s="355" t="s">
        <v>928</v>
      </c>
      <c r="E186" s="355" t="s">
        <v>1114</v>
      </c>
      <c r="F186" s="355" t="s">
        <v>973</v>
      </c>
      <c r="G186" s="398" t="s">
        <v>974</v>
      </c>
    </row>
    <row r="187" spans="3:11" x14ac:dyDescent="0.25">
      <c r="C187" s="389" t="str">
        <f>+C128</f>
        <v>SMR-REF1</v>
      </c>
      <c r="D187" s="389" t="s">
        <v>1115</v>
      </c>
      <c r="E187" s="16">
        <v>2019</v>
      </c>
      <c r="F187" s="399"/>
      <c r="G187" s="389"/>
    </row>
    <row r="188" spans="3:11" x14ac:dyDescent="0.25">
      <c r="C188" s="389" t="str">
        <f>+C187</f>
        <v>SMR-REF1</v>
      </c>
      <c r="D188" s="16" t="s">
        <v>930</v>
      </c>
      <c r="E188" s="16">
        <v>2019</v>
      </c>
      <c r="F188" s="1"/>
      <c r="G188" s="400">
        <f>1/G96</f>
        <v>0.75917622919674754</v>
      </c>
    </row>
    <row r="189" spans="3:11" x14ac:dyDescent="0.25">
      <c r="C189" s="1"/>
      <c r="D189" s="1"/>
      <c r="E189" s="1"/>
      <c r="F189" s="1"/>
      <c r="G189" s="1"/>
    </row>
    <row r="190" spans="3:11" x14ac:dyDescent="0.25">
      <c r="C190" s="1"/>
      <c r="D190" s="1"/>
      <c r="E190" s="1"/>
      <c r="F190" s="1"/>
      <c r="G190" s="1"/>
    </row>
    <row r="191" spans="3:11" x14ac:dyDescent="0.25">
      <c r="C191" s="336" t="s">
        <v>880</v>
      </c>
      <c r="D191" s="328"/>
      <c r="E191" s="1"/>
      <c r="F191" s="1"/>
      <c r="G191" s="1"/>
    </row>
    <row r="192" spans="3:11" x14ac:dyDescent="0.25">
      <c r="C192" s="355" t="s">
        <v>312</v>
      </c>
      <c r="D192" s="355" t="s">
        <v>881</v>
      </c>
      <c r="E192" s="355" t="s">
        <v>882</v>
      </c>
      <c r="F192" s="1"/>
      <c r="G192" s="1"/>
    </row>
    <row r="193" spans="3:7" x14ac:dyDescent="0.25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.75" x14ac:dyDescent="0.3">
      <c r="C196" s="835" t="s">
        <v>1703</v>
      </c>
    </row>
    <row r="198" spans="3:7" x14ac:dyDescent="0.25">
      <c r="C198" s="336" t="s">
        <v>1101</v>
      </c>
      <c r="D198" s="269"/>
      <c r="E198" s="207"/>
    </row>
    <row r="199" spans="3:7" x14ac:dyDescent="0.25">
      <c r="C199" s="334" t="s">
        <v>312</v>
      </c>
      <c r="D199" s="371" t="s">
        <v>882</v>
      </c>
      <c r="E199" s="372" t="s">
        <v>973</v>
      </c>
    </row>
    <row r="200" spans="3:7" x14ac:dyDescent="0.25">
      <c r="C200" s="349" t="s">
        <v>1055</v>
      </c>
      <c r="D200" s="1" t="s">
        <v>8</v>
      </c>
      <c r="E200" s="266">
        <f>+H103</f>
        <v>0.28993360530508427</v>
      </c>
    </row>
    <row r="201" spans="3:7" x14ac:dyDescent="0.25">
      <c r="C201" s="1"/>
      <c r="D201" s="1" t="s">
        <v>14</v>
      </c>
      <c r="E201" s="266">
        <f>+H104</f>
        <v>0.58687711610605675</v>
      </c>
    </row>
    <row r="202" spans="3:7" x14ac:dyDescent="0.25">
      <c r="C202" s="1"/>
      <c r="D202" s="1" t="s">
        <v>18</v>
      </c>
      <c r="E202" s="266">
        <f>+H105</f>
        <v>5.2912430899247027E-2</v>
      </c>
    </row>
    <row r="203" spans="3:7" x14ac:dyDescent="0.25">
      <c r="C203" s="1"/>
      <c r="D203" s="1" t="s">
        <v>22</v>
      </c>
      <c r="E203" s="266">
        <f>+H107</f>
        <v>2.4561805955053667E-2</v>
      </c>
    </row>
    <row r="204" spans="3:7" x14ac:dyDescent="0.25">
      <c r="C204" s="1"/>
      <c r="D204" s="1" t="s">
        <v>26</v>
      </c>
      <c r="E204" s="266">
        <f>+H106</f>
        <v>8.4169959959020657E-3</v>
      </c>
    </row>
    <row r="205" spans="3:7" x14ac:dyDescent="0.25">
      <c r="C205" s="1"/>
      <c r="D205" s="1" t="s">
        <v>121</v>
      </c>
      <c r="E205" s="880">
        <f>+H108</f>
        <v>3.7298045738656353E-2</v>
      </c>
    </row>
    <row r="206" spans="3:7" x14ac:dyDescent="0.25">
      <c r="D206" s="1"/>
      <c r="E206" s="266"/>
    </row>
    <row r="207" spans="3:7" x14ac:dyDescent="0.25">
      <c r="E207" s="374">
        <v>1</v>
      </c>
    </row>
    <row r="211" spans="3:7" ht="18.75" x14ac:dyDescent="0.3">
      <c r="C211" s="835" t="s">
        <v>1712</v>
      </c>
    </row>
    <row r="213" spans="3:7" x14ac:dyDescent="0.25">
      <c r="C213" s="381" t="s">
        <v>880</v>
      </c>
      <c r="D213" s="16"/>
      <c r="E213" s="16"/>
      <c r="F213" s="336"/>
      <c r="G213" s="16"/>
    </row>
    <row r="214" spans="3:7" x14ac:dyDescent="0.25">
      <c r="C214" s="354" t="s">
        <v>312</v>
      </c>
      <c r="D214" s="355" t="s">
        <v>928</v>
      </c>
      <c r="E214" s="355" t="s">
        <v>1114</v>
      </c>
      <c r="F214" s="355" t="s">
        <v>973</v>
      </c>
      <c r="G214" s="382" t="s">
        <v>974</v>
      </c>
    </row>
    <row r="215" spans="3:7" x14ac:dyDescent="0.25">
      <c r="C215" s="384" t="s">
        <v>1055</v>
      </c>
      <c r="D215" s="385" t="s">
        <v>1115</v>
      </c>
      <c r="E215" s="16">
        <v>2019</v>
      </c>
      <c r="F215" s="386">
        <f>+E64*E61*E119</f>
        <v>311.43645272213371</v>
      </c>
    </row>
    <row r="216" spans="3:7" x14ac:dyDescent="0.25">
      <c r="C216" s="388" t="s">
        <v>1055</v>
      </c>
      <c r="D216" s="214" t="s">
        <v>1115</v>
      </c>
      <c r="E216" s="881">
        <v>2020</v>
      </c>
      <c r="F216" s="386">
        <f>+E61*E65*E119</f>
        <v>314.95267073673836</v>
      </c>
      <c r="G216" s="16"/>
    </row>
    <row r="217" spans="3:7" x14ac:dyDescent="0.25">
      <c r="C217" s="384" t="s">
        <v>1055</v>
      </c>
      <c r="D217" s="389" t="s">
        <v>930</v>
      </c>
      <c r="E217" s="16">
        <v>2019</v>
      </c>
      <c r="F217" s="16"/>
      <c r="G217" s="322">
        <f>+E119*E176</f>
        <v>0.81851825541944023</v>
      </c>
    </row>
    <row r="218" spans="3:7" x14ac:dyDescent="0.25">
      <c r="C218" s="357" t="s">
        <v>1055</v>
      </c>
      <c r="D218" s="16" t="s">
        <v>1116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0" type="noConversion"/>
  <conditionalFormatting sqref="K7:K14 L7:L22 K6:L6">
    <cfRule type="containsText" dxfId="93" priority="1" operator="containsText" text="Oil and Gas">
      <formula>NOT(ISERROR(SEARCH(("Oil and Gas"),(K6))))</formula>
    </cfRule>
  </conditionalFormatting>
  <conditionalFormatting sqref="K7:K14 L7:L22 K6:L6">
    <cfRule type="containsText" dxfId="92" priority="2" operator="containsText" text="Gas">
      <formula>NOT(ISERROR(SEARCH(("Gas"),(K6))))</formula>
    </cfRule>
  </conditionalFormatting>
  <conditionalFormatting sqref="K7:K14 L7:L22 K6:L6">
    <cfRule type="containsText" dxfId="91" priority="3" operator="containsText" text="Oil">
      <formula>NOT(ISERROR(SEARCH(("Oil"),(K6))))</formula>
    </cfRule>
  </conditionalFormatting>
  <conditionalFormatting sqref="K15:K22">
    <cfRule type="containsText" dxfId="90" priority="4" operator="containsText" text="Oil and Gas">
      <formula>NOT(ISERROR(SEARCH(("Oil and Gas"),(K15))))</formula>
    </cfRule>
  </conditionalFormatting>
  <conditionalFormatting sqref="K15:K22">
    <cfRule type="containsText" dxfId="89" priority="5" operator="containsText" text="Gas">
      <formula>NOT(ISERROR(SEARCH(("Gas"),(K15))))</formula>
    </cfRule>
  </conditionalFormatting>
  <conditionalFormatting sqref="K15:K22">
    <cfRule type="containsText" dxfId="88" priority="6" operator="containsText" text="Oil">
      <formula>NOT(ISERROR(SEARCH(("Oil"),(K15))))</formula>
    </cfRule>
  </conditionalFormatting>
  <conditionalFormatting sqref="O6:P22">
    <cfRule type="cellIs" dxfId="87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opLeftCell="B149" zoomScaleNormal="100" workbookViewId="0">
      <selection activeCell="E181" sqref="E181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7" t="s">
        <v>1687</v>
      </c>
      <c r="B1" s="857"/>
      <c r="C1" s="12" t="s">
        <v>1040</v>
      </c>
      <c r="D1" s="12">
        <v>119.96</v>
      </c>
      <c r="E1" s="12" t="s">
        <v>774</v>
      </c>
    </row>
    <row r="2" spans="1:24" x14ac:dyDescent="0.25">
      <c r="A2" s="862">
        <f>41868000000/(1000000000000000)</f>
        <v>4.1868E-5</v>
      </c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3" spans="1:24" x14ac:dyDescent="0.25">
      <c r="A3" s="857" t="s">
        <v>1688</v>
      </c>
      <c r="J3" s="828" t="s">
        <v>1652</v>
      </c>
      <c r="K3">
        <v>8.33</v>
      </c>
      <c r="L3" s="821" t="s">
        <v>1653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1654</v>
      </c>
      <c r="M4" s="821" t="s">
        <v>1655</v>
      </c>
      <c r="O4" s="14" t="s">
        <v>585</v>
      </c>
      <c r="P4" s="821" t="s">
        <v>1656</v>
      </c>
    </row>
    <row r="5" spans="1:24" ht="75" x14ac:dyDescent="0.25">
      <c r="C5" s="14"/>
      <c r="D5" s="14" t="str">
        <f>'Bases de Cálculo'!G4</f>
        <v>kt/PJ</v>
      </c>
      <c r="E5" s="825" t="s">
        <v>662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1651</v>
      </c>
      <c r="M5" s="613" t="s">
        <v>765</v>
      </c>
      <c r="N5" s="428" t="str">
        <f>'5. Data'!M66</f>
        <v>Type of Oil producing</v>
      </c>
      <c r="O5" s="428" t="str">
        <f>'5. Data'!N66</f>
        <v>OFISCA</v>
      </c>
      <c r="P5" s="826" t="s">
        <v>1650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1670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38"/>
      <c r="U7" s="937" t="s">
        <v>1650</v>
      </c>
      <c r="V7" s="937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1671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939"/>
      <c r="U8" s="831" t="s">
        <v>1657</v>
      </c>
      <c r="V8" s="831" t="s">
        <v>653</v>
      </c>
      <c r="W8" s="832" t="s">
        <v>765</v>
      </c>
      <c r="X8" s="831" t="s">
        <v>1658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1671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1661</v>
      </c>
      <c r="T9" s="831" t="s">
        <v>1196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1671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1660</v>
      </c>
      <c r="T10" s="831" t="s">
        <v>1195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1671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1659</v>
      </c>
      <c r="T11" s="831" t="s">
        <v>1194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1671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1671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1671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1671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1671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1671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1682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7" t="s">
        <v>1040</v>
      </c>
      <c r="C20">
        <v>120.1</v>
      </c>
      <c r="D20" s="857" t="s">
        <v>774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7" t="s">
        <v>1040</v>
      </c>
      <c r="C21">
        <f>+C20/1000</f>
        <v>0.1201</v>
      </c>
      <c r="D21" s="857" t="s">
        <v>1701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1662</v>
      </c>
      <c r="S29" s="835"/>
    </row>
    <row r="30" spans="1:19" x14ac:dyDescent="0.25">
      <c r="C30" s="869"/>
    </row>
    <row r="31" spans="1:19" x14ac:dyDescent="0.25">
      <c r="C31" s="856" t="s">
        <v>1011</v>
      </c>
      <c r="D31" s="821" t="s">
        <v>1663</v>
      </c>
      <c r="E31">
        <v>24</v>
      </c>
      <c r="F31" s="821" t="s">
        <v>1658</v>
      </c>
    </row>
    <row r="32" spans="1:19" x14ac:dyDescent="0.25">
      <c r="C32" s="856" t="s">
        <v>997</v>
      </c>
      <c r="D32" s="883" t="s">
        <v>1732</v>
      </c>
      <c r="E32" s="836">
        <v>0.3</v>
      </c>
    </row>
    <row r="33" spans="3:10" x14ac:dyDescent="0.25">
      <c r="C33" s="869"/>
      <c r="G33" s="841"/>
      <c r="H33" s="841" t="s">
        <v>1657</v>
      </c>
      <c r="I33" s="841" t="s">
        <v>1654</v>
      </c>
      <c r="J33" s="841" t="s">
        <v>653</v>
      </c>
    </row>
    <row r="34" spans="3:10" x14ac:dyDescent="0.25">
      <c r="C34" s="869"/>
      <c r="D34" s="852" t="s">
        <v>1667</v>
      </c>
      <c r="G34" s="841" t="s">
        <v>1658</v>
      </c>
      <c r="H34" s="841" t="s">
        <v>1665</v>
      </c>
      <c r="I34" s="841" t="s">
        <v>765</v>
      </c>
      <c r="J34" s="841" t="s">
        <v>1666</v>
      </c>
    </row>
    <row r="35" spans="3:10" x14ac:dyDescent="0.25">
      <c r="C35" s="869"/>
      <c r="D35" s="821" t="s">
        <v>907</v>
      </c>
      <c r="E35" s="844">
        <f>+H35/100</f>
        <v>0.23009135447964041</v>
      </c>
      <c r="G35" s="842">
        <f>+X9</f>
        <v>46.232114566966032</v>
      </c>
      <c r="H35" s="843">
        <v>23.009135447964042</v>
      </c>
      <c r="I35" s="843">
        <f>+(141.5/(G35+131.5))*$K$4</f>
        <v>278.5382378452905</v>
      </c>
      <c r="J35" s="845">
        <f>+I35*H35</f>
        <v>6408.9240420195129</v>
      </c>
    </row>
    <row r="36" spans="3:10" x14ac:dyDescent="0.25">
      <c r="C36" s="869"/>
      <c r="D36" s="821" t="s">
        <v>909</v>
      </c>
      <c r="E36" s="844">
        <f>+H36/100</f>
        <v>0.46990864552035966</v>
      </c>
      <c r="G36" s="842">
        <f>+X10</f>
        <v>22.068612719099065</v>
      </c>
      <c r="H36" s="843">
        <v>46.990864552035966</v>
      </c>
      <c r="I36" s="843">
        <f>+(141.5/(G36+131.5))*$K$4</f>
        <v>322.36528756402009</v>
      </c>
      <c r="J36" s="845">
        <f>+I36*H36</f>
        <v>15148.223564198992</v>
      </c>
    </row>
    <row r="37" spans="3:10" x14ac:dyDescent="0.25">
      <c r="C37" s="869"/>
      <c r="D37" s="821" t="s">
        <v>911</v>
      </c>
      <c r="E37" s="844">
        <v>0.3</v>
      </c>
      <c r="G37" s="842">
        <f>+X11</f>
        <v>12.986528564073609</v>
      </c>
      <c r="H37" s="843">
        <v>30</v>
      </c>
      <c r="I37" s="843">
        <f>+(141.5/(G37+131.5))*$K$4</f>
        <v>342.62841312604837</v>
      </c>
      <c r="J37" s="845">
        <f>+I37*H37</f>
        <v>10278.852393781452</v>
      </c>
    </row>
    <row r="38" spans="3:10" x14ac:dyDescent="0.25">
      <c r="C38" s="869"/>
      <c r="E38" s="838">
        <f>+SUM(E35:E37)</f>
        <v>1</v>
      </c>
      <c r="G38" s="841">
        <f>+(141.5/(I38/K4)-131.5)</f>
        <v>24</v>
      </c>
      <c r="H38" s="842">
        <f>+SUM(H35:H37)</f>
        <v>100</v>
      </c>
      <c r="I38" s="843">
        <f>+(141.5/(G39+131.5))*$K$4</f>
        <v>318.36135048231512</v>
      </c>
      <c r="J38" s="846">
        <f>+SUM(J35:J37)</f>
        <v>31835.999999999956</v>
      </c>
    </row>
    <row r="39" spans="3:10" x14ac:dyDescent="0.25">
      <c r="C39" s="869"/>
      <c r="G39" s="847">
        <f>+E31</f>
        <v>24</v>
      </c>
      <c r="H39" s="847"/>
      <c r="I39" s="847"/>
      <c r="J39" s="848">
        <f>+I38*100</f>
        <v>31836.13504823151</v>
      </c>
    </row>
    <row r="41" spans="3:10" hidden="1" x14ac:dyDescent="0.25">
      <c r="C41" s="896" t="s">
        <v>1000</v>
      </c>
      <c r="D41" s="884" t="s">
        <v>1733</v>
      </c>
      <c r="E41" s="885"/>
      <c r="F41" s="885"/>
      <c r="G41" s="886"/>
      <c r="H41" s="886" t="s">
        <v>1657</v>
      </c>
      <c r="I41" s="886" t="s">
        <v>1654</v>
      </c>
      <c r="J41" s="886" t="s">
        <v>653</v>
      </c>
    </row>
    <row r="42" spans="3:10" hidden="1" x14ac:dyDescent="0.25">
      <c r="D42" s="885" t="s">
        <v>907</v>
      </c>
      <c r="E42" s="887">
        <v>0.15</v>
      </c>
      <c r="F42" s="885"/>
      <c r="G42" s="886" t="s">
        <v>1658</v>
      </c>
      <c r="H42" s="886" t="s">
        <v>1665</v>
      </c>
      <c r="I42" s="886" t="s">
        <v>765</v>
      </c>
      <c r="J42" s="886" t="s">
        <v>1666</v>
      </c>
    </row>
    <row r="43" spans="3:10" hidden="1" x14ac:dyDescent="0.25">
      <c r="D43" s="885" t="s">
        <v>909</v>
      </c>
      <c r="E43" s="888">
        <v>0.25</v>
      </c>
      <c r="F43" s="885"/>
      <c r="G43" s="889">
        <f>+G35</f>
        <v>46.232114566966032</v>
      </c>
      <c r="H43" s="886">
        <v>30</v>
      </c>
      <c r="I43" s="890">
        <f>+(141.5/(G43+131.5))*$K$4</f>
        <v>278.5382378452905</v>
      </c>
      <c r="J43" s="891">
        <f>+I43*H43</f>
        <v>8356.1471353587149</v>
      </c>
    </row>
    <row r="44" spans="3:10" hidden="1" x14ac:dyDescent="0.25">
      <c r="D44" s="885" t="s">
        <v>911</v>
      </c>
      <c r="E44" s="888">
        <v>0.6</v>
      </c>
      <c r="F44" s="885"/>
      <c r="G44" s="889">
        <f>+G36</f>
        <v>22.068612719099065</v>
      </c>
      <c r="H44" s="889">
        <v>0</v>
      </c>
      <c r="I44" s="890">
        <f>+(141.5/(G44+131.5))*$K$4</f>
        <v>322.36528756402009</v>
      </c>
      <c r="J44" s="891">
        <f>+I44*H44</f>
        <v>0</v>
      </c>
    </row>
    <row r="45" spans="3:10" hidden="1" x14ac:dyDescent="0.25">
      <c r="D45" s="885"/>
      <c r="E45" s="892">
        <f>+SUM(E42:E44)</f>
        <v>1</v>
      </c>
      <c r="F45" s="885"/>
      <c r="G45" s="889">
        <f>+G37</f>
        <v>12.986528564073609</v>
      </c>
      <c r="H45" s="889">
        <v>70</v>
      </c>
      <c r="I45" s="890">
        <f t="shared" ref="I45" si="6">+(141.5/(G45+131.5))*$K$4</f>
        <v>342.62841312604837</v>
      </c>
      <c r="J45" s="891">
        <f>+I45*H45</f>
        <v>23983.988918823386</v>
      </c>
    </row>
    <row r="46" spans="3:10" hidden="1" x14ac:dyDescent="0.25">
      <c r="D46" s="885"/>
      <c r="E46" s="885"/>
      <c r="F46" s="885"/>
      <c r="G46" s="886">
        <f>+(141.5/(I46/K4)-131.5)</f>
        <v>24</v>
      </c>
      <c r="H46" s="889">
        <f>+SUM(H43:H45)</f>
        <v>100</v>
      </c>
      <c r="I46" s="890">
        <f>+(141.5/(G47+131.5))*$K$4</f>
        <v>318.36135048231512</v>
      </c>
      <c r="J46" s="893">
        <f>+SUM(J43:J45)</f>
        <v>32340.136054182101</v>
      </c>
    </row>
    <row r="47" spans="3:10" hidden="1" x14ac:dyDescent="0.25">
      <c r="D47" s="885"/>
      <c r="E47" s="885"/>
      <c r="F47" s="885"/>
      <c r="G47" s="894">
        <f>+E31</f>
        <v>24</v>
      </c>
      <c r="H47" s="894"/>
      <c r="I47" s="894"/>
      <c r="J47" s="895">
        <f>+I46*H46</f>
        <v>31836.13504823151</v>
      </c>
    </row>
    <row r="48" spans="3:10" hidden="1" x14ac:dyDescent="0.25"/>
    <row r="49" spans="3:11" hidden="1" x14ac:dyDescent="0.25">
      <c r="D49" s="851" t="s">
        <v>612</v>
      </c>
    </row>
    <row r="50" spans="3:11" hidden="1" x14ac:dyDescent="0.25">
      <c r="D50" s="821" t="s">
        <v>1675</v>
      </c>
      <c r="E50">
        <f>+General_SEC_SGC!F20+General_SEC_SGC!F21+General_SEC_SGC!F22+General_SEC_SGC!F23+General_SEC_SGC!F24+General_SEC_SGC!F25+General_SEC_SGC!F26</f>
        <v>2.7603</v>
      </c>
      <c r="F50" s="821" t="s">
        <v>556</v>
      </c>
    </row>
    <row r="51" spans="3:11" hidden="1" x14ac:dyDescent="0.25">
      <c r="D51" s="840" t="s">
        <v>1669</v>
      </c>
      <c r="E51" s="850">
        <f>+E50*($C$8/1000)</f>
        <v>1.6802426854852597E-2</v>
      </c>
      <c r="F51" s="840" t="s">
        <v>1672</v>
      </c>
    </row>
    <row r="52" spans="3:11" hidden="1" x14ac:dyDescent="0.25">
      <c r="D52" s="840" t="s">
        <v>1669</v>
      </c>
      <c r="E52" s="850">
        <f>+E51*1000</f>
        <v>16.802426854852598</v>
      </c>
      <c r="F52" s="840" t="s">
        <v>1673</v>
      </c>
    </row>
    <row r="53" spans="3:11" hidden="1" x14ac:dyDescent="0.25">
      <c r="D53" s="840" t="s">
        <v>1669</v>
      </c>
      <c r="E53" s="850">
        <f>+E52</f>
        <v>16.802426854852598</v>
      </c>
      <c r="F53" s="840" t="s">
        <v>1674</v>
      </c>
    </row>
    <row r="54" spans="3:11" hidden="1" x14ac:dyDescent="0.25"/>
    <row r="56" spans="3:11" ht="18.75" x14ac:dyDescent="0.3">
      <c r="D56" s="835" t="s">
        <v>1676</v>
      </c>
    </row>
    <row r="58" spans="3:11" x14ac:dyDescent="0.25">
      <c r="D58" s="851" t="s">
        <v>1715</v>
      </c>
      <c r="H58" s="883" t="s">
        <v>1746</v>
      </c>
      <c r="J58" s="839">
        <f>+J61/J59</f>
        <v>22.376810491959233</v>
      </c>
      <c r="K58" s="883" t="s">
        <v>556</v>
      </c>
    </row>
    <row r="59" spans="3:11" x14ac:dyDescent="0.25">
      <c r="C59" s="856" t="s">
        <v>1011</v>
      </c>
      <c r="D59" s="18" t="s">
        <v>1106</v>
      </c>
      <c r="E59" s="12">
        <v>250</v>
      </c>
      <c r="F59" s="365" t="s">
        <v>589</v>
      </c>
      <c r="H59" s="883" t="s">
        <v>1736</v>
      </c>
      <c r="J59" s="839">
        <f>+J60*365*C8/1000</f>
        <v>542.12373136730503</v>
      </c>
      <c r="K59" s="883" t="s">
        <v>59</v>
      </c>
    </row>
    <row r="60" spans="3:11" x14ac:dyDescent="0.25">
      <c r="C60" s="70" t="s">
        <v>1680</v>
      </c>
      <c r="D60" s="18" t="s">
        <v>1108</v>
      </c>
      <c r="E60" s="12">
        <v>218</v>
      </c>
      <c r="F60" s="365" t="s">
        <v>589</v>
      </c>
      <c r="H60" s="883" t="s">
        <v>1736</v>
      </c>
      <c r="J60">
        <v>244</v>
      </c>
      <c r="K60" s="870" t="s">
        <v>589</v>
      </c>
    </row>
    <row r="61" spans="3:11" x14ac:dyDescent="0.25">
      <c r="C61" s="853"/>
      <c r="D61" s="18" t="s">
        <v>1678</v>
      </c>
      <c r="E61" s="275">
        <f>+E59*365*C8/1000</f>
        <v>555.45464279436999</v>
      </c>
      <c r="F61" s="365" t="s">
        <v>59</v>
      </c>
      <c r="H61" s="883" t="s">
        <v>1736</v>
      </c>
      <c r="J61">
        <v>12131</v>
      </c>
      <c r="K61" s="883" t="s">
        <v>1734</v>
      </c>
    </row>
    <row r="62" spans="3:11" x14ac:dyDescent="0.25">
      <c r="C62" s="853"/>
      <c r="D62" s="18" t="s">
        <v>1679</v>
      </c>
      <c r="E62" s="275">
        <f>+E60*365*C9/1000</f>
        <v>484.35644851669059</v>
      </c>
      <c r="F62" s="365" t="s">
        <v>59</v>
      </c>
    </row>
    <row r="63" spans="3:11" x14ac:dyDescent="0.25">
      <c r="C63" s="853"/>
      <c r="D63" s="18"/>
      <c r="E63" s="275"/>
      <c r="F63" s="365"/>
    </row>
    <row r="64" spans="3:11" x14ac:dyDescent="0.25">
      <c r="C64" s="70" t="s">
        <v>1718</v>
      </c>
      <c r="D64" s="18" t="s">
        <v>1713</v>
      </c>
      <c r="E64" s="868">
        <f>+E60/E59</f>
        <v>0.872</v>
      </c>
      <c r="F64" s="365"/>
    </row>
    <row r="65" spans="1:9" x14ac:dyDescent="0.25">
      <c r="C65" s="70" t="s">
        <v>1717</v>
      </c>
      <c r="D65" s="18" t="s">
        <v>1714</v>
      </c>
      <c r="E65" s="868">
        <v>0.9</v>
      </c>
      <c r="F65" s="365"/>
    </row>
    <row r="66" spans="1:9" x14ac:dyDescent="0.25">
      <c r="C66" s="853"/>
      <c r="D66" s="18"/>
      <c r="E66" s="868"/>
      <c r="F66" s="365"/>
    </row>
    <row r="67" spans="1:9" x14ac:dyDescent="0.25">
      <c r="C67" s="70" t="s">
        <v>1720</v>
      </c>
      <c r="D67" s="18" t="s">
        <v>1716</v>
      </c>
      <c r="E67" s="871">
        <v>4.8099999999999996</v>
      </c>
      <c r="F67" s="870" t="s">
        <v>1719</v>
      </c>
    </row>
    <row r="68" spans="1:9" x14ac:dyDescent="0.25">
      <c r="A68" s="872">
        <v>8.2176851262728707</v>
      </c>
      <c r="C68" s="853"/>
      <c r="D68" s="18" t="s">
        <v>1721</v>
      </c>
      <c r="E68" s="871">
        <f>+E67/A68</f>
        <v>0.58532298647241721</v>
      </c>
      <c r="F68" s="870" t="s">
        <v>849</v>
      </c>
    </row>
    <row r="70" spans="1:9" x14ac:dyDescent="0.25">
      <c r="D70" s="851" t="s">
        <v>1677</v>
      </c>
    </row>
    <row r="71" spans="1:9" x14ac:dyDescent="0.25">
      <c r="E71" s="863" t="s">
        <v>662</v>
      </c>
      <c r="F71" s="286" t="s">
        <v>59</v>
      </c>
    </row>
    <row r="72" spans="1:9" x14ac:dyDescent="0.25">
      <c r="C72" s="70" t="s">
        <v>1741</v>
      </c>
      <c r="D72" s="883" t="s">
        <v>1735</v>
      </c>
      <c r="E72" s="812">
        <f>+(F72/C21)/365</f>
        <v>0.15388448185699619</v>
      </c>
      <c r="F72" s="839">
        <f>+E82*J59</f>
        <v>6.745757088924214</v>
      </c>
    </row>
    <row r="73" spans="1:9" x14ac:dyDescent="0.25">
      <c r="C73" s="70" t="s">
        <v>1718</v>
      </c>
      <c r="D73" s="883" t="s">
        <v>1738</v>
      </c>
      <c r="E73" s="839">
        <f>+F73*E17</f>
        <v>35.54706415898611</v>
      </c>
      <c r="F73" s="839">
        <f>+E83*J59</f>
        <v>13.004534319337711</v>
      </c>
      <c r="I73" s="899"/>
    </row>
    <row r="74" spans="1:9" x14ac:dyDescent="0.25">
      <c r="C74" s="70" t="s">
        <v>1718</v>
      </c>
      <c r="D74" s="883" t="s">
        <v>1739</v>
      </c>
      <c r="E74" s="839">
        <f>+F74*E7</f>
        <v>58.960930528934362</v>
      </c>
      <c r="F74" s="839">
        <f>+E84*J59</f>
        <v>21.726420759325691</v>
      </c>
    </row>
    <row r="75" spans="1:9" x14ac:dyDescent="0.25">
      <c r="C75" s="70" t="s">
        <v>1718</v>
      </c>
      <c r="D75" s="883" t="s">
        <v>1740</v>
      </c>
      <c r="E75" s="858">
        <f>+F75*E15</f>
        <v>3.4528026945575578</v>
      </c>
      <c r="F75" s="839">
        <f>+E85*J59</f>
        <v>6.8821246913333587</v>
      </c>
    </row>
    <row r="76" spans="1:9" x14ac:dyDescent="0.25">
      <c r="C76" s="856" t="s">
        <v>1684</v>
      </c>
      <c r="D76" s="857" t="s">
        <v>1694</v>
      </c>
      <c r="E76">
        <v>651</v>
      </c>
      <c r="F76" s="812">
        <f>+(E76/E14)/1000</f>
        <v>0.9638296566055029</v>
      </c>
      <c r="H76" s="898"/>
    </row>
    <row r="77" spans="1:9" x14ac:dyDescent="0.25">
      <c r="C77" s="856"/>
      <c r="D77" s="821"/>
    </row>
    <row r="79" spans="1:9" x14ac:dyDescent="0.25">
      <c r="A79" s="812"/>
      <c r="B79" s="822"/>
      <c r="C79" s="821"/>
      <c r="D79" s="821"/>
      <c r="E79" s="812"/>
      <c r="F79" s="821"/>
    </row>
    <row r="80" spans="1:9" x14ac:dyDescent="0.25">
      <c r="A80" s="812"/>
      <c r="B80" s="839"/>
      <c r="C80" s="821"/>
      <c r="D80" s="851" t="s">
        <v>1695</v>
      </c>
      <c r="E80" s="812"/>
      <c r="F80" s="821"/>
    </row>
    <row r="82" spans="3:11" x14ac:dyDescent="0.25">
      <c r="C82" s="856" t="s">
        <v>1741</v>
      </c>
      <c r="D82" s="857" t="s">
        <v>1696</v>
      </c>
      <c r="E82" s="807">
        <f>+J93/J59</f>
        <v>1.2443205671721023E-2</v>
      </c>
      <c r="F82" s="857" t="s">
        <v>609</v>
      </c>
      <c r="I82" s="812"/>
    </row>
    <row r="83" spans="3:11" x14ac:dyDescent="0.25">
      <c r="C83" s="856" t="s">
        <v>1737</v>
      </c>
      <c r="D83" s="857" t="s">
        <v>1697</v>
      </c>
      <c r="E83">
        <f>291/J61</f>
        <v>2.3988129585359824E-2</v>
      </c>
      <c r="F83" s="857" t="s">
        <v>609</v>
      </c>
      <c r="I83" s="812"/>
    </row>
    <row r="84" spans="3:11" x14ac:dyDescent="0.25">
      <c r="C84" s="856" t="s">
        <v>1737</v>
      </c>
      <c r="D84" s="857" t="s">
        <v>1698</v>
      </c>
      <c r="E84">
        <f>+((642-(289*68.8%))+43)/J61</f>
        <v>4.0076498227681147E-2</v>
      </c>
      <c r="F84" s="857" t="s">
        <v>609</v>
      </c>
      <c r="I84" s="812"/>
    </row>
    <row r="85" spans="3:11" x14ac:dyDescent="0.25">
      <c r="C85" s="856" t="s">
        <v>1737</v>
      </c>
      <c r="D85" s="857" t="s">
        <v>1699</v>
      </c>
      <c r="E85">
        <f>154/J61</f>
        <v>1.2694748990190421E-2</v>
      </c>
      <c r="F85" s="857" t="s">
        <v>609</v>
      </c>
      <c r="I85" s="897"/>
    </row>
    <row r="86" spans="3:11" x14ac:dyDescent="0.25">
      <c r="C86" s="856" t="s">
        <v>1684</v>
      </c>
      <c r="D86" s="857" t="s">
        <v>1700</v>
      </c>
      <c r="E86">
        <f>+F76/E62</f>
        <v>1.9899180852390157E-3</v>
      </c>
      <c r="F86" s="857" t="s">
        <v>609</v>
      </c>
      <c r="I86" s="812"/>
    </row>
    <row r="87" spans="3:11" x14ac:dyDescent="0.25">
      <c r="E87" s="864">
        <f>+SUM(E82:E86)</f>
        <v>9.1192500560191431E-2</v>
      </c>
      <c r="F87" s="857" t="s">
        <v>609</v>
      </c>
      <c r="H87" s="812"/>
      <c r="I87" s="882"/>
    </row>
    <row r="90" spans="3:11" ht="18.75" x14ac:dyDescent="0.3">
      <c r="D90" s="835" t="s">
        <v>1702</v>
      </c>
    </row>
    <row r="91" spans="3:11" ht="18.75" x14ac:dyDescent="0.3">
      <c r="D91" s="835"/>
    </row>
    <row r="92" spans="3:11" x14ac:dyDescent="0.25">
      <c r="D92" s="883" t="s">
        <v>1742</v>
      </c>
      <c r="E92" s="812">
        <f>289*68.8%</f>
        <v>198.83199999999999</v>
      </c>
      <c r="F92" s="883" t="s">
        <v>1743</v>
      </c>
    </row>
    <row r="93" spans="3:11" x14ac:dyDescent="0.25">
      <c r="D93" s="883" t="s">
        <v>1744</v>
      </c>
      <c r="E93" s="812">
        <f>+E92/J58</f>
        <v>8.8856273806960679</v>
      </c>
      <c r="F93" s="883" t="s">
        <v>59</v>
      </c>
      <c r="H93" s="885" t="s">
        <v>1745</v>
      </c>
      <c r="I93" s="885"/>
      <c r="J93" s="885">
        <f>+E93*(1/G97)</f>
        <v>6.745757088924214</v>
      </c>
      <c r="K93" s="885" t="s">
        <v>59</v>
      </c>
    </row>
    <row r="94" spans="3:11" x14ac:dyDescent="0.25">
      <c r="D94" s="883"/>
      <c r="E94" s="812"/>
      <c r="F94" s="883"/>
    </row>
    <row r="96" spans="3:11" x14ac:dyDescent="0.25">
      <c r="E96" s="391"/>
      <c r="F96" s="392" t="s">
        <v>662</v>
      </c>
      <c r="G96" s="392" t="s">
        <v>1069</v>
      </c>
    </row>
    <row r="97" spans="2:13" x14ac:dyDescent="0.25">
      <c r="B97" s="856" t="s">
        <v>1705</v>
      </c>
      <c r="C97" s="856" t="s">
        <v>1704</v>
      </c>
      <c r="E97" s="393" t="s">
        <v>1120</v>
      </c>
      <c r="F97" s="394">
        <f>394.77/299.7</f>
        <v>1.3172172172172172</v>
      </c>
      <c r="G97" s="395">
        <f>+F97</f>
        <v>1.3172172172172172</v>
      </c>
      <c r="H97" s="12" t="s">
        <v>1121</v>
      </c>
      <c r="K97" s="883"/>
    </row>
    <row r="98" spans="2:13" x14ac:dyDescent="0.25">
      <c r="B98" s="856"/>
      <c r="C98" s="856"/>
      <c r="E98" s="393"/>
      <c r="F98" s="394"/>
      <c r="G98" s="395"/>
      <c r="H98" s="12"/>
    </row>
    <row r="100" spans="2:13" ht="18.75" x14ac:dyDescent="0.3">
      <c r="D100" s="835" t="s">
        <v>1703</v>
      </c>
    </row>
    <row r="101" spans="2:13" ht="18.75" x14ac:dyDescent="0.3">
      <c r="D101" s="835"/>
    </row>
    <row r="102" spans="2:13" x14ac:dyDescent="0.25">
      <c r="C102" s="856" t="s">
        <v>1011</v>
      </c>
      <c r="D102" s="883" t="s">
        <v>1748</v>
      </c>
      <c r="E102">
        <f>+'4. Refinerys Data'!D32/1000</f>
        <v>222</v>
      </c>
      <c r="F102" s="883" t="s">
        <v>589</v>
      </c>
      <c r="G102" s="839">
        <f>+E102/E8</f>
        <v>493.24372280140039</v>
      </c>
      <c r="H102" s="883" t="s">
        <v>59</v>
      </c>
    </row>
    <row r="103" spans="2:13" x14ac:dyDescent="0.25">
      <c r="C103" s="856" t="s">
        <v>1011</v>
      </c>
      <c r="D103" s="883" t="s">
        <v>1750</v>
      </c>
      <c r="E103">
        <v>180</v>
      </c>
      <c r="F103" s="883" t="s">
        <v>589</v>
      </c>
      <c r="G103" s="839"/>
      <c r="H103" s="883"/>
    </row>
    <row r="104" spans="2:13" x14ac:dyDescent="0.25">
      <c r="D104" s="883"/>
      <c r="F104" s="883"/>
    </row>
    <row r="105" spans="2:13" x14ac:dyDescent="0.25">
      <c r="E105" s="865" t="s">
        <v>662</v>
      </c>
      <c r="F105" s="865" t="s">
        <v>1069</v>
      </c>
      <c r="H105" s="857" t="s">
        <v>1731</v>
      </c>
      <c r="I105" s="883" t="s">
        <v>1749</v>
      </c>
    </row>
    <row r="106" spans="2:13" x14ac:dyDescent="0.25">
      <c r="C106" s="856" t="s">
        <v>1011</v>
      </c>
      <c r="D106" s="883" t="s">
        <v>1747</v>
      </c>
      <c r="E106" s="900">
        <f>+SUM(E107:E111)</f>
        <v>180</v>
      </c>
      <c r="F106" s="901">
        <f>+SUM(F107:F112)</f>
        <v>365.44421422349302</v>
      </c>
      <c r="G106" s="883" t="s">
        <v>59</v>
      </c>
      <c r="H106" s="836">
        <f>+SUM(H107:H112)</f>
        <v>1</v>
      </c>
      <c r="I106" s="820">
        <f>+SUM(I107:I112)</f>
        <v>0.99999999999999989</v>
      </c>
    </row>
    <row r="107" spans="2:13" x14ac:dyDescent="0.25">
      <c r="C107" s="856" t="s">
        <v>1011</v>
      </c>
      <c r="D107" s="857" t="s">
        <v>1035</v>
      </c>
      <c r="E107" s="839">
        <f>+$E$103*I107</f>
        <v>58.32</v>
      </c>
      <c r="F107" s="839">
        <f>+E107/E11</f>
        <v>113.47777518091667</v>
      </c>
      <c r="G107" s="883" t="s">
        <v>59</v>
      </c>
      <c r="H107" s="844">
        <f>+F107/$F$106</f>
        <v>0.31052010338168218</v>
      </c>
      <c r="I107" s="820">
        <v>0.32400000000000001</v>
      </c>
      <c r="J107" s="844"/>
    </row>
    <row r="108" spans="2:13" x14ac:dyDescent="0.25">
      <c r="C108" s="856" t="s">
        <v>1011</v>
      </c>
      <c r="D108" s="857" t="s">
        <v>1096</v>
      </c>
      <c r="E108" s="839">
        <f>+$E$103*I108</f>
        <v>59.220000000000006</v>
      </c>
      <c r="F108" s="839">
        <f>+E108/E12</f>
        <v>122.57712054787665</v>
      </c>
      <c r="G108" s="883" t="s">
        <v>59</v>
      </c>
      <c r="H108" s="844">
        <f t="shared" ref="H108:H112" si="7">+F108/$F$106</f>
        <v>0.33541951350449545</v>
      </c>
      <c r="I108" s="820">
        <v>0.32900000000000001</v>
      </c>
      <c r="J108" s="844"/>
    </row>
    <row r="109" spans="2:13" x14ac:dyDescent="0.25">
      <c r="C109" s="856" t="s">
        <v>1011</v>
      </c>
      <c r="D109" s="857" t="s">
        <v>1706</v>
      </c>
      <c r="E109" s="839">
        <f>+$E$103*I109</f>
        <v>17.82</v>
      </c>
      <c r="F109" s="839">
        <f>+E109/E13</f>
        <v>30.646926896511573</v>
      </c>
      <c r="G109" s="883" t="s">
        <v>59</v>
      </c>
      <c r="H109" s="844">
        <f t="shared" si="7"/>
        <v>8.3862120957725647E-2</v>
      </c>
      <c r="I109" s="820">
        <v>9.9000000000000005E-2</v>
      </c>
      <c r="J109" s="844"/>
    </row>
    <row r="110" spans="2:13" x14ac:dyDescent="0.25">
      <c r="C110" s="856" t="s">
        <v>1011</v>
      </c>
      <c r="D110" s="857" t="s">
        <v>858</v>
      </c>
      <c r="E110" s="839">
        <f>+E103-(E107+E108+E109+E111)</f>
        <v>40.609999999999985</v>
      </c>
      <c r="F110" s="839">
        <f>+E110/E15</f>
        <v>80.943832717571652</v>
      </c>
      <c r="G110" s="883" t="s">
        <v>59</v>
      </c>
      <c r="H110" s="844">
        <f t="shared" si="7"/>
        <v>0.22149436101913275</v>
      </c>
      <c r="I110" s="867">
        <f>+E110/E106</f>
        <v>0.22561111111111104</v>
      </c>
      <c r="J110" s="844"/>
      <c r="M110" s="883" t="s">
        <v>1752</v>
      </c>
    </row>
    <row r="111" spans="2:13" x14ac:dyDescent="0.25">
      <c r="C111" s="856" t="s">
        <v>1684</v>
      </c>
      <c r="D111" s="857" t="s">
        <v>22</v>
      </c>
      <c r="E111" s="857">
        <f>4030/1000</f>
        <v>4.03</v>
      </c>
      <c r="F111" s="839">
        <f>+E111/E14</f>
        <v>5.9665645408912091</v>
      </c>
      <c r="G111" s="883" t="s">
        <v>59</v>
      </c>
      <c r="H111" s="844">
        <f t="shared" si="7"/>
        <v>1.6326881938927798E-2</v>
      </c>
      <c r="I111" s="902">
        <f>+E111/E103</f>
        <v>2.2388888888888889E-2</v>
      </c>
      <c r="J111" s="844"/>
      <c r="K111" s="883" t="s">
        <v>1751</v>
      </c>
      <c r="L111" s="883" t="s">
        <v>22</v>
      </c>
      <c r="M111">
        <v>4.4279999999999999</v>
      </c>
    </row>
    <row r="112" spans="2:13" x14ac:dyDescent="0.25">
      <c r="C112" s="856" t="s">
        <v>1718</v>
      </c>
      <c r="D112" s="857" t="s">
        <v>1709</v>
      </c>
      <c r="E112" s="812">
        <f>+F112*E17</f>
        <v>32.342000997110311</v>
      </c>
      <c r="F112" s="839">
        <f>+E83*$G$102</f>
        <v>11.831994339725293</v>
      </c>
      <c r="G112" s="883" t="s">
        <v>59</v>
      </c>
      <c r="H112" s="844">
        <f t="shared" si="7"/>
        <v>3.2377019198036219E-2</v>
      </c>
      <c r="J112" s="844"/>
    </row>
    <row r="113" spans="3:10" x14ac:dyDescent="0.25">
      <c r="C113" s="856" t="s">
        <v>1102</v>
      </c>
      <c r="D113" s="883" t="s">
        <v>102</v>
      </c>
      <c r="H113" s="836"/>
      <c r="J113" s="844"/>
    </row>
    <row r="114" spans="3:10" x14ac:dyDescent="0.25">
      <c r="J114" s="844"/>
    </row>
    <row r="115" spans="3:10" x14ac:dyDescent="0.25">
      <c r="D115" s="851" t="s">
        <v>1708</v>
      </c>
      <c r="J115" s="844"/>
    </row>
    <row r="116" spans="3:10" x14ac:dyDescent="0.25">
      <c r="D116" s="857" t="s">
        <v>1035</v>
      </c>
      <c r="E116" s="811">
        <f>+F107/$E$61</f>
        <v>0.20429710445849361</v>
      </c>
      <c r="F116" s="857" t="s">
        <v>609</v>
      </c>
    </row>
    <row r="117" spans="3:10" x14ac:dyDescent="0.25">
      <c r="D117" s="857" t="s">
        <v>1096</v>
      </c>
      <c r="E117" s="811">
        <f t="shared" ref="E117:E120" si="8">+F108/$E$61</f>
        <v>0.22067890175733909</v>
      </c>
      <c r="F117" s="857" t="s">
        <v>609</v>
      </c>
    </row>
    <row r="118" spans="3:10" x14ac:dyDescent="0.25">
      <c r="D118" s="857" t="s">
        <v>1706</v>
      </c>
      <c r="E118" s="811">
        <f t="shared" si="8"/>
        <v>5.5174490472045805E-2</v>
      </c>
      <c r="F118" s="857" t="s">
        <v>609</v>
      </c>
    </row>
    <row r="119" spans="3:10" x14ac:dyDescent="0.25">
      <c r="D119" s="857" t="s">
        <v>858</v>
      </c>
      <c r="E119" s="811">
        <f t="shared" si="8"/>
        <v>0.14572536888045629</v>
      </c>
      <c r="F119" s="857" t="s">
        <v>609</v>
      </c>
    </row>
    <row r="120" spans="3:10" x14ac:dyDescent="0.25">
      <c r="D120" s="857" t="s">
        <v>22</v>
      </c>
      <c r="E120" s="811">
        <f t="shared" si="8"/>
        <v>1.0741767340128326E-2</v>
      </c>
      <c r="F120" s="857" t="s">
        <v>609</v>
      </c>
    </row>
    <row r="121" spans="3:10" x14ac:dyDescent="0.25">
      <c r="D121" s="857" t="s">
        <v>1709</v>
      </c>
      <c r="E121" s="811">
        <f>+F112/$E$61</f>
        <v>2.1301459071799516E-2</v>
      </c>
      <c r="F121" s="857" t="s">
        <v>609</v>
      </c>
    </row>
    <row r="122" spans="3:10" x14ac:dyDescent="0.25">
      <c r="D122" s="857"/>
      <c r="E122" s="811"/>
      <c r="F122" s="857"/>
    </row>
    <row r="124" spans="3:10" x14ac:dyDescent="0.25">
      <c r="C124" s="856" t="s">
        <v>1722</v>
      </c>
      <c r="D124" s="857" t="s">
        <v>1711</v>
      </c>
      <c r="E124" s="867">
        <f>+F106/G102</f>
        <v>0.74089987835615179</v>
      </c>
      <c r="F124" s="857"/>
    </row>
    <row r="125" spans="3:10" x14ac:dyDescent="0.25">
      <c r="C125" s="856"/>
    </row>
    <row r="129" spans="1:6" x14ac:dyDescent="0.25">
      <c r="A129" s="327" t="s">
        <v>310</v>
      </c>
      <c r="B129" s="1"/>
      <c r="C129" s="1"/>
      <c r="D129" s="1"/>
      <c r="E129" s="1"/>
      <c r="F129" s="1"/>
    </row>
    <row r="130" spans="1:6" x14ac:dyDescent="0.25">
      <c r="A130" s="331" t="s">
        <v>311</v>
      </c>
      <c r="B130" s="332" t="s">
        <v>42</v>
      </c>
      <c r="C130" s="332" t="s">
        <v>312</v>
      </c>
      <c r="D130" s="332" t="s">
        <v>313</v>
      </c>
      <c r="E130" s="332" t="s">
        <v>314</v>
      </c>
      <c r="F130" s="333" t="s">
        <v>315</v>
      </c>
    </row>
    <row r="131" spans="1:6" x14ac:dyDescent="0.25">
      <c r="A131" s="1" t="s">
        <v>329</v>
      </c>
      <c r="B131" s="1"/>
      <c r="C131" s="17" t="s">
        <v>1155</v>
      </c>
      <c r="D131" s="1" t="s">
        <v>1156</v>
      </c>
      <c r="E131" s="1" t="s">
        <v>59</v>
      </c>
      <c r="F131" s="1" t="s">
        <v>328</v>
      </c>
    </row>
    <row r="132" spans="1:6" x14ac:dyDescent="0.25">
      <c r="A132" s="1"/>
      <c r="B132" s="1"/>
      <c r="C132" s="338" t="s">
        <v>1157</v>
      </c>
      <c r="D132" s="328" t="s">
        <v>1158</v>
      </c>
      <c r="E132" s="1" t="s">
        <v>59</v>
      </c>
      <c r="F132" s="1" t="s">
        <v>328</v>
      </c>
    </row>
    <row r="133" spans="1:6" x14ac:dyDescent="0.25">
      <c r="A133" s="1"/>
      <c r="B133" s="1"/>
      <c r="C133" s="342" t="s">
        <v>1159</v>
      </c>
      <c r="D133" s="328" t="s">
        <v>1160</v>
      </c>
      <c r="E133" s="1" t="s">
        <v>59</v>
      </c>
      <c r="F133" s="1" t="s">
        <v>328</v>
      </c>
    </row>
    <row r="134" spans="1:6" x14ac:dyDescent="0.25">
      <c r="A134" s="1"/>
      <c r="B134" s="1"/>
      <c r="C134" s="17" t="s">
        <v>1161</v>
      </c>
      <c r="D134" s="328" t="s">
        <v>1162</v>
      </c>
      <c r="E134" s="1" t="s">
        <v>59</v>
      </c>
      <c r="F134" s="1" t="s">
        <v>328</v>
      </c>
    </row>
    <row r="135" spans="1:6" x14ac:dyDescent="0.25">
      <c r="A135" s="328"/>
      <c r="B135" s="328"/>
      <c r="C135" s="18" t="s">
        <v>1163</v>
      </c>
      <c r="D135" s="883" t="s">
        <v>1164</v>
      </c>
      <c r="E135" s="1" t="s">
        <v>59</v>
      </c>
      <c r="F135" s="1" t="s">
        <v>328</v>
      </c>
    </row>
    <row r="136" spans="1:6" x14ac:dyDescent="0.25">
      <c r="A136" s="328"/>
      <c r="B136" s="328"/>
      <c r="C136" s="18" t="s">
        <v>1165</v>
      </c>
      <c r="D136" s="883" t="s">
        <v>1166</v>
      </c>
      <c r="E136" s="12" t="s">
        <v>59</v>
      </c>
      <c r="F136" s="344" t="s">
        <v>328</v>
      </c>
    </row>
    <row r="137" spans="1:6" x14ac:dyDescent="0.25">
      <c r="A137" s="328"/>
      <c r="B137" s="328"/>
      <c r="C137" s="18" t="s">
        <v>1167</v>
      </c>
      <c r="D137" s="328" t="s">
        <v>1168</v>
      </c>
      <c r="E137" s="328" t="s">
        <v>59</v>
      </c>
      <c r="F137" s="344" t="s">
        <v>328</v>
      </c>
    </row>
    <row r="138" spans="1:6" ht="15.75" customHeight="1" x14ac:dyDescent="0.25">
      <c r="A138" s="328"/>
      <c r="B138" s="328"/>
      <c r="C138" s="1" t="s">
        <v>1753</v>
      </c>
      <c r="D138" s="1" t="s">
        <v>1755</v>
      </c>
      <c r="E138" s="328" t="s">
        <v>59</v>
      </c>
      <c r="F138" s="344" t="s">
        <v>328</v>
      </c>
    </row>
    <row r="139" spans="1:6" x14ac:dyDescent="0.25">
      <c r="A139" s="328"/>
      <c r="B139" s="328"/>
      <c r="C139" s="1" t="s">
        <v>1754</v>
      </c>
      <c r="D139" s="1" t="s">
        <v>1756</v>
      </c>
      <c r="E139" s="328" t="s">
        <v>59</v>
      </c>
      <c r="F139" s="344" t="s">
        <v>328</v>
      </c>
    </row>
    <row r="140" spans="1:6" x14ac:dyDescent="0.25">
      <c r="A140" s="328"/>
      <c r="B140" s="328"/>
      <c r="F140" s="1"/>
    </row>
    <row r="141" spans="1:6" x14ac:dyDescent="0.25">
      <c r="A141" s="328"/>
      <c r="B141" s="328"/>
      <c r="F141" s="328"/>
    </row>
    <row r="142" spans="1:6" x14ac:dyDescent="0.25">
      <c r="A142" s="328"/>
      <c r="B142" s="328"/>
      <c r="C142" s="328"/>
      <c r="D142" s="328"/>
      <c r="E142" s="328"/>
      <c r="F142" s="328"/>
    </row>
    <row r="143" spans="1:6" x14ac:dyDescent="0.25">
      <c r="A143" s="348" t="s">
        <v>40</v>
      </c>
      <c r="B143" s="348"/>
      <c r="C143" s="349"/>
      <c r="D143" s="349"/>
      <c r="E143" s="349"/>
      <c r="F143" s="328"/>
    </row>
    <row r="144" spans="1:6" x14ac:dyDescent="0.25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25">
      <c r="A145" s="350" t="s">
        <v>58</v>
      </c>
      <c r="B145" s="350"/>
      <c r="C145" s="1" t="s">
        <v>990</v>
      </c>
      <c r="D145" s="1" t="s">
        <v>1174</v>
      </c>
      <c r="E145" s="1" t="s">
        <v>59</v>
      </c>
      <c r="F145" s="328"/>
    </row>
    <row r="146" spans="1:6" x14ac:dyDescent="0.25">
      <c r="A146" s="1"/>
      <c r="B146" s="1"/>
      <c r="C146" s="883" t="s">
        <v>1173</v>
      </c>
      <c r="D146" s="883" t="s">
        <v>1176</v>
      </c>
      <c r="E146" s="12" t="s">
        <v>59</v>
      </c>
      <c r="F146" s="328"/>
    </row>
    <row r="147" spans="1:6" x14ac:dyDescent="0.25">
      <c r="A147" s="1"/>
      <c r="B147" s="328"/>
      <c r="C147" s="883" t="s">
        <v>1175</v>
      </c>
      <c r="D147" s="883" t="s">
        <v>1177</v>
      </c>
      <c r="E147" s="12" t="s">
        <v>59</v>
      </c>
      <c r="F147" s="328"/>
    </row>
    <row r="148" spans="1:6" x14ac:dyDescent="0.25">
      <c r="A148" s="1"/>
      <c r="B148" s="328"/>
      <c r="C148" s="18" t="s">
        <v>1178</v>
      </c>
      <c r="D148" s="883" t="s">
        <v>1179</v>
      </c>
      <c r="E148" s="12" t="s">
        <v>59</v>
      </c>
      <c r="F148" s="328"/>
    </row>
    <row r="149" spans="1:6" x14ac:dyDescent="0.25">
      <c r="C149" s="18" t="s">
        <v>988</v>
      </c>
      <c r="D149" s="18" t="s">
        <v>1180</v>
      </c>
      <c r="E149" s="344" t="s">
        <v>59</v>
      </c>
    </row>
    <row r="150" spans="1:6" x14ac:dyDescent="0.25">
      <c r="A150" s="1"/>
      <c r="B150" s="1"/>
      <c r="C150" s="18" t="s">
        <v>989</v>
      </c>
      <c r="D150" s="18" t="s">
        <v>1181</v>
      </c>
      <c r="E150" s="344" t="s">
        <v>59</v>
      </c>
    </row>
    <row r="151" spans="1:6" x14ac:dyDescent="0.25">
      <c r="A151" s="1"/>
      <c r="B151" s="1"/>
      <c r="C151" s="18" t="s">
        <v>1759</v>
      </c>
      <c r="D151" s="883" t="s">
        <v>1757</v>
      </c>
      <c r="E151" s="344" t="s">
        <v>59</v>
      </c>
      <c r="F151" s="328"/>
    </row>
    <row r="152" spans="1:6" x14ac:dyDescent="0.25">
      <c r="A152" s="1"/>
      <c r="B152" s="1"/>
      <c r="C152" s="1" t="s">
        <v>1760</v>
      </c>
      <c r="D152" s="1" t="s">
        <v>1758</v>
      </c>
      <c r="E152" s="344" t="s">
        <v>59</v>
      </c>
      <c r="F152" s="328"/>
    </row>
    <row r="153" spans="1:6" x14ac:dyDescent="0.25">
      <c r="A153" s="877"/>
      <c r="B153" s="877"/>
      <c r="C153" s="877"/>
      <c r="D153" s="877"/>
      <c r="E153" s="877"/>
      <c r="F153" s="328"/>
    </row>
    <row r="154" spans="1:6" x14ac:dyDescent="0.25">
      <c r="C154" s="336" t="s">
        <v>880</v>
      </c>
      <c r="D154" s="328"/>
      <c r="E154" s="1"/>
      <c r="F154" s="1"/>
    </row>
    <row r="155" spans="1:6" x14ac:dyDescent="0.25">
      <c r="C155" s="360" t="s">
        <v>312</v>
      </c>
      <c r="D155" s="360" t="s">
        <v>881</v>
      </c>
      <c r="E155" s="360" t="s">
        <v>882</v>
      </c>
      <c r="F155" s="360" t="s">
        <v>930</v>
      </c>
    </row>
    <row r="156" spans="1:6" x14ac:dyDescent="0.25">
      <c r="C156" s="16" t="str">
        <f>+C136</f>
        <v>FTE-GAS-REF2</v>
      </c>
      <c r="D156" s="16" t="s">
        <v>7</v>
      </c>
      <c r="E156" s="16" t="str">
        <f>+C149</f>
        <v>GAS-REF2</v>
      </c>
      <c r="F156" s="292">
        <v>1</v>
      </c>
    </row>
    <row r="157" spans="1:6" x14ac:dyDescent="0.25">
      <c r="C157" s="16" t="str">
        <f>+C137</f>
        <v>FTE-HFO-REF2</v>
      </c>
      <c r="D157" s="16" t="s">
        <v>26</v>
      </c>
      <c r="E157" s="16" t="str">
        <f>+C150</f>
        <v>HFO-REF2</v>
      </c>
      <c r="F157" s="322">
        <v>1</v>
      </c>
    </row>
    <row r="158" spans="1:6" x14ac:dyDescent="0.25">
      <c r="C158" s="813" t="str">
        <f>+C138</f>
        <v>FTE-LPG-REF2</v>
      </c>
      <c r="D158" s="2" t="s">
        <v>22</v>
      </c>
      <c r="E158" s="2" t="str">
        <f>+C151</f>
        <v>LPG-REF2</v>
      </c>
      <c r="F158" s="400">
        <v>1</v>
      </c>
    </row>
    <row r="159" spans="1:6" x14ac:dyDescent="0.25">
      <c r="C159" s="813" t="str">
        <f>+C139</f>
        <v>FTE-RFG2</v>
      </c>
      <c r="D159" s="2" t="s">
        <v>125</v>
      </c>
      <c r="E159" s="2" t="str">
        <f>+C152</f>
        <v>RFG2-REF2</v>
      </c>
      <c r="F159" s="400">
        <v>1</v>
      </c>
    </row>
    <row r="162" spans="3:7" ht="18.75" x14ac:dyDescent="0.3">
      <c r="C162" s="835" t="s">
        <v>1662</v>
      </c>
    </row>
    <row r="165" spans="3:7" x14ac:dyDescent="0.25">
      <c r="C165" s="329" t="s">
        <v>880</v>
      </c>
      <c r="D165" s="1"/>
      <c r="E165" s="1"/>
      <c r="F165" s="1"/>
      <c r="G165" s="1"/>
    </row>
    <row r="166" spans="3:7" x14ac:dyDescent="0.25">
      <c r="C166" s="334" t="s">
        <v>312</v>
      </c>
      <c r="D166" s="209" t="s">
        <v>881</v>
      </c>
      <c r="E166" s="209" t="s">
        <v>882</v>
      </c>
      <c r="F166" s="209" t="s">
        <v>1050</v>
      </c>
      <c r="G166" s="335" t="s">
        <v>930</v>
      </c>
    </row>
    <row r="167" spans="3:7" x14ac:dyDescent="0.25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25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25">
      <c r="D169" s="16" t="s">
        <v>17</v>
      </c>
      <c r="E169" s="214"/>
      <c r="F169" s="295">
        <f>+E36</f>
        <v>0.46990864552035966</v>
      </c>
      <c r="G169" s="214"/>
    </row>
    <row r="171" spans="3:7" hidden="1" x14ac:dyDescent="0.25">
      <c r="C171" s="336"/>
      <c r="D171" s="207"/>
      <c r="E171" s="207"/>
    </row>
    <row r="172" spans="3:7" hidden="1" x14ac:dyDescent="0.25">
      <c r="C172" s="337" t="s">
        <v>312</v>
      </c>
      <c r="D172" s="337" t="s">
        <v>882</v>
      </c>
      <c r="E172" s="337" t="s">
        <v>1054</v>
      </c>
    </row>
    <row r="173" spans="3:7" hidden="1" x14ac:dyDescent="0.25">
      <c r="C173" s="339" t="str">
        <f>+C167</f>
        <v>MIX-OIL-REF2</v>
      </c>
      <c r="D173" s="340" t="s">
        <v>137</v>
      </c>
      <c r="E173" s="341">
        <f>+E50</f>
        <v>2.7603</v>
      </c>
    </row>
    <row r="174" spans="3:7" hidden="1" x14ac:dyDescent="0.25"/>
    <row r="176" spans="3:7" ht="18.75" x14ac:dyDescent="0.3">
      <c r="C176" s="835" t="s">
        <v>1676</v>
      </c>
    </row>
    <row r="179" spans="3:11" x14ac:dyDescent="0.25">
      <c r="C179" s="336" t="s">
        <v>1084</v>
      </c>
      <c r="D179" s="328"/>
      <c r="E179" s="1"/>
      <c r="G179" s="283" t="s">
        <v>986</v>
      </c>
    </row>
    <row r="180" spans="3:11" ht="15.75" thickBot="1" x14ac:dyDescent="0.3">
      <c r="C180" s="354" t="s">
        <v>312</v>
      </c>
      <c r="D180" s="355" t="s">
        <v>881</v>
      </c>
      <c r="E180" s="356" t="s">
        <v>974</v>
      </c>
      <c r="G180" s="284" t="s">
        <v>43</v>
      </c>
      <c r="H180" s="285" t="s">
        <v>988</v>
      </c>
      <c r="I180" s="285" t="s">
        <v>989</v>
      </c>
      <c r="J180" s="285" t="str">
        <f>+E159</f>
        <v>RFG2-REF2</v>
      </c>
      <c r="K180" s="285" t="str">
        <f>+E158</f>
        <v>LPG-REF2</v>
      </c>
    </row>
    <row r="181" spans="3:11" ht="15.75" thickBot="1" x14ac:dyDescent="0.3">
      <c r="C181" s="357" t="s">
        <v>1157</v>
      </c>
      <c r="D181" s="1" t="str">
        <f>+E167</f>
        <v>OIL-REF2</v>
      </c>
      <c r="E181" s="879">
        <f>1/(1+SUM($E$82:$E$86))</f>
        <v>0.91642858568641605</v>
      </c>
      <c r="G181" s="211" t="s">
        <v>935</v>
      </c>
      <c r="H181" s="212" t="s">
        <v>556</v>
      </c>
      <c r="I181" s="212" t="s">
        <v>556</v>
      </c>
      <c r="J181" s="212" t="s">
        <v>556</v>
      </c>
      <c r="K181" s="212"/>
    </row>
    <row r="182" spans="3:11" s="874" customFormat="1" x14ac:dyDescent="0.25">
      <c r="C182" s="16"/>
      <c r="D182" s="873" t="str">
        <f>+C147</f>
        <v>H2-REF2</v>
      </c>
      <c r="E182" s="879">
        <f>E82/(1+SUM($E$82:$E$86))</f>
        <v>1.1403309375140488E-2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4" customFormat="1" x14ac:dyDescent="0.25">
      <c r="C183" s="1"/>
      <c r="D183" s="875" t="str">
        <f>+E156</f>
        <v>GAS-REF2</v>
      </c>
      <c r="E183" s="879">
        <f>E84/(1+SUM($E$82:$E$86))</f>
        <v>3.6727248590057993E-2</v>
      </c>
    </row>
    <row r="184" spans="3:11" s="874" customFormat="1" x14ac:dyDescent="0.25">
      <c r="C184" s="1"/>
      <c r="D184" s="876" t="str">
        <f>+E159</f>
        <v>RFG2-REF2</v>
      </c>
      <c r="E184" s="879">
        <f>E83/(1+SUM($E$82:$E$86))</f>
        <v>2.1983407669173775E-2</v>
      </c>
      <c r="G184" s="878"/>
    </row>
    <row r="185" spans="3:11" s="874" customFormat="1" x14ac:dyDescent="0.25">
      <c r="D185" s="874" t="str">
        <f>+E158</f>
        <v>LPG-REF2</v>
      </c>
      <c r="E185" s="879">
        <f>E86/(1+SUM($E$82:$E$86))</f>
        <v>1.8236178164874122E-3</v>
      </c>
    </row>
    <row r="186" spans="3:11" x14ac:dyDescent="0.25">
      <c r="D186" t="str">
        <f>+E157</f>
        <v>HFO-REF2</v>
      </c>
      <c r="E186" s="844">
        <f>E85/(1+SUM($E$82:$E$86))</f>
        <v>1.1633830862724267E-2</v>
      </c>
    </row>
    <row r="187" spans="3:11" x14ac:dyDescent="0.25">
      <c r="G187" s="903"/>
    </row>
    <row r="188" spans="3:11" ht="18.75" x14ac:dyDescent="0.3">
      <c r="C188" s="835" t="s">
        <v>1702</v>
      </c>
    </row>
    <row r="190" spans="3:11" x14ac:dyDescent="0.25">
      <c r="C190" s="329" t="s">
        <v>880</v>
      </c>
      <c r="D190" s="1"/>
      <c r="E190" s="1"/>
      <c r="F190" s="397"/>
      <c r="G190" s="1"/>
    </row>
    <row r="191" spans="3:11" x14ac:dyDescent="0.25">
      <c r="C191" s="355" t="s">
        <v>312</v>
      </c>
      <c r="D191" s="355" t="s">
        <v>928</v>
      </c>
      <c r="E191" s="355" t="s">
        <v>1114</v>
      </c>
      <c r="F191" s="355" t="s">
        <v>973</v>
      </c>
      <c r="G191" s="398" t="s">
        <v>974</v>
      </c>
    </row>
    <row r="192" spans="3:11" x14ac:dyDescent="0.25">
      <c r="C192" s="389" t="str">
        <f>+C133</f>
        <v>SMR-REF2</v>
      </c>
      <c r="D192" s="389" t="s">
        <v>1115</v>
      </c>
      <c r="E192" s="16">
        <v>2019</v>
      </c>
      <c r="F192" s="399"/>
      <c r="G192" s="389"/>
    </row>
    <row r="193" spans="3:7" x14ac:dyDescent="0.25">
      <c r="C193" s="389" t="str">
        <f>+C192</f>
        <v>SMR-REF2</v>
      </c>
      <c r="D193" s="16" t="s">
        <v>930</v>
      </c>
      <c r="E193" s="16">
        <v>2019</v>
      </c>
      <c r="F193" s="1"/>
      <c r="G193" s="400">
        <f>1/G97</f>
        <v>0.75917622919674754</v>
      </c>
    </row>
    <row r="194" spans="3:7" x14ac:dyDescent="0.25">
      <c r="C194" s="1"/>
      <c r="D194" s="1"/>
      <c r="E194" s="1"/>
      <c r="F194" s="1"/>
      <c r="G194" s="1"/>
    </row>
    <row r="195" spans="3:7" x14ac:dyDescent="0.25">
      <c r="C195" s="1"/>
      <c r="D195" s="1"/>
      <c r="E195" s="1"/>
      <c r="F195" s="1"/>
      <c r="G195" s="1"/>
    </row>
    <row r="196" spans="3:7" x14ac:dyDescent="0.25">
      <c r="C196" s="336" t="s">
        <v>880</v>
      </c>
      <c r="D196" s="328"/>
      <c r="E196" s="1"/>
      <c r="F196" s="1"/>
      <c r="G196" s="1"/>
    </row>
    <row r="197" spans="3:7" x14ac:dyDescent="0.25">
      <c r="C197" s="355" t="s">
        <v>312</v>
      </c>
      <c r="D197" s="355" t="s">
        <v>881</v>
      </c>
      <c r="E197" s="355" t="s">
        <v>882</v>
      </c>
      <c r="F197" s="1"/>
      <c r="G197" s="1"/>
    </row>
    <row r="198" spans="3:7" x14ac:dyDescent="0.25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.75" x14ac:dyDescent="0.3">
      <c r="C201" s="835" t="s">
        <v>1703</v>
      </c>
    </row>
    <row r="203" spans="3:7" x14ac:dyDescent="0.25">
      <c r="C203" s="336" t="s">
        <v>1101</v>
      </c>
      <c r="D203" s="269"/>
      <c r="E203" s="207"/>
    </row>
    <row r="204" spans="3:7" x14ac:dyDescent="0.25">
      <c r="C204" s="334" t="s">
        <v>312</v>
      </c>
      <c r="D204" s="371" t="s">
        <v>882</v>
      </c>
      <c r="E204" s="372" t="s">
        <v>973</v>
      </c>
    </row>
    <row r="205" spans="3:7" x14ac:dyDescent="0.25">
      <c r="C205" s="349" t="s">
        <v>1157</v>
      </c>
      <c r="D205" s="2" t="s">
        <v>8</v>
      </c>
      <c r="E205" s="266">
        <f>+H107</f>
        <v>0.31052010338168218</v>
      </c>
    </row>
    <row r="206" spans="3:7" x14ac:dyDescent="0.25">
      <c r="C206" s="1"/>
      <c r="D206" s="2" t="s">
        <v>14</v>
      </c>
      <c r="E206" s="266">
        <f>+H108</f>
        <v>0.33541951350449545</v>
      </c>
    </row>
    <row r="207" spans="3:7" x14ac:dyDescent="0.25">
      <c r="C207" s="1"/>
      <c r="D207" s="2" t="s">
        <v>18</v>
      </c>
      <c r="E207" s="266">
        <f>+H109</f>
        <v>8.3862120957725647E-2</v>
      </c>
    </row>
    <row r="208" spans="3:7" x14ac:dyDescent="0.25">
      <c r="C208" s="1"/>
      <c r="D208" s="2" t="s">
        <v>22</v>
      </c>
      <c r="E208" s="266">
        <f>+H111</f>
        <v>1.6326881938927798E-2</v>
      </c>
    </row>
    <row r="209" spans="3:7" x14ac:dyDescent="0.25">
      <c r="C209" s="1"/>
      <c r="D209" s="2" t="s">
        <v>26</v>
      </c>
      <c r="E209" s="266">
        <f>+H110</f>
        <v>0.22149436101913275</v>
      </c>
    </row>
    <row r="210" spans="3:7" x14ac:dyDescent="0.25">
      <c r="C210" s="1"/>
      <c r="D210" s="2" t="s">
        <v>125</v>
      </c>
      <c r="E210" s="880">
        <f>+H112</f>
        <v>3.2377019198036219E-2</v>
      </c>
    </row>
    <row r="211" spans="3:7" x14ac:dyDescent="0.25">
      <c r="D211" s="1"/>
      <c r="E211" s="266"/>
      <c r="G211" s="820">
        <f>+SUM(E205:E210)</f>
        <v>1</v>
      </c>
    </row>
    <row r="212" spans="3:7" x14ac:dyDescent="0.25">
      <c r="E212" s="374"/>
    </row>
    <row r="216" spans="3:7" ht="18.75" x14ac:dyDescent="0.3">
      <c r="C216" s="835" t="s">
        <v>1712</v>
      </c>
    </row>
    <row r="218" spans="3:7" x14ac:dyDescent="0.25">
      <c r="C218" s="381" t="s">
        <v>880</v>
      </c>
      <c r="D218" s="16"/>
      <c r="E218" s="16"/>
      <c r="F218" s="336"/>
      <c r="G218" s="16"/>
    </row>
    <row r="219" spans="3:7" x14ac:dyDescent="0.25">
      <c r="C219" s="354" t="s">
        <v>312</v>
      </c>
      <c r="D219" s="355" t="s">
        <v>928</v>
      </c>
      <c r="E219" s="355" t="s">
        <v>1114</v>
      </c>
      <c r="F219" s="355" t="s">
        <v>973</v>
      </c>
      <c r="G219" s="382" t="s">
        <v>974</v>
      </c>
    </row>
    <row r="220" spans="3:7" x14ac:dyDescent="0.25">
      <c r="C220" s="384" t="str">
        <f>+C205</f>
        <v>REF2</v>
      </c>
      <c r="D220" s="385" t="s">
        <v>1115</v>
      </c>
      <c r="E220" s="16">
        <v>2019</v>
      </c>
      <c r="F220" s="386">
        <f>+E62*E124</f>
        <v>358.85963378703377</v>
      </c>
    </row>
    <row r="221" spans="3:7" x14ac:dyDescent="0.25">
      <c r="C221" s="388" t="str">
        <f>+C205</f>
        <v>REF2</v>
      </c>
      <c r="D221" s="214" t="s">
        <v>1115</v>
      </c>
      <c r="E221" s="881">
        <v>2020</v>
      </c>
      <c r="F221" s="386">
        <f>+E61*E65*E124</f>
        <v>370.38264955083764</v>
      </c>
      <c r="G221" s="16"/>
    </row>
    <row r="222" spans="3:7" x14ac:dyDescent="0.25">
      <c r="C222" s="384" t="str">
        <f>+C205</f>
        <v>REF2</v>
      </c>
      <c r="D222" s="389" t="s">
        <v>930</v>
      </c>
      <c r="E222" s="16">
        <v>2019</v>
      </c>
      <c r="F222" s="16"/>
      <c r="G222" s="322">
        <f>+E124*E181</f>
        <v>0.67898182765716586</v>
      </c>
    </row>
    <row r="223" spans="3:7" x14ac:dyDescent="0.25">
      <c r="C223" s="357" t="str">
        <f>+C205</f>
        <v>REF2</v>
      </c>
      <c r="D223" s="16" t="s">
        <v>1116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7:K14 L7:L22 K6:L6">
    <cfRule type="containsText" dxfId="86" priority="1" operator="containsText" text="Oil and Gas">
      <formula>NOT(ISERROR(SEARCH(("Oil and Gas"),(K6))))</formula>
    </cfRule>
  </conditionalFormatting>
  <conditionalFormatting sqref="K7:K14 L7:L22 K6:L6">
    <cfRule type="containsText" dxfId="85" priority="2" operator="containsText" text="Gas">
      <formula>NOT(ISERROR(SEARCH(("Gas"),(K6))))</formula>
    </cfRule>
  </conditionalFormatting>
  <conditionalFormatting sqref="K7:K14 L7:L22 K6:L6">
    <cfRule type="containsText" dxfId="84" priority="3" operator="containsText" text="Oil">
      <formula>NOT(ISERROR(SEARCH(("Oil"),(K6))))</formula>
    </cfRule>
  </conditionalFormatting>
  <conditionalFormatting sqref="K15:K22">
    <cfRule type="containsText" dxfId="83" priority="4" operator="containsText" text="Oil and Gas">
      <formula>NOT(ISERROR(SEARCH(("Oil and Gas"),(K15))))</formula>
    </cfRule>
  </conditionalFormatting>
  <conditionalFormatting sqref="K15:K22">
    <cfRule type="containsText" dxfId="82" priority="5" operator="containsText" text="Gas">
      <formula>NOT(ISERROR(SEARCH(("Gas"),(K15))))</formula>
    </cfRule>
  </conditionalFormatting>
  <conditionalFormatting sqref="K15:K22">
    <cfRule type="containsText" dxfId="81" priority="6" operator="containsText" text="Oil">
      <formula>NOT(ISERROR(SEARCH(("Oil"),(K15))))</formula>
    </cfRule>
  </conditionalFormatting>
  <conditionalFormatting sqref="O6:P22">
    <cfRule type="cellIs" dxfId="80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173" workbookViewId="0">
      <selection activeCell="B45" sqref="B45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1040</v>
      </c>
      <c r="D1" s="12">
        <v>119.96</v>
      </c>
      <c r="E1" s="12" t="s">
        <v>774</v>
      </c>
    </row>
    <row r="2" spans="3:21" x14ac:dyDescent="0.25"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19" t="s">
        <v>1043</v>
      </c>
      <c r="M7" s="940"/>
      <c r="N7" s="940"/>
      <c r="O7" s="940"/>
      <c r="P7" s="940"/>
      <c r="Q7" s="940"/>
      <c r="R7" s="940"/>
      <c r="S7" s="940"/>
      <c r="T7" s="940"/>
      <c r="U7" s="920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41" t="s">
        <v>1153</v>
      </c>
      <c r="O9" s="940"/>
      <c r="P9" s="920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1154</v>
      </c>
      <c r="P10" s="321" t="s">
        <v>1046</v>
      </c>
      <c r="R10" s="942"/>
      <c r="S10" s="908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1047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1048</v>
      </c>
      <c r="O12" s="943"/>
      <c r="P12" s="323"/>
      <c r="R12" s="14"/>
      <c r="S12" s="945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1049</v>
      </c>
      <c r="O13" s="944"/>
      <c r="P13" s="325"/>
      <c r="R13" s="14"/>
      <c r="S13" s="908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/>
      <c r="U21" s="207"/>
      <c r="V21" s="207"/>
    </row>
    <row r="22" spans="1:22" ht="15.75" customHeight="1" x14ac:dyDescent="0.25">
      <c r="A22" s="1" t="s">
        <v>329</v>
      </c>
      <c r="B22" s="1"/>
      <c r="C22" s="16" t="s">
        <v>1155</v>
      </c>
      <c r="D22" s="2" t="s">
        <v>1156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1054</v>
      </c>
    </row>
    <row r="23" spans="1:22" ht="15.75" customHeight="1" x14ac:dyDescent="0.25">
      <c r="A23" s="1"/>
      <c r="B23" s="1"/>
      <c r="C23" s="214" t="s">
        <v>1157</v>
      </c>
      <c r="D23" s="14" t="s">
        <v>1158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1159</v>
      </c>
      <c r="D24" s="14" t="s">
        <v>1160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1161</v>
      </c>
      <c r="D25" s="14" t="s">
        <v>1162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1163</v>
      </c>
      <c r="D26" s="14" t="s">
        <v>1164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1165</v>
      </c>
      <c r="D27" s="214" t="s">
        <v>1166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1167</v>
      </c>
      <c r="D28" s="214" t="s">
        <v>1168</v>
      </c>
      <c r="E28" s="214" t="s">
        <v>59</v>
      </c>
      <c r="F28" s="16" t="s">
        <v>328</v>
      </c>
      <c r="G28" s="328"/>
      <c r="L28" s="919" t="s">
        <v>1067</v>
      </c>
      <c r="M28" s="940"/>
      <c r="N28" s="940"/>
      <c r="O28" s="940"/>
      <c r="P28" s="940"/>
      <c r="Q28" s="940"/>
      <c r="R28" s="940"/>
      <c r="S28" s="940"/>
      <c r="T28" s="940"/>
      <c r="U28" s="920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1068</v>
      </c>
      <c r="O31" s="345" t="s">
        <v>662</v>
      </c>
      <c r="P31" s="345" t="s">
        <v>1069</v>
      </c>
      <c r="R31" s="13" t="s">
        <v>1070</v>
      </c>
      <c r="S31" s="13" t="s">
        <v>1071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1072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1073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1169</v>
      </c>
      <c r="X33" s="12" t="s">
        <v>1170</v>
      </c>
    </row>
    <row r="34" spans="1:26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1074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1171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1172</v>
      </c>
      <c r="X35" s="12" t="s">
        <v>1173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990</v>
      </c>
      <c r="D36" s="1" t="s">
        <v>1174</v>
      </c>
      <c r="E36" s="1" t="s">
        <v>59</v>
      </c>
      <c r="F36" s="328"/>
      <c r="G36" s="328"/>
      <c r="L36" s="116"/>
      <c r="N36" s="351" t="s">
        <v>1076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1077</v>
      </c>
      <c r="U36" s="305"/>
      <c r="W36" s="12" t="s">
        <v>1172</v>
      </c>
      <c r="X36" s="12" t="s">
        <v>1175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1173</v>
      </c>
      <c r="D37" s="12" t="s">
        <v>1176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1172</v>
      </c>
      <c r="X37" s="12" t="s">
        <v>990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1175</v>
      </c>
      <c r="D38" s="12" t="s">
        <v>1177</v>
      </c>
      <c r="E38" s="12" t="s">
        <v>59</v>
      </c>
      <c r="F38" s="328"/>
      <c r="G38" s="328"/>
      <c r="W38" s="12" t="s">
        <v>1172</v>
      </c>
      <c r="X38" s="12" t="s">
        <v>1178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1178</v>
      </c>
      <c r="D39" s="12" t="s">
        <v>1179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25">
      <c r="C40" s="18" t="s">
        <v>988</v>
      </c>
      <c r="D40" s="18" t="s">
        <v>1180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989</v>
      </c>
      <c r="D41" s="18" t="s">
        <v>1181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919" t="s">
        <v>1089</v>
      </c>
      <c r="M48" s="940"/>
      <c r="N48" s="940"/>
      <c r="O48" s="940"/>
      <c r="P48" s="940"/>
      <c r="Q48" s="940"/>
      <c r="R48" s="940"/>
      <c r="S48" s="940"/>
      <c r="T48" s="940"/>
      <c r="U48" s="920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1090</v>
      </c>
      <c r="N50" s="345" t="s">
        <v>1091</v>
      </c>
      <c r="O50" s="345" t="s">
        <v>1092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1033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1093</v>
      </c>
      <c r="N54" s="345" t="s">
        <v>1091</v>
      </c>
      <c r="O54" s="345" t="s">
        <v>1092</v>
      </c>
      <c r="P54" s="345" t="s">
        <v>1182</v>
      </c>
      <c r="Q54" s="24" t="s">
        <v>1183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1096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1184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1098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1100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1020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996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19" t="s">
        <v>1103</v>
      </c>
      <c r="M81" s="940"/>
      <c r="N81" s="940"/>
      <c r="O81" s="940"/>
      <c r="P81" s="940"/>
      <c r="Q81" s="940"/>
      <c r="R81" s="940"/>
      <c r="S81" s="940"/>
      <c r="T81" s="940"/>
      <c r="U81" s="920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1104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1069</v>
      </c>
      <c r="T83" s="299"/>
      <c r="U83" s="305"/>
    </row>
    <row r="84" spans="1:21" ht="15.75" customHeight="1" x14ac:dyDescent="0.25">
      <c r="A84" s="12" t="s">
        <v>1105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1106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1107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1108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1109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1110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1111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1112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1113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1114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1115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1116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19" t="s">
        <v>1117</v>
      </c>
      <c r="M104" s="940"/>
      <c r="N104" s="940"/>
      <c r="O104" s="940"/>
      <c r="P104" s="940"/>
      <c r="Q104" s="940"/>
      <c r="R104" s="940"/>
      <c r="S104" s="940"/>
      <c r="T104" s="940"/>
      <c r="U104" s="920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1118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1119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1069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1120</v>
      </c>
      <c r="O108" s="394">
        <f>394.77/299.7</f>
        <v>1.3172172172172172</v>
      </c>
      <c r="P108" s="395">
        <f>+O108</f>
        <v>1.3172172172172172</v>
      </c>
      <c r="Q108" s="12" t="s">
        <v>1121</v>
      </c>
      <c r="U108" s="305"/>
      <c r="X108" s="12">
        <f>+O34*1000000</f>
        <v>5830000</v>
      </c>
      <c r="Y108" s="12" t="s">
        <v>1119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1122</v>
      </c>
      <c r="U110" s="305"/>
      <c r="X110" s="12">
        <f>+X108*X105</f>
        <v>26235000</v>
      </c>
      <c r="Y110" s="12" t="s">
        <v>1123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1124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1125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1126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1114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1115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19" t="s">
        <v>1127</v>
      </c>
      <c r="M128" s="940"/>
      <c r="N128" s="940"/>
      <c r="O128" s="940"/>
      <c r="P128" s="940"/>
      <c r="Q128" s="940"/>
      <c r="R128" s="940"/>
      <c r="S128" s="940"/>
      <c r="T128" s="940"/>
      <c r="U128" s="920"/>
      <c r="W128" s="12" t="s">
        <v>1128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1129</v>
      </c>
    </row>
    <row r="130" spans="2:25" ht="15.75" customHeight="1" x14ac:dyDescent="0.25">
      <c r="B130" s="1"/>
      <c r="C130" s="1"/>
      <c r="D130" s="1" t="s">
        <v>1130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1129</v>
      </c>
      <c r="N130" s="345" t="s">
        <v>1131</v>
      </c>
      <c r="O130" s="345" t="s">
        <v>1069</v>
      </c>
      <c r="P130" s="118"/>
      <c r="Q130" s="118" t="s">
        <v>1132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1133</v>
      </c>
      <c r="E131" s="1">
        <v>874.27499999999998</v>
      </c>
      <c r="F131" s="1" t="s">
        <v>664</v>
      </c>
      <c r="G131" s="401" t="s">
        <v>1185</v>
      </c>
      <c r="H131" s="1">
        <f>643+289</f>
        <v>932</v>
      </c>
      <c r="I131" s="1"/>
      <c r="L131" s="116"/>
      <c r="M131" s="330" t="s">
        <v>1134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1135</v>
      </c>
      <c r="U131" s="305"/>
      <c r="W131" s="12" t="s">
        <v>1136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1137</v>
      </c>
      <c r="E132" s="1">
        <f>+E130-E131</f>
        <v>686.72500000000002</v>
      </c>
      <c r="F132" s="1" t="s">
        <v>664</v>
      </c>
      <c r="G132" s="401" t="s">
        <v>1186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1138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1093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1139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1140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1141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1142</v>
      </c>
      <c r="O137" s="12">
        <v>193</v>
      </c>
      <c r="P137" s="12" t="s">
        <v>1143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1144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1145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1146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1147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1148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1114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1115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19" t="s">
        <v>1149</v>
      </c>
      <c r="M162" s="940"/>
      <c r="N162" s="940"/>
      <c r="O162" s="940"/>
      <c r="P162" s="940"/>
      <c r="Q162" s="940"/>
      <c r="R162" s="940"/>
      <c r="S162" s="940"/>
      <c r="T162" s="940"/>
      <c r="U162" s="920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1054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1150</v>
      </c>
    </row>
    <row r="196" spans="2:16" ht="15.75" customHeight="1" x14ac:dyDescent="0.25">
      <c r="O196" s="12">
        <f>+O195*365</f>
        <v>89425</v>
      </c>
      <c r="P196" s="12" t="s">
        <v>1151</v>
      </c>
    </row>
    <row r="197" spans="2:16" ht="15.75" customHeight="1" x14ac:dyDescent="0.25">
      <c r="O197" s="12">
        <f>+O196/1000</f>
        <v>89.424999999999997</v>
      </c>
      <c r="P197" s="12" t="s">
        <v>1152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1040</v>
      </c>
      <c r="D1" s="12">
        <v>119.96</v>
      </c>
      <c r="E1" s="12" t="s">
        <v>774</v>
      </c>
    </row>
    <row r="2" spans="3:21" x14ac:dyDescent="0.25"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19" t="s">
        <v>1043</v>
      </c>
      <c r="M7" s="940"/>
      <c r="N7" s="940"/>
      <c r="O7" s="940"/>
      <c r="P7" s="940"/>
      <c r="Q7" s="940"/>
      <c r="R7" s="940"/>
      <c r="S7" s="940"/>
      <c r="T7" s="940"/>
      <c r="U7" s="920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41" t="s">
        <v>1044</v>
      </c>
      <c r="O9" s="940"/>
      <c r="P9" s="920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1045</v>
      </c>
      <c r="P10" s="321" t="s">
        <v>1046</v>
      </c>
      <c r="R10" s="942"/>
      <c r="S10" s="908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1047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1048</v>
      </c>
      <c r="O12" s="943"/>
      <c r="P12" s="323"/>
      <c r="R12" s="14"/>
      <c r="S12" s="945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1049</v>
      </c>
      <c r="O13" s="944"/>
      <c r="P13" s="325"/>
      <c r="R13" s="14"/>
      <c r="S13" s="908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1050</v>
      </c>
      <c r="R21" s="335" t="s">
        <v>930</v>
      </c>
      <c r="T21" s="336"/>
      <c r="U21" s="207"/>
      <c r="V21" s="207"/>
    </row>
    <row r="22" spans="1:22" ht="15.75" customHeight="1" x14ac:dyDescent="0.25">
      <c r="A22" s="1" t="s">
        <v>329</v>
      </c>
      <c r="B22" s="1"/>
      <c r="C22" s="17" t="s">
        <v>1051</v>
      </c>
      <c r="D22" s="1" t="s">
        <v>1052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1053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1054</v>
      </c>
    </row>
    <row r="23" spans="1:22" ht="15.75" customHeight="1" x14ac:dyDescent="0.25">
      <c r="A23" s="1"/>
      <c r="B23" s="1"/>
      <c r="C23" s="338" t="s">
        <v>1055</v>
      </c>
      <c r="D23" s="328" t="s">
        <v>1056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1057</v>
      </c>
      <c r="D24" s="328" t="s">
        <v>1058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1059</v>
      </c>
      <c r="D25" s="328" t="s">
        <v>1060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1061</v>
      </c>
      <c r="D26" s="12" t="s">
        <v>1062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1063</v>
      </c>
      <c r="D27" s="12" t="s">
        <v>1064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1065</v>
      </c>
      <c r="D28" s="328" t="s">
        <v>1066</v>
      </c>
      <c r="E28" s="328" t="s">
        <v>59</v>
      </c>
      <c r="F28" s="344" t="s">
        <v>328</v>
      </c>
      <c r="G28" s="328"/>
      <c r="L28" s="919" t="s">
        <v>1067</v>
      </c>
      <c r="M28" s="940"/>
      <c r="N28" s="940"/>
      <c r="O28" s="940"/>
      <c r="P28" s="940"/>
      <c r="Q28" s="940"/>
      <c r="R28" s="940"/>
      <c r="S28" s="940"/>
      <c r="T28" s="940"/>
      <c r="U28" s="920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1068</v>
      </c>
      <c r="O31" s="345" t="s">
        <v>662</v>
      </c>
      <c r="P31" s="345" t="s">
        <v>1069</v>
      </c>
      <c r="R31" s="13" t="s">
        <v>1070</v>
      </c>
      <c r="S31" s="13" t="s">
        <v>1071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1072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1073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1074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1053</v>
      </c>
      <c r="D36" s="1" t="s">
        <v>1075</v>
      </c>
      <c r="E36" s="1" t="s">
        <v>59</v>
      </c>
      <c r="F36" s="328"/>
      <c r="G36" s="328"/>
      <c r="L36" s="116"/>
      <c r="N36" s="351" t="s">
        <v>1076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1077</v>
      </c>
      <c r="U36" s="305"/>
    </row>
    <row r="37" spans="1:21" ht="15.75" customHeight="1" x14ac:dyDescent="0.25">
      <c r="A37" s="1"/>
      <c r="B37" s="1"/>
      <c r="C37" s="12" t="s">
        <v>1078</v>
      </c>
      <c r="D37" s="12" t="s">
        <v>1079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1080</v>
      </c>
      <c r="D38" s="12" t="s">
        <v>1081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1082</v>
      </c>
      <c r="D39" s="12" t="s">
        <v>1083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25">
      <c r="C40" s="18" t="s">
        <v>1085</v>
      </c>
      <c r="D40" s="18" t="s">
        <v>1086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1087</v>
      </c>
      <c r="D41" s="18" t="s">
        <v>1088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919" t="s">
        <v>1089</v>
      </c>
      <c r="M48" s="940"/>
      <c r="N48" s="940"/>
      <c r="O48" s="940"/>
      <c r="P48" s="940"/>
      <c r="Q48" s="940"/>
      <c r="R48" s="940"/>
      <c r="S48" s="940"/>
      <c r="T48" s="940"/>
      <c r="U48" s="920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1090</v>
      </c>
      <c r="N50" s="345" t="s">
        <v>1091</v>
      </c>
      <c r="O50" s="345" t="s">
        <v>1092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1033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1093</v>
      </c>
      <c r="N54" s="345" t="s">
        <v>1091</v>
      </c>
      <c r="O54" s="345" t="s">
        <v>1092</v>
      </c>
      <c r="P54" s="345" t="s">
        <v>1094</v>
      </c>
      <c r="Q54" s="345" t="s">
        <v>1095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1096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1097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1098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1099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1100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1020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996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1102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19" t="s">
        <v>1103</v>
      </c>
      <c r="M81" s="940"/>
      <c r="N81" s="940"/>
      <c r="O81" s="940"/>
      <c r="P81" s="940"/>
      <c r="Q81" s="940"/>
      <c r="R81" s="940"/>
      <c r="S81" s="940"/>
      <c r="T81" s="940"/>
      <c r="U81" s="920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1104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1069</v>
      </c>
      <c r="T83" s="299"/>
      <c r="U83" s="305"/>
    </row>
    <row r="84" spans="1:21" ht="15.75" customHeight="1" x14ac:dyDescent="0.25">
      <c r="A84" s="12" t="s">
        <v>1105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1106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1107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1108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1109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1110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1111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1112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1113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1114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1115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1116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19" t="s">
        <v>1117</v>
      </c>
      <c r="M104" s="940"/>
      <c r="N104" s="940"/>
      <c r="O104" s="940"/>
      <c r="P104" s="940"/>
      <c r="Q104" s="940"/>
      <c r="R104" s="940"/>
      <c r="S104" s="940"/>
      <c r="T104" s="940"/>
      <c r="U104" s="920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1118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1119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1069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1120</v>
      </c>
      <c r="O108" s="394">
        <f>394.77/299.7</f>
        <v>1.3172172172172172</v>
      </c>
      <c r="P108" s="395">
        <f>+O108</f>
        <v>1.3172172172172172</v>
      </c>
      <c r="Q108" s="12" t="s">
        <v>1121</v>
      </c>
      <c r="U108" s="305"/>
      <c r="X108" s="12">
        <f>+O34*1000000</f>
        <v>74825000</v>
      </c>
      <c r="Y108" s="12" t="s">
        <v>1119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1122</v>
      </c>
      <c r="U110" s="305"/>
      <c r="X110" s="12">
        <f>+X108*X105</f>
        <v>336712500</v>
      </c>
      <c r="Y110" s="12" t="s">
        <v>1123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1124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1125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1126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1114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1057</v>
      </c>
      <c r="O117" s="389" t="s">
        <v>1115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19" t="s">
        <v>1127</v>
      </c>
      <c r="M128" s="940"/>
      <c r="N128" s="940"/>
      <c r="O128" s="940"/>
      <c r="P128" s="940"/>
      <c r="Q128" s="940"/>
      <c r="R128" s="940"/>
      <c r="S128" s="940"/>
      <c r="T128" s="940"/>
      <c r="U128" s="920"/>
      <c r="W128" s="12" t="s">
        <v>1128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1129</v>
      </c>
    </row>
    <row r="130" spans="2:25" ht="15.75" customHeight="1" x14ac:dyDescent="0.25">
      <c r="B130" s="1"/>
      <c r="C130" s="1"/>
      <c r="D130" s="1" t="s">
        <v>1130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1129</v>
      </c>
      <c r="N130" s="345" t="s">
        <v>1131</v>
      </c>
      <c r="O130" s="345" t="s">
        <v>1069</v>
      </c>
      <c r="P130" s="118"/>
      <c r="Q130" s="118" t="s">
        <v>1132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1133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1134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1135</v>
      </c>
      <c r="U131" s="305"/>
      <c r="W131" s="12" t="s">
        <v>1136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1137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1138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1093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1139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1140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1141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1142</v>
      </c>
      <c r="O137" s="12">
        <v>193</v>
      </c>
      <c r="P137" s="12" t="s">
        <v>1143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1144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1145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1146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1147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1148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1114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1115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19" t="s">
        <v>1149</v>
      </c>
      <c r="M162" s="940"/>
      <c r="N162" s="940"/>
      <c r="O162" s="940"/>
      <c r="P162" s="940"/>
      <c r="Q162" s="940"/>
      <c r="R162" s="940"/>
      <c r="S162" s="940"/>
      <c r="T162" s="940"/>
      <c r="U162" s="920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1054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1150</v>
      </c>
    </row>
    <row r="196" spans="2:16" ht="15.75" customHeight="1" x14ac:dyDescent="0.25">
      <c r="O196" s="12">
        <f>+O195*365</f>
        <v>89425</v>
      </c>
      <c r="P196" s="12" t="s">
        <v>1151</v>
      </c>
    </row>
    <row r="197" spans="2:16" ht="15.75" customHeight="1" x14ac:dyDescent="0.25">
      <c r="O197" s="12">
        <f>+O196/1000</f>
        <v>89.424999999999997</v>
      </c>
      <c r="P197" s="12" t="s">
        <v>1152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>
      <selection activeCell="C13" sqref="C13"/>
    </sheetView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946" t="s">
        <v>1187</v>
      </c>
      <c r="E2" s="947"/>
      <c r="F2" s="947"/>
      <c r="G2" s="947"/>
      <c r="H2" s="948"/>
    </row>
    <row r="3" spans="1:23" x14ac:dyDescent="0.25">
      <c r="D3" s="426"/>
      <c r="E3" s="949" t="s">
        <v>1188</v>
      </c>
      <c r="F3" s="950"/>
      <c r="G3" s="949" t="s">
        <v>1189</v>
      </c>
      <c r="H3" s="950"/>
    </row>
    <row r="4" spans="1:23" x14ac:dyDescent="0.25">
      <c r="A4" s="12" t="s">
        <v>1190</v>
      </c>
      <c r="D4" s="2"/>
      <c r="E4" s="2" t="s">
        <v>1191</v>
      </c>
      <c r="F4" s="2" t="s">
        <v>1192</v>
      </c>
      <c r="G4" s="2" t="s">
        <v>1191</v>
      </c>
      <c r="H4" s="2" t="s">
        <v>1192</v>
      </c>
    </row>
    <row r="5" spans="1:23" x14ac:dyDescent="0.25">
      <c r="A5" s="12" t="s">
        <v>911</v>
      </c>
      <c r="B5" s="12">
        <v>15</v>
      </c>
      <c r="D5" s="16" t="s">
        <v>1193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1194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1195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1196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951" t="s">
        <v>1197</v>
      </c>
      <c r="O11" s="908"/>
      <c r="P11" s="908"/>
      <c r="Q11" s="908"/>
      <c r="R11" s="908"/>
      <c r="S11" s="908"/>
      <c r="T11" s="908"/>
      <c r="U11" s="908"/>
      <c r="V11" s="99"/>
      <c r="W11" s="99"/>
    </row>
    <row r="12" spans="1:23" ht="37.5" x14ac:dyDescent="0.25">
      <c r="A12" s="12" t="s">
        <v>1198</v>
      </c>
      <c r="C12" s="428" t="s">
        <v>1199</v>
      </c>
      <c r="D12" s="428" t="s">
        <v>1200</v>
      </c>
      <c r="E12" s="428" t="s">
        <v>1201</v>
      </c>
      <c r="F12" s="428" t="s">
        <v>1202</v>
      </c>
      <c r="G12" s="428" t="s">
        <v>1203</v>
      </c>
      <c r="H12" s="428" t="s">
        <v>1204</v>
      </c>
      <c r="I12" s="429"/>
      <c r="J12" s="428" t="s">
        <v>1205</v>
      </c>
      <c r="K12" s="430" t="s">
        <v>1206</v>
      </c>
      <c r="L12" s="430" t="s">
        <v>1207</v>
      </c>
      <c r="M12" s="430" t="s">
        <v>1208</v>
      </c>
      <c r="N12" s="428" t="s">
        <v>1209</v>
      </c>
      <c r="O12" s="428" t="s">
        <v>1210</v>
      </c>
      <c r="P12" s="428" t="s">
        <v>1211</v>
      </c>
      <c r="Q12" s="428" t="s">
        <v>1212</v>
      </c>
      <c r="R12" s="428" t="s">
        <v>1213</v>
      </c>
      <c r="S12" s="428" t="s">
        <v>1214</v>
      </c>
      <c r="T12" s="428" t="s">
        <v>1215</v>
      </c>
      <c r="U12" s="428" t="s">
        <v>1216</v>
      </c>
      <c r="V12" s="428" t="s">
        <v>1217</v>
      </c>
      <c r="W12" s="430" t="s">
        <v>1218</v>
      </c>
    </row>
    <row r="13" spans="1:23" x14ac:dyDescent="0.25">
      <c r="C13" s="431" t="s">
        <v>1219</v>
      </c>
      <c r="D13" s="432" t="s">
        <v>1220</v>
      </c>
      <c r="E13" s="432" t="s">
        <v>1221</v>
      </c>
      <c r="F13" s="432" t="s">
        <v>1222</v>
      </c>
      <c r="G13" s="433" t="s">
        <v>1223</v>
      </c>
      <c r="H13" s="431" t="s">
        <v>1099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1219</v>
      </c>
      <c r="D14" s="432" t="s">
        <v>1220</v>
      </c>
      <c r="E14" s="432" t="s">
        <v>1221</v>
      </c>
      <c r="F14" s="432" t="s">
        <v>1222</v>
      </c>
      <c r="G14" s="433" t="s">
        <v>1224</v>
      </c>
      <c r="H14" s="431" t="s">
        <v>1099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1219</v>
      </c>
      <c r="D15" s="432" t="s">
        <v>1220</v>
      </c>
      <c r="E15" s="432" t="s">
        <v>1225</v>
      </c>
      <c r="F15" s="432" t="s">
        <v>1226</v>
      </c>
      <c r="G15" s="433" t="s">
        <v>1227</v>
      </c>
      <c r="H15" s="431" t="s">
        <v>1099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1219</v>
      </c>
      <c r="D16" s="432" t="s">
        <v>1220</v>
      </c>
      <c r="E16" s="432" t="s">
        <v>1228</v>
      </c>
      <c r="F16" s="432" t="s">
        <v>1226</v>
      </c>
      <c r="G16" s="433" t="s">
        <v>1229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1219</v>
      </c>
      <c r="D17" s="432" t="s">
        <v>1220</v>
      </c>
      <c r="E17" s="432" t="s">
        <v>1230</v>
      </c>
      <c r="F17" s="432" t="s">
        <v>1226</v>
      </c>
      <c r="G17" s="433" t="s">
        <v>1231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1219</v>
      </c>
      <c r="D18" s="432" t="s">
        <v>1220</v>
      </c>
      <c r="E18" s="432" t="s">
        <v>1232</v>
      </c>
      <c r="F18" s="432" t="s">
        <v>1226</v>
      </c>
      <c r="G18" s="433" t="s">
        <v>1233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1219</v>
      </c>
      <c r="D19" s="432" t="s">
        <v>1220</v>
      </c>
      <c r="E19" s="432" t="s">
        <v>1232</v>
      </c>
      <c r="F19" s="432" t="s">
        <v>1226</v>
      </c>
      <c r="G19" s="433" t="s">
        <v>1234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1219</v>
      </c>
      <c r="D20" s="432" t="s">
        <v>1220</v>
      </c>
      <c r="E20" s="432" t="s">
        <v>1235</v>
      </c>
      <c r="F20" s="432" t="s">
        <v>1226</v>
      </c>
      <c r="G20" s="433" t="s">
        <v>1236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1219</v>
      </c>
      <c r="D21" s="432" t="s">
        <v>1220</v>
      </c>
      <c r="E21" s="432" t="s">
        <v>1237</v>
      </c>
      <c r="F21" s="432" t="s">
        <v>1226</v>
      </c>
      <c r="G21" s="433" t="s">
        <v>1238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1219</v>
      </c>
      <c r="D22" s="432" t="s">
        <v>1220</v>
      </c>
      <c r="E22" s="432" t="s">
        <v>1239</v>
      </c>
      <c r="F22" s="432" t="s">
        <v>1226</v>
      </c>
      <c r="G22" s="433" t="s">
        <v>1240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1219</v>
      </c>
      <c r="D23" s="432" t="s">
        <v>1220</v>
      </c>
      <c r="E23" s="432" t="s">
        <v>1239</v>
      </c>
      <c r="F23" s="432" t="s">
        <v>1226</v>
      </c>
      <c r="G23" s="433" t="s">
        <v>1241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1219</v>
      </c>
      <c r="D24" s="432" t="s">
        <v>1220</v>
      </c>
      <c r="E24" s="432" t="s">
        <v>1242</v>
      </c>
      <c r="F24" s="432" t="s">
        <v>1226</v>
      </c>
      <c r="G24" s="433" t="s">
        <v>1243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1219</v>
      </c>
      <c r="D25" s="432" t="s">
        <v>1220</v>
      </c>
      <c r="E25" s="432" t="s">
        <v>1244</v>
      </c>
      <c r="F25" s="432" t="s">
        <v>1245</v>
      </c>
      <c r="G25" s="433" t="s">
        <v>1244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1219</v>
      </c>
      <c r="D26" s="432" t="s">
        <v>1220</v>
      </c>
      <c r="E26" s="432" t="s">
        <v>1246</v>
      </c>
      <c r="F26" s="432" t="s">
        <v>1247</v>
      </c>
      <c r="G26" s="433" t="s">
        <v>1248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1219</v>
      </c>
      <c r="D27" s="432" t="s">
        <v>1220</v>
      </c>
      <c r="E27" s="432" t="s">
        <v>1249</v>
      </c>
      <c r="F27" s="432" t="s">
        <v>1247</v>
      </c>
      <c r="G27" s="433" t="s">
        <v>1250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1219</v>
      </c>
      <c r="D28" s="432" t="s">
        <v>1220</v>
      </c>
      <c r="E28" s="432" t="s">
        <v>1251</v>
      </c>
      <c r="F28" s="432" t="s">
        <v>1247</v>
      </c>
      <c r="G28" s="433" t="s">
        <v>1252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1219</v>
      </c>
      <c r="D29" s="432" t="s">
        <v>1220</v>
      </c>
      <c r="E29" s="432" t="s">
        <v>1253</v>
      </c>
      <c r="F29" s="432" t="s">
        <v>1247</v>
      </c>
      <c r="G29" s="433" t="s">
        <v>1254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1219</v>
      </c>
      <c r="D30" s="432" t="s">
        <v>1220</v>
      </c>
      <c r="E30" s="432" t="s">
        <v>1255</v>
      </c>
      <c r="F30" s="432" t="s">
        <v>1256</v>
      </c>
      <c r="G30" s="433" t="s">
        <v>1257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1219</v>
      </c>
      <c r="D31" s="432" t="s">
        <v>1220</v>
      </c>
      <c r="E31" s="432" t="s">
        <v>1258</v>
      </c>
      <c r="F31" s="432" t="s">
        <v>1256</v>
      </c>
      <c r="G31" s="433" t="s">
        <v>1259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1219</v>
      </c>
      <c r="D32" s="432" t="s">
        <v>1220</v>
      </c>
      <c r="E32" s="432" t="s">
        <v>1260</v>
      </c>
      <c r="F32" s="432" t="s">
        <v>1256</v>
      </c>
      <c r="G32" s="438" t="s">
        <v>1261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1262</v>
      </c>
      <c r="D33" s="242" t="s">
        <v>1220</v>
      </c>
      <c r="E33" s="242" t="s">
        <v>1263</v>
      </c>
      <c r="F33" s="242" t="s">
        <v>1264</v>
      </c>
      <c r="G33" s="440" t="s">
        <v>1265</v>
      </c>
      <c r="H33" s="441" t="s">
        <v>1099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1266</v>
      </c>
      <c r="D34" s="242" t="s">
        <v>1220</v>
      </c>
      <c r="E34" s="242" t="s">
        <v>1267</v>
      </c>
      <c r="F34" s="242" t="s">
        <v>1264</v>
      </c>
      <c r="G34" s="440" t="s">
        <v>1268</v>
      </c>
      <c r="H34" s="441" t="s">
        <v>1099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1266</v>
      </c>
      <c r="D35" s="242" t="s">
        <v>1220</v>
      </c>
      <c r="E35" s="242" t="s">
        <v>1267</v>
      </c>
      <c r="F35" s="242" t="s">
        <v>1264</v>
      </c>
      <c r="G35" s="440" t="s">
        <v>1269</v>
      </c>
      <c r="H35" s="441" t="s">
        <v>1099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1270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907" t="s">
        <v>7</v>
      </c>
      <c r="H59" s="908"/>
      <c r="J59" s="952" t="s">
        <v>686</v>
      </c>
      <c r="K59" s="908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1271</v>
      </c>
      <c r="F61" s="432" t="s">
        <v>1222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1272</v>
      </c>
      <c r="F62" s="432" t="s">
        <v>1226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1245</v>
      </c>
      <c r="F63" s="432" t="s">
        <v>1245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1273</v>
      </c>
      <c r="F64" s="432" t="s">
        <v>1247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1274</v>
      </c>
      <c r="F65" s="432" t="s">
        <v>1256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1220</v>
      </c>
      <c r="L80" s="12" t="s">
        <v>1275</v>
      </c>
    </row>
    <row r="81" spans="5:15" ht="15.75" customHeight="1" x14ac:dyDescent="0.25">
      <c r="E81" s="447" t="s">
        <v>1219</v>
      </c>
      <c r="F81" s="359" t="s">
        <v>1276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1219</v>
      </c>
      <c r="F82" s="359" t="s">
        <v>1277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1278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1279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1219</v>
      </c>
      <c r="F85" s="359" t="s">
        <v>1280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1219</v>
      </c>
      <c r="F86" s="359" t="s">
        <v>1281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1219</v>
      </c>
      <c r="F87" s="359" t="s">
        <v>1282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1219</v>
      </c>
      <c r="F88" s="359" t="s">
        <v>1283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1278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1219</v>
      </c>
      <c r="F90" s="359" t="s">
        <v>1284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1285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1286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1219</v>
      </c>
      <c r="F93" s="359" t="s">
        <v>1287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907" t="s">
        <v>1288</v>
      </c>
      <c r="F103" s="908"/>
    </row>
    <row r="104" spans="5:15" ht="15.75" customHeight="1" x14ac:dyDescent="0.25">
      <c r="E104" s="14"/>
      <c r="F104" s="14" t="s">
        <v>1220</v>
      </c>
      <c r="G104" s="12" t="s">
        <v>1289</v>
      </c>
      <c r="H104" s="12" t="s">
        <v>1290</v>
      </c>
      <c r="I104" s="12" t="s">
        <v>1291</v>
      </c>
      <c r="J104" s="12" t="s">
        <v>1292</v>
      </c>
      <c r="K104" s="12" t="s">
        <v>1293</v>
      </c>
      <c r="L104" s="12" t="s">
        <v>1294</v>
      </c>
      <c r="M104" s="12" t="s">
        <v>1295</v>
      </c>
      <c r="N104" s="12" t="s">
        <v>1296</v>
      </c>
      <c r="O104" s="12" t="s">
        <v>1297</v>
      </c>
    </row>
    <row r="105" spans="5:15" ht="15.75" customHeight="1" x14ac:dyDescent="0.25">
      <c r="E105" s="14" t="s">
        <v>1298</v>
      </c>
      <c r="F105" s="14" t="s">
        <v>1299</v>
      </c>
    </row>
    <row r="106" spans="5:15" ht="15.75" customHeight="1" x14ac:dyDescent="0.25">
      <c r="E106" s="13" t="s">
        <v>1265</v>
      </c>
      <c r="F106" s="14" t="s">
        <v>1300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1301</v>
      </c>
      <c r="F107" s="14" t="s">
        <v>1302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1303</v>
      </c>
      <c r="F108" s="14" t="s">
        <v>1299</v>
      </c>
    </row>
    <row r="109" spans="5:15" ht="15.75" customHeight="1" x14ac:dyDescent="0.25">
      <c r="E109" s="14" t="s">
        <v>1304</v>
      </c>
      <c r="F109" s="14" t="s">
        <v>1299</v>
      </c>
    </row>
    <row r="110" spans="5:15" ht="15.75" customHeight="1" x14ac:dyDescent="0.25">
      <c r="E110" s="14" t="s">
        <v>1305</v>
      </c>
      <c r="F110" s="14" t="s">
        <v>1299</v>
      </c>
    </row>
    <row r="111" spans="5:15" ht="15.75" customHeight="1" x14ac:dyDescent="0.25">
      <c r="E111" s="14" t="s">
        <v>1306</v>
      </c>
      <c r="F111" s="14" t="s">
        <v>1299</v>
      </c>
    </row>
    <row r="112" spans="5:15" ht="15.75" customHeight="1" x14ac:dyDescent="0.25">
      <c r="E112" s="13" t="s">
        <v>1269</v>
      </c>
      <c r="F112" s="14" t="s">
        <v>1300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1307</v>
      </c>
      <c r="F113" s="14" t="s">
        <v>1299</v>
      </c>
    </row>
    <row r="114" spans="5:6" ht="15.75" customHeight="1" x14ac:dyDescent="0.25">
      <c r="E114" s="14" t="s">
        <v>1308</v>
      </c>
      <c r="F114" s="14"/>
    </row>
    <row r="115" spans="5:6" ht="15.75" customHeight="1" x14ac:dyDescent="0.25">
      <c r="E115" s="14" t="s">
        <v>1309</v>
      </c>
      <c r="F115" s="14" t="s">
        <v>1299</v>
      </c>
    </row>
    <row r="116" spans="5:6" ht="15.75" customHeight="1" x14ac:dyDescent="0.25">
      <c r="E116" s="14" t="s">
        <v>1310</v>
      </c>
      <c r="F116" s="14" t="s">
        <v>1299</v>
      </c>
    </row>
    <row r="117" spans="5:6" ht="15.75" customHeight="1" x14ac:dyDescent="0.25">
      <c r="E117" s="14" t="s">
        <v>1311</v>
      </c>
      <c r="F117" s="14" t="s">
        <v>1299</v>
      </c>
    </row>
    <row r="118" spans="5:6" ht="15.75" customHeight="1" x14ac:dyDescent="0.25">
      <c r="E118" s="14" t="s">
        <v>1312</v>
      </c>
      <c r="F118" s="14" t="s">
        <v>1299</v>
      </c>
    </row>
    <row r="119" spans="5:6" ht="15.75" customHeight="1" x14ac:dyDescent="0.25">
      <c r="E119" s="14" t="s">
        <v>1313</v>
      </c>
      <c r="F119" s="14" t="s">
        <v>1299</v>
      </c>
    </row>
    <row r="120" spans="5:6" ht="15.75" customHeight="1" x14ac:dyDescent="0.25">
      <c r="E120" s="14" t="s">
        <v>1314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>
      <selection activeCell="J6" sqref="J6"/>
    </sheetView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1315</v>
      </c>
      <c r="T1" s="12">
        <v>5.7</v>
      </c>
      <c r="U1" s="12" t="s">
        <v>1316</v>
      </c>
    </row>
    <row r="2" spans="8:61" x14ac:dyDescent="0.25">
      <c r="L2" s="306"/>
      <c r="M2" s="306"/>
      <c r="Q2" s="12">
        <f>+Q1/1000</f>
        <v>6.0871741676095338E-3</v>
      </c>
      <c r="R2" s="12" t="s">
        <v>1317</v>
      </c>
      <c r="T2" s="12">
        <f>+T1/1000</f>
        <v>5.7000000000000002E-3</v>
      </c>
      <c r="U2" s="12" t="s">
        <v>1317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1318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1319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1319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1199</v>
      </c>
      <c r="I5" s="456" t="s">
        <v>1200</v>
      </c>
      <c r="J5" s="426" t="s">
        <v>1201</v>
      </c>
      <c r="K5" s="456" t="s">
        <v>1202</v>
      </c>
      <c r="L5" s="456" t="s">
        <v>1203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1320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1321</v>
      </c>
      <c r="AT5" s="446" t="s">
        <v>1322</v>
      </c>
      <c r="AU5" s="12" t="s">
        <v>1323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1321</v>
      </c>
    </row>
    <row r="6" spans="8:61" ht="15.75" x14ac:dyDescent="0.25">
      <c r="H6" s="431" t="s">
        <v>1219</v>
      </c>
      <c r="I6" s="432" t="s">
        <v>1220</v>
      </c>
      <c r="J6" s="432" t="s">
        <v>1221</v>
      </c>
      <c r="K6" s="432" t="s">
        <v>1222</v>
      </c>
      <c r="L6" s="433" t="s">
        <v>1223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1223</v>
      </c>
      <c r="AS6" s="205"/>
      <c r="AT6" s="472" t="s">
        <v>1324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1219</v>
      </c>
      <c r="I7" s="432" t="s">
        <v>1220</v>
      </c>
      <c r="J7" s="432" t="s">
        <v>1221</v>
      </c>
      <c r="K7" s="432" t="s">
        <v>1222</v>
      </c>
      <c r="L7" s="433" t="s">
        <v>1224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1224</v>
      </c>
      <c r="AT7" s="476" t="s">
        <v>1325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1219</v>
      </c>
      <c r="I8" s="432" t="s">
        <v>1220</v>
      </c>
      <c r="J8" s="432" t="s">
        <v>1225</v>
      </c>
      <c r="K8" s="432" t="s">
        <v>1226</v>
      </c>
      <c r="L8" s="433" t="s">
        <v>1227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1227</v>
      </c>
      <c r="AT8" s="479" t="s">
        <v>1326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1219</v>
      </c>
      <c r="I9" s="432" t="s">
        <v>1220</v>
      </c>
      <c r="J9" s="432" t="s">
        <v>1228</v>
      </c>
      <c r="K9" s="432" t="s">
        <v>1226</v>
      </c>
      <c r="L9" s="433" t="s">
        <v>1229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1229</v>
      </c>
      <c r="AT9" s="479" t="s">
        <v>1327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1219</v>
      </c>
      <c r="I10" s="432" t="s">
        <v>1220</v>
      </c>
      <c r="J10" s="432" t="s">
        <v>1230</v>
      </c>
      <c r="K10" s="432" t="s">
        <v>1226</v>
      </c>
      <c r="L10" s="433" t="s">
        <v>1231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1231</v>
      </c>
      <c r="AT10" s="479" t="s">
        <v>1328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1219</v>
      </c>
      <c r="I11" s="432" t="s">
        <v>1220</v>
      </c>
      <c r="J11" s="432" t="s">
        <v>1232</v>
      </c>
      <c r="K11" s="432" t="s">
        <v>1226</v>
      </c>
      <c r="L11" s="433" t="s">
        <v>1233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1233</v>
      </c>
      <c r="AT11" s="480" t="s">
        <v>1329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1219</v>
      </c>
      <c r="I12" s="432" t="s">
        <v>1220</v>
      </c>
      <c r="J12" s="432" t="s">
        <v>1232</v>
      </c>
      <c r="K12" s="432" t="s">
        <v>1226</v>
      </c>
      <c r="L12" s="433" t="s">
        <v>1234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1234</v>
      </c>
      <c r="AT12" s="484"/>
    </row>
    <row r="13" spans="8:61" x14ac:dyDescent="0.25">
      <c r="H13" s="431" t="s">
        <v>1219</v>
      </c>
      <c r="I13" s="432" t="s">
        <v>1220</v>
      </c>
      <c r="J13" s="432" t="s">
        <v>1235</v>
      </c>
      <c r="K13" s="432" t="s">
        <v>1226</v>
      </c>
      <c r="L13" s="433" t="s">
        <v>1236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1236</v>
      </c>
      <c r="AV13" s="293">
        <f>+SUM(AV6:BH11)</f>
        <v>5175.1741990991441</v>
      </c>
    </row>
    <row r="14" spans="8:61" ht="25.5" x14ac:dyDescent="0.25">
      <c r="H14" s="431" t="s">
        <v>1219</v>
      </c>
      <c r="I14" s="432" t="s">
        <v>1220</v>
      </c>
      <c r="J14" s="432" t="s">
        <v>1237</v>
      </c>
      <c r="K14" s="432" t="s">
        <v>1226</v>
      </c>
      <c r="L14" s="433" t="s">
        <v>1238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1238</v>
      </c>
    </row>
    <row r="15" spans="8:61" x14ac:dyDescent="0.25">
      <c r="H15" s="431" t="s">
        <v>1219</v>
      </c>
      <c r="I15" s="432" t="s">
        <v>1220</v>
      </c>
      <c r="J15" s="432" t="s">
        <v>1239</v>
      </c>
      <c r="K15" s="432" t="s">
        <v>1226</v>
      </c>
      <c r="L15" s="433" t="s">
        <v>1240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1240</v>
      </c>
      <c r="BI15" s="12">
        <f>15*BI11</f>
        <v>-10.906059809289212</v>
      </c>
    </row>
    <row r="16" spans="8:61" x14ac:dyDescent="0.25">
      <c r="H16" s="431" t="s">
        <v>1219</v>
      </c>
      <c r="I16" s="432" t="s">
        <v>1220</v>
      </c>
      <c r="J16" s="432" t="s">
        <v>1239</v>
      </c>
      <c r="K16" s="432" t="s">
        <v>1226</v>
      </c>
      <c r="L16" s="433" t="s">
        <v>1241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1241</v>
      </c>
      <c r="BI16" s="293">
        <f>+AV11+BI15</f>
        <v>11.839307116564433</v>
      </c>
    </row>
    <row r="17" spans="1:61" x14ac:dyDescent="0.25">
      <c r="H17" s="431" t="s">
        <v>1219</v>
      </c>
      <c r="I17" s="432" t="s">
        <v>1220</v>
      </c>
      <c r="J17" s="432" t="s">
        <v>1242</v>
      </c>
      <c r="K17" s="432" t="s">
        <v>1226</v>
      </c>
      <c r="L17" s="433" t="s">
        <v>1243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1243</v>
      </c>
      <c r="BH17" s="293"/>
    </row>
    <row r="18" spans="1:61" x14ac:dyDescent="0.25">
      <c r="H18" s="431" t="s">
        <v>1219</v>
      </c>
      <c r="I18" s="432" t="s">
        <v>1220</v>
      </c>
      <c r="J18" s="432" t="s">
        <v>1244</v>
      </c>
      <c r="K18" s="432" t="s">
        <v>1245</v>
      </c>
      <c r="L18" s="433" t="s">
        <v>1244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1244</v>
      </c>
      <c r="BI18" s="485"/>
    </row>
    <row r="19" spans="1:61" x14ac:dyDescent="0.25">
      <c r="H19" s="431" t="s">
        <v>1219</v>
      </c>
      <c r="I19" s="432" t="s">
        <v>1220</v>
      </c>
      <c r="J19" s="432" t="s">
        <v>1246</v>
      </c>
      <c r="K19" s="432" t="s">
        <v>1247</v>
      </c>
      <c r="L19" s="433" t="s">
        <v>1248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1248</v>
      </c>
    </row>
    <row r="20" spans="1:61" x14ac:dyDescent="0.25">
      <c r="H20" s="431" t="s">
        <v>1219</v>
      </c>
      <c r="I20" s="432" t="s">
        <v>1220</v>
      </c>
      <c r="J20" s="432" t="s">
        <v>1249</v>
      </c>
      <c r="K20" s="432" t="s">
        <v>1247</v>
      </c>
      <c r="L20" s="433" t="s">
        <v>1250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1250</v>
      </c>
    </row>
    <row r="21" spans="1:61" ht="15.75" customHeight="1" x14ac:dyDescent="0.25">
      <c r="H21" s="431" t="s">
        <v>1219</v>
      </c>
      <c r="I21" s="432" t="s">
        <v>1220</v>
      </c>
      <c r="J21" s="432" t="s">
        <v>1251</v>
      </c>
      <c r="K21" s="432" t="s">
        <v>1247</v>
      </c>
      <c r="L21" s="433" t="s">
        <v>1252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1252</v>
      </c>
    </row>
    <row r="22" spans="1:61" ht="15.75" customHeight="1" x14ac:dyDescent="0.25">
      <c r="H22" s="431" t="s">
        <v>1219</v>
      </c>
      <c r="I22" s="432" t="s">
        <v>1220</v>
      </c>
      <c r="J22" s="432" t="s">
        <v>1253</v>
      </c>
      <c r="K22" s="432" t="s">
        <v>1247</v>
      </c>
      <c r="L22" s="433" t="s">
        <v>1254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1254</v>
      </c>
    </row>
    <row r="23" spans="1:61" ht="15.75" customHeight="1" x14ac:dyDescent="0.25">
      <c r="H23" s="431" t="s">
        <v>1219</v>
      </c>
      <c r="I23" s="432" t="s">
        <v>1220</v>
      </c>
      <c r="J23" s="432" t="s">
        <v>1255</v>
      </c>
      <c r="K23" s="432" t="s">
        <v>1256</v>
      </c>
      <c r="L23" s="433" t="s">
        <v>1257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1257</v>
      </c>
    </row>
    <row r="24" spans="1:61" ht="15.75" customHeight="1" x14ac:dyDescent="0.25">
      <c r="H24" s="431" t="s">
        <v>1219</v>
      </c>
      <c r="I24" s="432" t="s">
        <v>1220</v>
      </c>
      <c r="J24" s="432" t="s">
        <v>1258</v>
      </c>
      <c r="K24" s="432" t="s">
        <v>1256</v>
      </c>
      <c r="L24" s="433" t="s">
        <v>1259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1259</v>
      </c>
    </row>
    <row r="25" spans="1:61" ht="15.75" customHeight="1" x14ac:dyDescent="0.25">
      <c r="H25" s="431" t="s">
        <v>1219</v>
      </c>
      <c r="I25" s="432" t="s">
        <v>1220</v>
      </c>
      <c r="J25" s="432" t="s">
        <v>1260</v>
      </c>
      <c r="K25" s="432" t="s">
        <v>1256</v>
      </c>
      <c r="L25" s="438" t="s">
        <v>1261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1261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1265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1265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1268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1268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1269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1269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1323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1330</v>
      </c>
      <c r="L35" s="306"/>
      <c r="M35" s="306"/>
    </row>
    <row r="36" spans="1:43" ht="15.75" customHeight="1" x14ac:dyDescent="0.25">
      <c r="I36" s="12">
        <v>1</v>
      </c>
      <c r="J36" s="12" t="s">
        <v>1331</v>
      </c>
      <c r="L36" s="306"/>
      <c r="M36" s="306"/>
    </row>
    <row r="37" spans="1:43" ht="15.75" customHeight="1" x14ac:dyDescent="0.25">
      <c r="D37" s="14" t="s">
        <v>1323</v>
      </c>
      <c r="E37" s="14" t="s">
        <v>1323</v>
      </c>
      <c r="L37" s="306"/>
      <c r="M37" s="492"/>
      <c r="N37" s="953" t="s">
        <v>1332</v>
      </c>
      <c r="O37" s="905"/>
      <c r="P37" s="905"/>
      <c r="Q37" s="905"/>
      <c r="R37" s="905"/>
      <c r="S37" s="905"/>
      <c r="T37" s="905"/>
      <c r="U37" s="905"/>
      <c r="V37" s="905"/>
      <c r="W37" s="906"/>
      <c r="X37" s="492"/>
      <c r="Y37" s="492"/>
      <c r="Z37" s="492"/>
      <c r="AE37" s="954" t="s">
        <v>1333</v>
      </c>
      <c r="AF37" s="905"/>
      <c r="AG37" s="905"/>
      <c r="AH37" s="905"/>
      <c r="AI37" s="905"/>
      <c r="AJ37" s="905"/>
      <c r="AK37" s="905"/>
      <c r="AL37" s="905"/>
      <c r="AM37" s="905"/>
      <c r="AN37" s="906"/>
      <c r="AO37" s="216"/>
      <c r="AP37" s="216"/>
      <c r="AQ37" s="216"/>
    </row>
    <row r="38" spans="1:43" ht="15.75" customHeight="1" x14ac:dyDescent="0.25">
      <c r="D38" s="12" t="s">
        <v>1334</v>
      </c>
      <c r="E38" s="493" t="str">
        <f>"-RR2050"</f>
        <v>-RR2050</v>
      </c>
      <c r="F38" s="446" t="s">
        <v>1335</v>
      </c>
      <c r="G38" s="446" t="s">
        <v>1336</v>
      </c>
      <c r="H38" s="446" t="s">
        <v>1337</v>
      </c>
      <c r="I38" s="446" t="s">
        <v>1338</v>
      </c>
      <c r="J38" s="446" t="s">
        <v>1339</v>
      </c>
      <c r="K38" s="446" t="s">
        <v>1340</v>
      </c>
      <c r="L38" s="494" t="s">
        <v>1341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1342</v>
      </c>
      <c r="AB38" s="466" t="s">
        <v>1343</v>
      </c>
      <c r="AC38" s="499" t="s">
        <v>1344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1345</v>
      </c>
      <c r="C39" s="12" t="s">
        <v>1241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1241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1345</v>
      </c>
      <c r="C40" s="12" t="s">
        <v>1243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1243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1345</v>
      </c>
      <c r="C41" s="12" t="s">
        <v>1346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1346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1345</v>
      </c>
      <c r="C42" s="12" t="s">
        <v>1224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1224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1345</v>
      </c>
      <c r="C43" s="12" t="s">
        <v>1248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1248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1345</v>
      </c>
      <c r="C44" s="1" t="s">
        <v>1347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1347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1345</v>
      </c>
      <c r="C45" s="1" t="s">
        <v>1348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1348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1349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1349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1350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1350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1240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1240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1351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1351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1223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1223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1352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1352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1353</v>
      </c>
      <c r="C52" s="1" t="s">
        <v>1354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1354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1355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1355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1353</v>
      </c>
      <c r="C54" s="1" t="s">
        <v>1356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1356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1357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1357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1353</v>
      </c>
      <c r="C56" s="1" t="s">
        <v>1358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1358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1353</v>
      </c>
      <c r="C57" s="1" t="s">
        <v>1359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1359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1360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1360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1353</v>
      </c>
      <c r="C59" s="1" t="s">
        <v>1361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1361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1362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1362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1227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1227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1363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1363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1254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1254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1244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1244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1364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1364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1365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1365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1236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1236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1259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1259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1366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1366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1261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1261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1252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1367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1265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1265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1268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1268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1269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1269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1368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1369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1370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1371</v>
      </c>
      <c r="M79" s="306"/>
    </row>
    <row r="80" spans="2:43" ht="15.75" customHeight="1" x14ac:dyDescent="0.25">
      <c r="F80" s="12" t="s">
        <v>1372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1373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1354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1355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953" t="s">
        <v>1332</v>
      </c>
      <c r="O86" s="905"/>
      <c r="P86" s="905"/>
      <c r="Q86" s="905"/>
      <c r="R86" s="905"/>
      <c r="S86" s="905"/>
      <c r="T86" s="905"/>
      <c r="U86" s="905"/>
      <c r="V86" s="905"/>
      <c r="W86" s="906"/>
      <c r="X86" s="492"/>
      <c r="Y86" s="492"/>
      <c r="Z86" s="492"/>
    </row>
    <row r="87" spans="3:26" ht="15.75" customHeight="1" x14ac:dyDescent="0.25">
      <c r="H87" s="456" t="s">
        <v>1199</v>
      </c>
      <c r="I87" s="456" t="s">
        <v>1200</v>
      </c>
      <c r="J87" s="426" t="s">
        <v>1201</v>
      </c>
      <c r="K87" s="456" t="s">
        <v>1202</v>
      </c>
      <c r="L87" s="456" t="s">
        <v>1203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1219</v>
      </c>
      <c r="I88" s="432" t="s">
        <v>1220</v>
      </c>
      <c r="J88" s="432" t="s">
        <v>1221</v>
      </c>
      <c r="K88" s="432" t="s">
        <v>1222</v>
      </c>
      <c r="L88" s="389" t="s">
        <v>1223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1219</v>
      </c>
      <c r="I89" s="432" t="s">
        <v>1220</v>
      </c>
      <c r="J89" s="432" t="s">
        <v>1221</v>
      </c>
      <c r="K89" s="432" t="s">
        <v>1222</v>
      </c>
      <c r="L89" s="389" t="s">
        <v>1224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1219</v>
      </c>
      <c r="I90" s="432" t="s">
        <v>1220</v>
      </c>
      <c r="J90" s="432" t="s">
        <v>1225</v>
      </c>
      <c r="K90" s="432" t="s">
        <v>1226</v>
      </c>
      <c r="L90" s="389" t="s">
        <v>1227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1219</v>
      </c>
      <c r="I91" s="432" t="s">
        <v>1220</v>
      </c>
      <c r="J91" s="432" t="s">
        <v>1228</v>
      </c>
      <c r="K91" s="432" t="s">
        <v>1226</v>
      </c>
      <c r="L91" s="389" t="s">
        <v>1229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1219</v>
      </c>
      <c r="I92" s="432" t="s">
        <v>1220</v>
      </c>
      <c r="J92" s="432" t="s">
        <v>1230</v>
      </c>
      <c r="K92" s="432" t="s">
        <v>1226</v>
      </c>
      <c r="L92" s="389" t="s">
        <v>1231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1219</v>
      </c>
      <c r="I93" s="432" t="s">
        <v>1220</v>
      </c>
      <c r="J93" s="432" t="s">
        <v>1232</v>
      </c>
      <c r="K93" s="432" t="s">
        <v>1226</v>
      </c>
      <c r="L93" s="389" t="s">
        <v>1233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1219</v>
      </c>
      <c r="I94" s="432" t="s">
        <v>1220</v>
      </c>
      <c r="J94" s="432" t="s">
        <v>1232</v>
      </c>
      <c r="K94" s="432" t="s">
        <v>1226</v>
      </c>
      <c r="L94" s="389" t="s">
        <v>1234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1219</v>
      </c>
      <c r="I95" s="432" t="s">
        <v>1220</v>
      </c>
      <c r="J95" s="432" t="s">
        <v>1235</v>
      </c>
      <c r="K95" s="432" t="s">
        <v>1226</v>
      </c>
      <c r="L95" s="389" t="s">
        <v>1236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1219</v>
      </c>
      <c r="I96" s="432" t="s">
        <v>1220</v>
      </c>
      <c r="J96" s="432" t="s">
        <v>1237</v>
      </c>
      <c r="K96" s="432" t="s">
        <v>1226</v>
      </c>
      <c r="L96" s="389" t="s">
        <v>1238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1219</v>
      </c>
      <c r="I97" s="432" t="s">
        <v>1220</v>
      </c>
      <c r="J97" s="432" t="s">
        <v>1239</v>
      </c>
      <c r="K97" s="432" t="s">
        <v>1226</v>
      </c>
      <c r="L97" s="389" t="s">
        <v>1240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1219</v>
      </c>
      <c r="I98" s="432" t="s">
        <v>1220</v>
      </c>
      <c r="J98" s="432" t="s">
        <v>1239</v>
      </c>
      <c r="K98" s="432" t="s">
        <v>1226</v>
      </c>
      <c r="L98" s="389" t="s">
        <v>1241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1219</v>
      </c>
      <c r="I99" s="432" t="s">
        <v>1220</v>
      </c>
      <c r="J99" s="432" t="s">
        <v>1242</v>
      </c>
      <c r="K99" s="432" t="s">
        <v>1226</v>
      </c>
      <c r="L99" s="389" t="s">
        <v>1243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1219</v>
      </c>
      <c r="I100" s="432" t="s">
        <v>1220</v>
      </c>
      <c r="J100" s="432" t="s">
        <v>1244</v>
      </c>
      <c r="K100" s="432" t="s">
        <v>1245</v>
      </c>
      <c r="L100" s="389" t="s">
        <v>1244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1219</v>
      </c>
      <c r="I101" s="432" t="s">
        <v>1220</v>
      </c>
      <c r="J101" s="432" t="s">
        <v>1246</v>
      </c>
      <c r="K101" s="432" t="s">
        <v>1247</v>
      </c>
      <c r="L101" s="389" t="s">
        <v>1248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1219</v>
      </c>
      <c r="I102" s="432" t="s">
        <v>1220</v>
      </c>
      <c r="J102" s="432" t="s">
        <v>1249</v>
      </c>
      <c r="K102" s="432" t="s">
        <v>1247</v>
      </c>
      <c r="L102" s="389" t="s">
        <v>1250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1219</v>
      </c>
      <c r="I103" s="432" t="s">
        <v>1220</v>
      </c>
      <c r="J103" s="432" t="s">
        <v>1251</v>
      </c>
      <c r="K103" s="432" t="s">
        <v>1247</v>
      </c>
      <c r="L103" s="389" t="s">
        <v>1252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1219</v>
      </c>
      <c r="I104" s="432" t="s">
        <v>1220</v>
      </c>
      <c r="J104" s="432" t="s">
        <v>1253</v>
      </c>
      <c r="K104" s="432" t="s">
        <v>1247</v>
      </c>
      <c r="L104" s="389" t="s">
        <v>1254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1219</v>
      </c>
      <c r="I105" s="432" t="s">
        <v>1220</v>
      </c>
      <c r="J105" s="432" t="s">
        <v>1255</v>
      </c>
      <c r="K105" s="432" t="s">
        <v>1256</v>
      </c>
      <c r="L105" s="389" t="s">
        <v>1257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1219</v>
      </c>
      <c r="I106" s="432" t="s">
        <v>1220</v>
      </c>
      <c r="J106" s="432" t="s">
        <v>1258</v>
      </c>
      <c r="K106" s="432" t="s">
        <v>1256</v>
      </c>
      <c r="L106" s="389" t="s">
        <v>1259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1219</v>
      </c>
      <c r="I107" s="432" t="s">
        <v>1220</v>
      </c>
      <c r="J107" s="432" t="s">
        <v>1260</v>
      </c>
      <c r="K107" s="432" t="s">
        <v>1256</v>
      </c>
      <c r="L107" s="389" t="s">
        <v>1261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1265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1268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1269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953" t="s">
        <v>1332</v>
      </c>
      <c r="O115" s="905"/>
      <c r="P115" s="905"/>
      <c r="Q115" s="905"/>
      <c r="R115" s="905"/>
      <c r="S115" s="905"/>
      <c r="T115" s="905"/>
      <c r="U115" s="905"/>
      <c r="V115" s="905"/>
      <c r="W115" s="906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1203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1223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1224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1227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1229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1231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1233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1234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1236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1238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1240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1241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1243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1244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1248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1250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1252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1254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1257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1259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1261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1265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1268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1269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H1" workbookViewId="0">
      <selection activeCell="Q21" sqref="Q21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1374</v>
      </c>
      <c r="O3" s="14" t="s">
        <v>1374</v>
      </c>
      <c r="P3" s="14" t="s">
        <v>1374</v>
      </c>
      <c r="Q3" s="14" t="s">
        <v>1374</v>
      </c>
      <c r="R3" s="14" t="s">
        <v>1374</v>
      </c>
      <c r="S3" s="14" t="s">
        <v>1374</v>
      </c>
      <c r="T3" s="14" t="s">
        <v>1374</v>
      </c>
      <c r="U3" s="14" t="s">
        <v>1374</v>
      </c>
      <c r="V3" s="14" t="s">
        <v>1374</v>
      </c>
      <c r="W3" s="14" t="s">
        <v>1374</v>
      </c>
      <c r="X3" s="14" t="s">
        <v>1374</v>
      </c>
      <c r="Y3" s="14" t="s">
        <v>1375</v>
      </c>
      <c r="Z3" s="14" t="s">
        <v>1374</v>
      </c>
      <c r="AA3" s="1"/>
      <c r="AB3" s="964">
        <v>2019</v>
      </c>
      <c r="AC3" s="905"/>
      <c r="AD3" s="905"/>
      <c r="AE3" s="905"/>
      <c r="AF3" s="906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1202</v>
      </c>
      <c r="J4" s="428" t="s">
        <v>1203</v>
      </c>
      <c r="K4" s="428" t="s">
        <v>1204</v>
      </c>
      <c r="L4" s="429"/>
      <c r="M4" s="428" t="str">
        <f>+'5. ANH'!J12</f>
        <v>Type of Oil producing</v>
      </c>
      <c r="N4" s="430" t="s">
        <v>1376</v>
      </c>
      <c r="O4" s="430" t="s">
        <v>1377</v>
      </c>
      <c r="P4" s="430" t="s">
        <v>1378</v>
      </c>
      <c r="Q4" s="428" t="s">
        <v>1379</v>
      </c>
      <c r="R4" s="428" t="s">
        <v>1380</v>
      </c>
      <c r="S4" s="428" t="s">
        <v>1381</v>
      </c>
      <c r="T4" s="428" t="s">
        <v>1382</v>
      </c>
      <c r="U4" s="428" t="s">
        <v>1383</v>
      </c>
      <c r="V4" s="428" t="s">
        <v>1384</v>
      </c>
      <c r="W4" s="428" t="s">
        <v>1385</v>
      </c>
      <c r="X4" s="428" t="s">
        <v>1386</v>
      </c>
      <c r="Y4" s="428" t="s">
        <v>1387</v>
      </c>
      <c r="Z4" s="430" t="s">
        <v>1388</v>
      </c>
      <c r="AA4" s="1"/>
      <c r="AB4" s="426" t="s">
        <v>1389</v>
      </c>
      <c r="AC4" s="214" t="s">
        <v>1390</v>
      </c>
      <c r="AD4" s="426" t="s">
        <v>1391</v>
      </c>
      <c r="AE4" s="426" t="s">
        <v>1392</v>
      </c>
      <c r="AF4" s="426" t="s">
        <v>1393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1222</v>
      </c>
      <c r="J5" s="433" t="s">
        <v>1223</v>
      </c>
      <c r="K5" s="431" t="s">
        <v>1099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1222</v>
      </c>
      <c r="J6" s="433" t="s">
        <v>1224</v>
      </c>
      <c r="K6" s="431" t="s">
        <v>1099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1226</v>
      </c>
      <c r="J7" s="433" t="s">
        <v>1227</v>
      </c>
      <c r="K7" s="431" t="s">
        <v>1099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1226</v>
      </c>
      <c r="J8" s="433" t="s">
        <v>1229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1226</v>
      </c>
      <c r="J9" s="433" t="s">
        <v>1231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1226</v>
      </c>
      <c r="J10" s="433" t="s">
        <v>1233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1226</v>
      </c>
      <c r="J11" s="433" t="s">
        <v>1234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1226</v>
      </c>
      <c r="J12" s="433" t="s">
        <v>1236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1226</v>
      </c>
      <c r="J13" s="433" t="s">
        <v>1238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1226</v>
      </c>
      <c r="J14" s="433" t="s">
        <v>1240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1226</v>
      </c>
      <c r="J15" s="433" t="s">
        <v>1241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1226</v>
      </c>
      <c r="J16" s="433" t="s">
        <v>1243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1245</v>
      </c>
      <c r="J17" s="433" t="s">
        <v>1244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1247</v>
      </c>
      <c r="J18" s="433" t="s">
        <v>1248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1247</v>
      </c>
      <c r="J19" s="433" t="s">
        <v>1250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1331</v>
      </c>
      <c r="D20" s="343">
        <v>6117863200</v>
      </c>
      <c r="E20" s="12" t="s">
        <v>1394</v>
      </c>
      <c r="I20" s="432" t="s">
        <v>1247</v>
      </c>
      <c r="J20" s="433" t="s">
        <v>1252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1331</v>
      </c>
      <c r="D21" s="343">
        <f>+D20*1000/(1000000000000)</f>
        <v>6.1178632000000004</v>
      </c>
      <c r="E21" s="12" t="s">
        <v>1315</v>
      </c>
      <c r="I21" s="432" t="s">
        <v>1247</v>
      </c>
      <c r="J21" s="433" t="s">
        <v>1254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1395</v>
      </c>
      <c r="I22" s="432" t="s">
        <v>1256</v>
      </c>
      <c r="J22" s="433" t="s">
        <v>1257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1256</v>
      </c>
      <c r="J23" s="433" t="s">
        <v>1259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1256</v>
      </c>
      <c r="J24" s="438" t="s">
        <v>1261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1264</v>
      </c>
      <c r="J25" s="438" t="s">
        <v>1265</v>
      </c>
      <c r="K25" s="431" t="s">
        <v>1099</v>
      </c>
      <c r="L25" s="434" t="s">
        <v>7</v>
      </c>
      <c r="M25" s="434" t="s">
        <v>1396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1264</v>
      </c>
      <c r="J26" s="438" t="s">
        <v>1268</v>
      </c>
      <c r="K26" s="431" t="s">
        <v>1099</v>
      </c>
      <c r="L26" s="434" t="s">
        <v>7</v>
      </c>
      <c r="M26" s="434" t="s">
        <v>1396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1264</v>
      </c>
      <c r="J27" s="438" t="s">
        <v>1269</v>
      </c>
      <c r="K27" s="431" t="s">
        <v>1099</v>
      </c>
      <c r="L27" s="434" t="s">
        <v>7</v>
      </c>
      <c r="M27" s="434" t="s">
        <v>1396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N28" s="839">
        <f>+SUM(N5:N27)</f>
        <v>1814.1047397260272</v>
      </c>
      <c r="O28" s="839">
        <f t="shared" ref="O28:P28" si="8">+SUM(O5:O27)</f>
        <v>944.81832876712326</v>
      </c>
      <c r="P28" s="839">
        <f t="shared" si="8"/>
        <v>825.47967123287674</v>
      </c>
      <c r="Y28" s="839">
        <f>+SUM(Y5:Y27)</f>
        <v>463142.20578082197</v>
      </c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964"/>
      <c r="AB33" s="905"/>
      <c r="AC33" s="905"/>
      <c r="AD33" s="905"/>
      <c r="AE33" s="905"/>
      <c r="AF33" s="905"/>
      <c r="AG33" s="905"/>
      <c r="AH33" s="905"/>
      <c r="AI33" s="905"/>
      <c r="AJ33" s="905"/>
      <c r="AK33" s="905"/>
      <c r="AL33" s="905"/>
      <c r="AM33" s="906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1202</v>
      </c>
      <c r="J34" s="428" t="s">
        <v>1203</v>
      </c>
      <c r="K34" s="428" t="s">
        <v>1204</v>
      </c>
      <c r="L34" s="429"/>
      <c r="M34" s="428" t="str">
        <f>+'5. ANH'!J12</f>
        <v>Type of Oil producing</v>
      </c>
      <c r="N34" s="430" t="s">
        <v>1397</v>
      </c>
      <c r="O34" s="430" t="s">
        <v>1398</v>
      </c>
      <c r="P34" s="430" t="s">
        <v>1399</v>
      </c>
      <c r="Q34" s="428" t="s">
        <v>1400</v>
      </c>
      <c r="R34" s="428" t="s">
        <v>1401</v>
      </c>
      <c r="S34" s="428" t="s">
        <v>1402</v>
      </c>
      <c r="T34" s="428" t="s">
        <v>1403</v>
      </c>
      <c r="U34" s="428" t="s">
        <v>1404</v>
      </c>
      <c r="V34" s="428" t="s">
        <v>1405</v>
      </c>
      <c r="W34" s="428" t="s">
        <v>1406</v>
      </c>
      <c r="X34" s="428" t="s">
        <v>1407</v>
      </c>
      <c r="Y34" s="428" t="s">
        <v>1408</v>
      </c>
      <c r="Z34" s="430" t="s">
        <v>1409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1222</v>
      </c>
      <c r="J35" s="433" t="s">
        <v>1223</v>
      </c>
      <c r="K35" s="431" t="s">
        <v>1099</v>
      </c>
      <c r="L35" s="434" t="s">
        <v>7</v>
      </c>
      <c r="M35" s="434" t="str">
        <f>+'5. ANH'!J13</f>
        <v>Doesn't Apply</v>
      </c>
      <c r="N35" s="435">
        <f t="shared" ref="N35:X35" si="9">+N5*365*$D$7/1000</f>
        <v>60.04622961587031</v>
      </c>
      <c r="O35" s="435">
        <f t="shared" si="9"/>
        <v>2.4898308957132613</v>
      </c>
      <c r="P35" s="435">
        <f t="shared" si="9"/>
        <v>57.556398720157048</v>
      </c>
      <c r="Q35" s="436">
        <f t="shared" si="9"/>
        <v>60.04621952029688</v>
      </c>
      <c r="R35" s="436">
        <f t="shared" si="9"/>
        <v>0</v>
      </c>
      <c r="S35" s="436">
        <f t="shared" si="9"/>
        <v>0</v>
      </c>
      <c r="T35" s="436">
        <f t="shared" si="9"/>
        <v>2.4069462377542221</v>
      </c>
      <c r="U35" s="436">
        <f t="shared" si="9"/>
        <v>8.2884657959038696E-2</v>
      </c>
      <c r="V35" s="436">
        <f t="shared" si="9"/>
        <v>4.8961411123406373</v>
      </c>
      <c r="W35" s="436">
        <f t="shared" si="9"/>
        <v>0</v>
      </c>
      <c r="X35" s="436">
        <f t="shared" si="9"/>
        <v>52.660257607816412</v>
      </c>
      <c r="Y35" s="436">
        <f t="shared" ref="Y35:Y57" si="10">+Y5*365*(0.001)*$D$8/1000</f>
        <v>0</v>
      </c>
      <c r="Z35" s="437">
        <f t="shared" ref="Z35:Z57" si="11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1222</v>
      </c>
      <c r="J36" s="433" t="s">
        <v>1224</v>
      </c>
      <c r="K36" s="431" t="s">
        <v>1099</v>
      </c>
      <c r="L36" s="434" t="s">
        <v>7</v>
      </c>
      <c r="M36" s="434" t="str">
        <f>+'5. ANH'!J14</f>
        <v>Doesn't Apply</v>
      </c>
      <c r="N36" s="435">
        <f t="shared" ref="N36:X36" si="12">+N6*365*$D$7/1000</f>
        <v>8.539502325113304</v>
      </c>
      <c r="O36" s="435">
        <f t="shared" si="12"/>
        <v>5.3052238437849987E-2</v>
      </c>
      <c r="P36" s="435">
        <f t="shared" si="12"/>
        <v>8.4864500866754558</v>
      </c>
      <c r="Q36" s="436">
        <f t="shared" si="12"/>
        <v>8.5394619428195373</v>
      </c>
      <c r="R36" s="436">
        <f t="shared" si="12"/>
        <v>0</v>
      </c>
      <c r="S36" s="436">
        <f t="shared" si="12"/>
        <v>0</v>
      </c>
      <c r="T36" s="436">
        <f t="shared" si="12"/>
        <v>4.3098003024011712E-2</v>
      </c>
      <c r="U36" s="436">
        <f t="shared" si="12"/>
        <v>9.9542354138382663E-3</v>
      </c>
      <c r="V36" s="436">
        <f t="shared" si="12"/>
        <v>0.72254019124584645</v>
      </c>
      <c r="W36" s="436">
        <f t="shared" si="12"/>
        <v>0</v>
      </c>
      <c r="X36" s="436">
        <f t="shared" si="12"/>
        <v>7.7639098954296077</v>
      </c>
      <c r="Y36" s="436">
        <f t="shared" si="10"/>
        <v>0</v>
      </c>
      <c r="Z36" s="437">
        <f t="shared" si="11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1226</v>
      </c>
      <c r="J37" s="433" t="s">
        <v>1227</v>
      </c>
      <c r="K37" s="431" t="s">
        <v>1099</v>
      </c>
      <c r="L37" s="434" t="s">
        <v>7</v>
      </c>
      <c r="M37" s="434" t="str">
        <f>+'5. ANH'!J15</f>
        <v>Doesn't Apply</v>
      </c>
      <c r="N37" s="435">
        <f t="shared" ref="N37:X37" si="13">+N7*365*$D$7/1000</f>
        <v>13.106881088314344</v>
      </c>
      <c r="O37" s="435">
        <f t="shared" si="13"/>
        <v>0</v>
      </c>
      <c r="P37" s="435">
        <f t="shared" si="13"/>
        <v>11.790499076061607</v>
      </c>
      <c r="Q37" s="436">
        <f t="shared" si="13"/>
        <v>13.106881088314344</v>
      </c>
      <c r="R37" s="436">
        <f t="shared" si="13"/>
        <v>0</v>
      </c>
      <c r="S37" s="436">
        <f t="shared" si="13"/>
        <v>0</v>
      </c>
      <c r="T37" s="436">
        <f t="shared" si="13"/>
        <v>0</v>
      </c>
      <c r="U37" s="436">
        <f t="shared" si="13"/>
        <v>0</v>
      </c>
      <c r="V37" s="436">
        <f t="shared" si="13"/>
        <v>13.106881088314344</v>
      </c>
      <c r="W37" s="436">
        <f t="shared" si="13"/>
        <v>1.3163820122527377</v>
      </c>
      <c r="X37" s="436">
        <f t="shared" si="13"/>
        <v>0</v>
      </c>
      <c r="Y37" s="436">
        <f t="shared" si="10"/>
        <v>0</v>
      </c>
      <c r="Z37" s="437">
        <f t="shared" si="11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1226</v>
      </c>
      <c r="J38" s="433" t="s">
        <v>1229</v>
      </c>
      <c r="K38" s="431">
        <v>48</v>
      </c>
      <c r="L38" s="434"/>
      <c r="M38" s="434" t="str">
        <f>+'5. ANH'!J16</f>
        <v>Light Oil</v>
      </c>
      <c r="N38" s="435">
        <f t="shared" ref="N38:X38" si="14">+N8*365*$D$7/1000</f>
        <v>239.32819800561739</v>
      </c>
      <c r="O38" s="435">
        <f t="shared" si="14"/>
        <v>160.99168674237271</v>
      </c>
      <c r="P38" s="435">
        <f t="shared" si="14"/>
        <v>75.291444019366878</v>
      </c>
      <c r="Q38" s="436">
        <f t="shared" si="14"/>
        <v>239.32817781447051</v>
      </c>
      <c r="R38" s="436">
        <f t="shared" si="14"/>
        <v>0</v>
      </c>
      <c r="S38" s="436">
        <f t="shared" si="14"/>
        <v>146.06287770612269</v>
      </c>
      <c r="T38" s="436">
        <f t="shared" si="14"/>
        <v>14.103990590462988</v>
      </c>
      <c r="U38" s="436">
        <f t="shared" si="14"/>
        <v>0.82481844578701846</v>
      </c>
      <c r="V38" s="436">
        <f t="shared" si="14"/>
        <v>6.0840367613967006</v>
      </c>
      <c r="W38" s="436">
        <f t="shared" si="14"/>
        <v>3.0450672438778423</v>
      </c>
      <c r="X38" s="436">
        <f t="shared" si="14"/>
        <v>72.252474501848027</v>
      </c>
      <c r="Y38" s="436">
        <f t="shared" si="10"/>
        <v>22.733323234776581</v>
      </c>
      <c r="Z38" s="437">
        <f t="shared" si="11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1226</v>
      </c>
      <c r="J39" s="433" t="s">
        <v>1231</v>
      </c>
      <c r="K39" s="431">
        <v>52</v>
      </c>
      <c r="L39" s="434"/>
      <c r="M39" s="434" t="str">
        <f>+'5. ANH'!J17</f>
        <v>Light Oil</v>
      </c>
      <c r="N39" s="435">
        <f t="shared" ref="N39:X39" si="15">+N9*365*$D$7/1000</f>
        <v>102.2089585250658</v>
      </c>
      <c r="O39" s="435">
        <f t="shared" si="15"/>
        <v>30.216717619832895</v>
      </c>
      <c r="P39" s="435">
        <f t="shared" si="15"/>
        <v>60.807849771910249</v>
      </c>
      <c r="Q39" s="436">
        <f t="shared" si="15"/>
        <v>102.20910995866744</v>
      </c>
      <c r="R39" s="436">
        <f t="shared" si="15"/>
        <v>0</v>
      </c>
      <c r="S39" s="436">
        <f t="shared" si="15"/>
        <v>18.608807085043786</v>
      </c>
      <c r="T39" s="436">
        <f t="shared" si="15"/>
        <v>11.187076555858232</v>
      </c>
      <c r="U39" s="436">
        <f t="shared" si="15"/>
        <v>0.42083397893088031</v>
      </c>
      <c r="V39" s="436">
        <f t="shared" si="15"/>
        <v>11.193699252036202</v>
      </c>
      <c r="W39" s="436">
        <f t="shared" si="15"/>
        <v>11.184391133322654</v>
      </c>
      <c r="X39" s="436">
        <f t="shared" si="15"/>
        <v>60.798541653196693</v>
      </c>
      <c r="Y39" s="436">
        <f t="shared" si="10"/>
        <v>7.0712088472532377</v>
      </c>
      <c r="Z39" s="437">
        <f t="shared" si="11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1226</v>
      </c>
      <c r="J40" s="433" t="s">
        <v>1233</v>
      </c>
      <c r="K40" s="431">
        <v>46</v>
      </c>
      <c r="L40" s="434"/>
      <c r="M40" s="434" t="str">
        <f>+'5. ANH'!J18</f>
        <v>Light Oil</v>
      </c>
      <c r="N40" s="435">
        <f t="shared" ref="N40:X40" si="16">+N10*365*$D$7/1000</f>
        <v>160.44027661654269</v>
      </c>
      <c r="O40" s="435">
        <f t="shared" si="16"/>
        <v>86.793482275469458</v>
      </c>
      <c r="P40" s="435">
        <f t="shared" si="16"/>
        <v>73.646794341073218</v>
      </c>
      <c r="Q40" s="436">
        <f t="shared" si="16"/>
        <v>160.44018575638168</v>
      </c>
      <c r="R40" s="436">
        <f t="shared" si="16"/>
        <v>0</v>
      </c>
      <c r="S40" s="436">
        <f t="shared" si="16"/>
        <v>82.998717747786728</v>
      </c>
      <c r="T40" s="436">
        <f t="shared" si="16"/>
        <v>3.345117782148316</v>
      </c>
      <c r="U40" s="436">
        <f t="shared" si="16"/>
        <v>0.44964674553442446</v>
      </c>
      <c r="V40" s="436">
        <f t="shared" si="16"/>
        <v>52.360166687252182</v>
      </c>
      <c r="W40" s="436">
        <f t="shared" si="16"/>
        <v>0</v>
      </c>
      <c r="X40" s="436">
        <f t="shared" si="16"/>
        <v>21.286627653821029</v>
      </c>
      <c r="Y40" s="436">
        <f t="shared" si="10"/>
        <v>60.007782289723188</v>
      </c>
      <c r="Z40" s="437">
        <f t="shared" si="11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1226</v>
      </c>
      <c r="J41" s="433" t="s">
        <v>1234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7">+N11*365*$D$7/1000</f>
        <v>61.393403127121232</v>
      </c>
      <c r="O41" s="435">
        <f t="shared" si="17"/>
        <v>61.393403127121232</v>
      </c>
      <c r="P41" s="435">
        <f t="shared" si="17"/>
        <v>0</v>
      </c>
      <c r="Q41" s="436">
        <f t="shared" si="17"/>
        <v>61.3933728404009</v>
      </c>
      <c r="R41" s="436">
        <f t="shared" si="17"/>
        <v>0</v>
      </c>
      <c r="S41" s="436">
        <f t="shared" si="17"/>
        <v>59.623921683216899</v>
      </c>
      <c r="T41" s="436">
        <f t="shared" si="17"/>
        <v>0.2018105131061125</v>
      </c>
      <c r="U41" s="436">
        <f t="shared" si="17"/>
        <v>1.5676709307982222</v>
      </c>
      <c r="V41" s="436">
        <f t="shared" si="17"/>
        <v>0</v>
      </c>
      <c r="W41" s="436">
        <f t="shared" si="17"/>
        <v>0</v>
      </c>
      <c r="X41" s="436">
        <f t="shared" si="17"/>
        <v>0</v>
      </c>
      <c r="Y41" s="436">
        <f t="shared" si="10"/>
        <v>17.796808939248596</v>
      </c>
      <c r="Z41" s="437">
        <f t="shared" si="11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1226</v>
      </c>
      <c r="J42" s="433" t="s">
        <v>1236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8">+N12*365*$D$7/1000</f>
        <v>0</v>
      </c>
      <c r="O42" s="435">
        <f t="shared" si="18"/>
        <v>0</v>
      </c>
      <c r="P42" s="435">
        <f t="shared" si="18"/>
        <v>0</v>
      </c>
      <c r="Q42" s="436">
        <f t="shared" si="18"/>
        <v>0</v>
      </c>
      <c r="R42" s="436">
        <f t="shared" si="18"/>
        <v>0</v>
      </c>
      <c r="S42" s="436">
        <f t="shared" si="18"/>
        <v>0</v>
      </c>
      <c r="T42" s="436">
        <f t="shared" si="18"/>
        <v>0</v>
      </c>
      <c r="U42" s="436">
        <f t="shared" si="18"/>
        <v>0</v>
      </c>
      <c r="V42" s="436">
        <f t="shared" si="18"/>
        <v>0</v>
      </c>
      <c r="W42" s="436">
        <f t="shared" si="18"/>
        <v>0</v>
      </c>
      <c r="X42" s="436">
        <f t="shared" si="18"/>
        <v>0</v>
      </c>
      <c r="Y42" s="436">
        <f t="shared" si="10"/>
        <v>265.08224689210181</v>
      </c>
      <c r="Z42" s="437">
        <f t="shared" si="11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1226</v>
      </c>
      <c r="J43" s="433" t="s">
        <v>1238</v>
      </c>
      <c r="K43" s="431">
        <v>13.7</v>
      </c>
      <c r="L43" s="434"/>
      <c r="M43" s="434" t="str">
        <f>+'5. ANH'!J21</f>
        <v>Heavy Oil</v>
      </c>
      <c r="N43" s="435">
        <f t="shared" ref="N43:X43" si="19">+N13*365*$D$7/1000</f>
        <v>0</v>
      </c>
      <c r="O43" s="435">
        <f t="shared" si="19"/>
        <v>0</v>
      </c>
      <c r="P43" s="435">
        <f t="shared" si="19"/>
        <v>0</v>
      </c>
      <c r="Q43" s="436">
        <f t="shared" si="19"/>
        <v>0</v>
      </c>
      <c r="R43" s="436">
        <f t="shared" si="19"/>
        <v>0</v>
      </c>
      <c r="S43" s="436">
        <f t="shared" si="19"/>
        <v>0</v>
      </c>
      <c r="T43" s="436">
        <f t="shared" si="19"/>
        <v>0</v>
      </c>
      <c r="U43" s="436">
        <f t="shared" si="19"/>
        <v>0</v>
      </c>
      <c r="V43" s="436">
        <f t="shared" si="19"/>
        <v>0</v>
      </c>
      <c r="W43" s="436">
        <f t="shared" si="19"/>
        <v>0</v>
      </c>
      <c r="X43" s="436">
        <f t="shared" si="19"/>
        <v>0</v>
      </c>
      <c r="Y43" s="436">
        <f t="shared" si="10"/>
        <v>253.41187670697005</v>
      </c>
      <c r="Z43" s="437">
        <f t="shared" si="11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1226</v>
      </c>
      <c r="J44" s="433" t="s">
        <v>1240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20">+N14*365*$D$7/1000</f>
        <v>1.3978936722236606</v>
      </c>
      <c r="O44" s="435">
        <f t="shared" si="20"/>
        <v>1.3978936722236606</v>
      </c>
      <c r="P44" s="435">
        <f t="shared" si="20"/>
        <v>0</v>
      </c>
      <c r="Q44" s="436">
        <f t="shared" si="20"/>
        <v>1.3978835766502182</v>
      </c>
      <c r="R44" s="436">
        <f t="shared" si="20"/>
        <v>0</v>
      </c>
      <c r="S44" s="436">
        <f t="shared" si="20"/>
        <v>0</v>
      </c>
      <c r="T44" s="436">
        <f t="shared" si="20"/>
        <v>0.32109980889709927</v>
      </c>
      <c r="U44" s="436">
        <f t="shared" si="20"/>
        <v>1.0767938633265612</v>
      </c>
      <c r="V44" s="436">
        <f t="shared" si="20"/>
        <v>0</v>
      </c>
      <c r="W44" s="436">
        <f t="shared" si="20"/>
        <v>0</v>
      </c>
      <c r="X44" s="436">
        <f t="shared" si="20"/>
        <v>0</v>
      </c>
      <c r="Y44" s="436">
        <f t="shared" si="10"/>
        <v>153.50718826671843</v>
      </c>
      <c r="Z44" s="437">
        <f t="shared" si="11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1226</v>
      </c>
      <c r="J45" s="433" t="s">
        <v>1241</v>
      </c>
      <c r="K45" s="431">
        <v>8</v>
      </c>
      <c r="L45" s="434"/>
      <c r="M45" s="434" t="str">
        <f>+'5. ANH'!J23</f>
        <v>Heavy Oil</v>
      </c>
      <c r="N45" s="435">
        <f t="shared" ref="N45:X45" si="21">+N15*365*$D$7/1000</f>
        <v>0.21448045777585595</v>
      </c>
      <c r="O45" s="435">
        <f t="shared" si="21"/>
        <v>0.21448045777585595</v>
      </c>
      <c r="P45" s="435">
        <f t="shared" si="21"/>
        <v>0</v>
      </c>
      <c r="Q45" s="436">
        <f t="shared" si="21"/>
        <v>0.21448045777585595</v>
      </c>
      <c r="R45" s="436">
        <f t="shared" si="21"/>
        <v>0</v>
      </c>
      <c r="S45" s="436">
        <f t="shared" si="21"/>
        <v>0</v>
      </c>
      <c r="T45" s="436">
        <f t="shared" si="21"/>
        <v>0</v>
      </c>
      <c r="U45" s="436">
        <f t="shared" si="21"/>
        <v>0.21448045777585595</v>
      </c>
      <c r="V45" s="436">
        <f t="shared" si="21"/>
        <v>0</v>
      </c>
      <c r="W45" s="436">
        <f t="shared" si="21"/>
        <v>0</v>
      </c>
      <c r="X45" s="436">
        <f t="shared" si="21"/>
        <v>0</v>
      </c>
      <c r="Y45" s="436">
        <f t="shared" si="10"/>
        <v>43.895597705669182</v>
      </c>
      <c r="Z45" s="437">
        <f t="shared" si="11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1226</v>
      </c>
      <c r="J46" s="433" t="s">
        <v>1243</v>
      </c>
      <c r="K46" s="431">
        <v>13.5</v>
      </c>
      <c r="L46" s="434"/>
      <c r="M46" s="434" t="str">
        <f>+'5. ANH'!J24</f>
        <v>Heavy Oil</v>
      </c>
      <c r="N46" s="435">
        <f t="shared" ref="N46:X46" si="22">+N16*365*$D$7/1000</f>
        <v>0.43874352621703561</v>
      </c>
      <c r="O46" s="435">
        <f t="shared" si="22"/>
        <v>5.7140945681870784E-3</v>
      </c>
      <c r="P46" s="435">
        <f t="shared" si="22"/>
        <v>0.23786180586758957</v>
      </c>
      <c r="Q46" s="436">
        <f t="shared" si="22"/>
        <v>0.4388141952311298</v>
      </c>
      <c r="R46" s="436">
        <f t="shared" si="22"/>
        <v>0</v>
      </c>
      <c r="S46" s="436">
        <f t="shared" si="22"/>
        <v>0</v>
      </c>
      <c r="T46" s="436">
        <f t="shared" si="22"/>
        <v>5.7140945681870784E-3</v>
      </c>
      <c r="U46" s="436">
        <f t="shared" si="22"/>
        <v>0</v>
      </c>
      <c r="V46" s="436">
        <f t="shared" si="22"/>
        <v>0.4330294316488485</v>
      </c>
      <c r="W46" s="436">
        <f t="shared" si="22"/>
        <v>0.19516762578125896</v>
      </c>
      <c r="X46" s="436">
        <f t="shared" si="22"/>
        <v>0</v>
      </c>
      <c r="Y46" s="436">
        <f t="shared" si="10"/>
        <v>8.7564836170076354</v>
      </c>
      <c r="Z46" s="437">
        <f t="shared" si="11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1245</v>
      </c>
      <c r="J47" s="433" t="s">
        <v>1244</v>
      </c>
      <c r="K47" s="431">
        <v>35</v>
      </c>
      <c r="L47" s="434"/>
      <c r="M47" s="434" t="str">
        <f>+'5. ANH'!J25</f>
        <v>Light Oil</v>
      </c>
      <c r="N47" s="435">
        <f t="shared" ref="N47:X47" si="23">+N17*365*$D$7/1000</f>
        <v>1.2759391450439788</v>
      </c>
      <c r="O47" s="435">
        <f t="shared" si="23"/>
        <v>1.2759391450439788</v>
      </c>
      <c r="P47" s="435">
        <f t="shared" si="23"/>
        <v>0</v>
      </c>
      <c r="Q47" s="436">
        <f t="shared" si="23"/>
        <v>1.2759391450439788</v>
      </c>
      <c r="R47" s="436">
        <f t="shared" si="23"/>
        <v>0</v>
      </c>
      <c r="S47" s="436">
        <f t="shared" si="23"/>
        <v>0</v>
      </c>
      <c r="T47" s="436">
        <f t="shared" si="23"/>
        <v>0</v>
      </c>
      <c r="U47" s="436">
        <f t="shared" si="23"/>
        <v>1.2759391450439788</v>
      </c>
      <c r="V47" s="436">
        <f t="shared" si="23"/>
        <v>0</v>
      </c>
      <c r="W47" s="436">
        <f t="shared" si="23"/>
        <v>0</v>
      </c>
      <c r="X47" s="436">
        <f t="shared" si="23"/>
        <v>0</v>
      </c>
      <c r="Y47" s="436">
        <f t="shared" si="10"/>
        <v>4.3593517548323124</v>
      </c>
      <c r="Z47" s="437">
        <f t="shared" si="11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1247</v>
      </c>
      <c r="J48" s="433" t="s">
        <v>1248</v>
      </c>
      <c r="K48" s="431">
        <v>21</v>
      </c>
      <c r="L48" s="434"/>
      <c r="M48" s="434" t="str">
        <f>+'5. ANH'!J26</f>
        <v>Medium Oil</v>
      </c>
      <c r="N48" s="435">
        <f t="shared" ref="N48:X48" si="24">+N18*365*$D$7/1000</f>
        <v>0.43827912983870243</v>
      </c>
      <c r="O48" s="435">
        <f t="shared" si="24"/>
        <v>0.43827912983870243</v>
      </c>
      <c r="P48" s="435">
        <f t="shared" si="24"/>
        <v>0</v>
      </c>
      <c r="Q48" s="436">
        <f t="shared" si="24"/>
        <v>0.43830941655902855</v>
      </c>
      <c r="R48" s="436">
        <f t="shared" si="24"/>
        <v>0</v>
      </c>
      <c r="S48" s="436">
        <f t="shared" si="24"/>
        <v>0</v>
      </c>
      <c r="T48" s="436">
        <f t="shared" si="24"/>
        <v>0.35206293264379496</v>
      </c>
      <c r="U48" s="436">
        <f t="shared" si="24"/>
        <v>8.621619719490746E-2</v>
      </c>
      <c r="V48" s="436">
        <f t="shared" si="24"/>
        <v>0</v>
      </c>
      <c r="W48" s="436">
        <f t="shared" si="24"/>
        <v>0</v>
      </c>
      <c r="X48" s="436">
        <f t="shared" si="24"/>
        <v>0</v>
      </c>
      <c r="Y48" s="436">
        <f t="shared" si="10"/>
        <v>26.927100382560717</v>
      </c>
      <c r="Z48" s="437">
        <f t="shared" si="11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1247</v>
      </c>
      <c r="J49" s="433" t="s">
        <v>1250</v>
      </c>
      <c r="K49" s="431">
        <v>12.5</v>
      </c>
      <c r="L49" s="434"/>
      <c r="M49" s="434" t="str">
        <f>+'5. ANH'!J27</f>
        <v>Heavy Oil</v>
      </c>
      <c r="N49" s="435">
        <f t="shared" ref="N49:X49" si="25">+N19*365*$D$7/1000</f>
        <v>8.7791106651863626E-2</v>
      </c>
      <c r="O49" s="435">
        <f t="shared" si="25"/>
        <v>8.7791106651863626E-2</v>
      </c>
      <c r="P49" s="435">
        <f t="shared" si="25"/>
        <v>0</v>
      </c>
      <c r="Q49" s="436">
        <f t="shared" si="25"/>
        <v>8.7801202225305658E-2</v>
      </c>
      <c r="R49" s="436">
        <f t="shared" si="25"/>
        <v>0</v>
      </c>
      <c r="S49" s="436">
        <f t="shared" si="25"/>
        <v>0</v>
      </c>
      <c r="T49" s="436">
        <f t="shared" si="25"/>
        <v>3.6990181091585597E-2</v>
      </c>
      <c r="U49" s="436">
        <f t="shared" si="25"/>
        <v>5.0800925560278022E-2</v>
      </c>
      <c r="V49" s="436">
        <f t="shared" si="25"/>
        <v>0</v>
      </c>
      <c r="W49" s="436">
        <f t="shared" si="25"/>
        <v>0</v>
      </c>
      <c r="X49" s="436">
        <f t="shared" si="25"/>
        <v>0</v>
      </c>
      <c r="Y49" s="436">
        <f t="shared" si="10"/>
        <v>3.2805677744000978</v>
      </c>
      <c r="Z49" s="437">
        <f t="shared" si="11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1247</v>
      </c>
      <c r="J50" s="433" t="s">
        <v>1252</v>
      </c>
      <c r="K50" s="431">
        <v>21</v>
      </c>
      <c r="L50" s="434"/>
      <c r="M50" s="434" t="str">
        <f>+'5. ANH'!J28</f>
        <v>Medium Oil</v>
      </c>
      <c r="N50" s="435">
        <f t="shared" ref="N50:X50" si="26">+N20*365*$D$7/1000</f>
        <v>1.8634611370761611</v>
      </c>
      <c r="O50" s="435">
        <f t="shared" si="26"/>
        <v>0.96320856653031961</v>
      </c>
      <c r="P50" s="435">
        <f t="shared" si="26"/>
        <v>0.90025257054584151</v>
      </c>
      <c r="Q50" s="436">
        <f t="shared" si="26"/>
        <v>1.8635217105168129</v>
      </c>
      <c r="R50" s="436">
        <f t="shared" si="26"/>
        <v>0</v>
      </c>
      <c r="S50" s="436">
        <f t="shared" si="26"/>
        <v>0</v>
      </c>
      <c r="T50" s="436">
        <f t="shared" si="26"/>
        <v>0.8853716952922942</v>
      </c>
      <c r="U50" s="436">
        <f t="shared" si="26"/>
        <v>7.7836871238025379E-2</v>
      </c>
      <c r="V50" s="436">
        <f t="shared" si="26"/>
        <v>0</v>
      </c>
      <c r="W50" s="436">
        <f t="shared" si="26"/>
        <v>0</v>
      </c>
      <c r="X50" s="436">
        <f t="shared" si="26"/>
        <v>0.90025257054584151</v>
      </c>
      <c r="Y50" s="436">
        <f t="shared" si="10"/>
        <v>39.659458817161386</v>
      </c>
      <c r="Z50" s="437">
        <f t="shared" si="11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1247</v>
      </c>
      <c r="J51" s="433" t="s">
        <v>1254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7">+N21*365*$D$7/1000</f>
        <v>2.497140090885289</v>
      </c>
      <c r="O51" s="435">
        <f t="shared" si="27"/>
        <v>1.1205177919039784</v>
      </c>
      <c r="P51" s="435">
        <f t="shared" si="27"/>
        <v>1.3766222989813104</v>
      </c>
      <c r="Q51" s="436">
        <f t="shared" si="27"/>
        <v>2.497140090885289</v>
      </c>
      <c r="R51" s="436">
        <f t="shared" si="27"/>
        <v>0</v>
      </c>
      <c r="S51" s="436">
        <f t="shared" si="27"/>
        <v>0</v>
      </c>
      <c r="T51" s="436">
        <f t="shared" si="27"/>
        <v>0.51468242964795996</v>
      </c>
      <c r="U51" s="436">
        <f t="shared" si="27"/>
        <v>0.60583536225601842</v>
      </c>
      <c r="V51" s="436">
        <f t="shared" si="27"/>
        <v>1.3766222989813104</v>
      </c>
      <c r="W51" s="436">
        <f t="shared" si="27"/>
        <v>0</v>
      </c>
      <c r="X51" s="436">
        <f t="shared" si="27"/>
        <v>0</v>
      </c>
      <c r="Y51" s="436">
        <f t="shared" si="10"/>
        <v>94.059349180277351</v>
      </c>
      <c r="Z51" s="437">
        <f t="shared" si="11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1256</v>
      </c>
      <c r="J52" s="433" t="s">
        <v>1257</v>
      </c>
      <c r="K52" s="431">
        <v>23</v>
      </c>
      <c r="L52" s="434"/>
      <c r="M52" s="434" t="str">
        <f>+'5. ANH'!J30</f>
        <v>Medium Oil</v>
      </c>
      <c r="N52" s="435">
        <f t="shared" ref="N52:X52" si="28">+N22*365*$D$7/1000</f>
        <v>0.71025387836690013</v>
      </c>
      <c r="O52" s="435">
        <f t="shared" si="28"/>
        <v>0.12213624750163826</v>
      </c>
      <c r="P52" s="435">
        <f t="shared" si="28"/>
        <v>0.38201649904628793</v>
      </c>
      <c r="Q52" s="436">
        <f t="shared" si="28"/>
        <v>0.71027406951378402</v>
      </c>
      <c r="R52" s="436">
        <f t="shared" si="28"/>
        <v>0</v>
      </c>
      <c r="S52" s="436">
        <f t="shared" si="28"/>
        <v>0</v>
      </c>
      <c r="T52" s="436">
        <f t="shared" si="28"/>
        <v>3.8100694170208539E-2</v>
      </c>
      <c r="U52" s="436">
        <f t="shared" si="28"/>
        <v>8.403555333142973E-2</v>
      </c>
      <c r="V52" s="436">
        <f t="shared" si="28"/>
        <v>0.58683549303812432</v>
      </c>
      <c r="W52" s="436">
        <f t="shared" si="28"/>
        <v>0.2061011318189738</v>
      </c>
      <c r="X52" s="436">
        <f t="shared" si="28"/>
        <v>1.2821378271373829E-3</v>
      </c>
      <c r="Y52" s="436">
        <f t="shared" si="10"/>
        <v>10.408512554584734</v>
      </c>
      <c r="Z52" s="437">
        <f t="shared" si="11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1256</v>
      </c>
      <c r="J53" s="433" t="s">
        <v>1259</v>
      </c>
      <c r="K53" s="431">
        <v>25.5</v>
      </c>
      <c r="L53" s="434"/>
      <c r="M53" s="434" t="str">
        <f>+'5. ANH'!J31</f>
        <v>Medium Oil</v>
      </c>
      <c r="N53" s="435">
        <f t="shared" ref="N53:X53" si="29">+N23*365*$D$7/1000</f>
        <v>0.31949461271981699</v>
      </c>
      <c r="O53" s="435">
        <f t="shared" si="29"/>
        <v>0.31949461271981699</v>
      </c>
      <c r="P53" s="435">
        <f t="shared" si="29"/>
        <v>0</v>
      </c>
      <c r="Q53" s="436">
        <f t="shared" si="29"/>
        <v>0.31951480386670106</v>
      </c>
      <c r="R53" s="436">
        <f t="shared" si="29"/>
        <v>0</v>
      </c>
      <c r="S53" s="436">
        <f t="shared" si="29"/>
        <v>0</v>
      </c>
      <c r="T53" s="436">
        <f t="shared" si="29"/>
        <v>0.16765718815173636</v>
      </c>
      <c r="U53" s="436">
        <f t="shared" si="29"/>
        <v>0.15183742456808058</v>
      </c>
      <c r="V53" s="436">
        <f t="shared" si="29"/>
        <v>0</v>
      </c>
      <c r="W53" s="436">
        <f t="shared" si="29"/>
        <v>0</v>
      </c>
      <c r="X53" s="436">
        <f t="shared" si="29"/>
        <v>0</v>
      </c>
      <c r="Y53" s="436">
        <f t="shared" si="10"/>
        <v>9.2296903712167389</v>
      </c>
      <c r="Z53" s="437">
        <f t="shared" si="11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1256</v>
      </c>
      <c r="J54" s="438" t="s">
        <v>1261</v>
      </c>
      <c r="K54" s="431">
        <v>21</v>
      </c>
      <c r="L54" s="434"/>
      <c r="M54" s="434" t="str">
        <f>+'5. ANH'!J32</f>
        <v>Medium Oil</v>
      </c>
      <c r="N54" s="435">
        <f t="shared" ref="N54:X54" si="30">+N24*365*$D$7/1000</f>
        <v>0.43874352621703561</v>
      </c>
      <c r="O54" s="435">
        <f t="shared" si="30"/>
        <v>5.7140945681870784E-3</v>
      </c>
      <c r="P54" s="435">
        <f t="shared" si="30"/>
        <v>0.23786180586758957</v>
      </c>
      <c r="Q54" s="436">
        <f t="shared" si="30"/>
        <v>0.4388141952311298</v>
      </c>
      <c r="R54" s="436">
        <f t="shared" si="30"/>
        <v>0</v>
      </c>
      <c r="S54" s="436">
        <f t="shared" si="30"/>
        <v>0</v>
      </c>
      <c r="T54" s="436">
        <f t="shared" si="30"/>
        <v>0</v>
      </c>
      <c r="U54" s="436">
        <f t="shared" si="30"/>
        <v>5.7140945681870784E-3</v>
      </c>
      <c r="V54" s="436">
        <f t="shared" si="30"/>
        <v>0.4330294316488485</v>
      </c>
      <c r="W54" s="436">
        <f t="shared" si="30"/>
        <v>0.19516762578125896</v>
      </c>
      <c r="X54" s="436">
        <f t="shared" si="30"/>
        <v>0</v>
      </c>
      <c r="Y54" s="436">
        <f t="shared" si="10"/>
        <v>8.7564836170076354</v>
      </c>
      <c r="Z54" s="437">
        <f t="shared" si="11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1264</v>
      </c>
      <c r="J55" s="440" t="s">
        <v>1265</v>
      </c>
      <c r="K55" s="431" t="s">
        <v>1099</v>
      </c>
      <c r="L55" s="434" t="s">
        <v>7</v>
      </c>
      <c r="M55" s="434" t="s">
        <v>1396</v>
      </c>
      <c r="N55" s="435">
        <f t="shared" ref="N55:X55" si="31">+N25*365*$D$7/1000</f>
        <v>1.0840525806313783</v>
      </c>
      <c r="O55" s="435">
        <f t="shared" si="31"/>
        <v>0</v>
      </c>
      <c r="P55" s="435">
        <f t="shared" si="31"/>
        <v>1.0840525806313783</v>
      </c>
      <c r="Q55" s="436">
        <f t="shared" si="31"/>
        <v>1.0840525806313783</v>
      </c>
      <c r="R55" s="436">
        <f t="shared" si="31"/>
        <v>0</v>
      </c>
      <c r="S55" s="436">
        <f t="shared" si="31"/>
        <v>0</v>
      </c>
      <c r="T55" s="436">
        <f t="shared" si="31"/>
        <v>0</v>
      </c>
      <c r="U55" s="436">
        <f t="shared" si="31"/>
        <v>0</v>
      </c>
      <c r="V55" s="436">
        <f t="shared" si="31"/>
        <v>0</v>
      </c>
      <c r="W55" s="436">
        <f t="shared" si="31"/>
        <v>0</v>
      </c>
      <c r="X55" s="436">
        <f t="shared" si="31"/>
        <v>1.0840525806313783</v>
      </c>
      <c r="Y55" s="436">
        <f t="shared" si="10"/>
        <v>0</v>
      </c>
      <c r="Z55" s="437">
        <f t="shared" si="11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1264</v>
      </c>
      <c r="J56" s="440" t="s">
        <v>1268</v>
      </c>
      <c r="K56" s="431" t="s">
        <v>1099</v>
      </c>
      <c r="L56" s="434" t="s">
        <v>7</v>
      </c>
      <c r="M56" s="434" t="s">
        <v>1396</v>
      </c>
      <c r="N56" s="435">
        <f t="shared" ref="N56:X56" si="32">+N26*365*$D$7/1000</f>
        <v>2.2925734862295029</v>
      </c>
      <c r="O56" s="435">
        <f t="shared" si="32"/>
        <v>4.8539517109264067E-2</v>
      </c>
      <c r="P56" s="435">
        <f t="shared" si="32"/>
        <v>2.2440339691202391</v>
      </c>
      <c r="Q56" s="436">
        <f t="shared" si="32"/>
        <v>2.292583581802945</v>
      </c>
      <c r="R56" s="436">
        <f t="shared" si="32"/>
        <v>0</v>
      </c>
      <c r="S56" s="436">
        <f t="shared" si="32"/>
        <v>0</v>
      </c>
      <c r="T56" s="436">
        <f t="shared" si="32"/>
        <v>4.2906187128613207E-3</v>
      </c>
      <c r="U56" s="436">
        <f t="shared" si="32"/>
        <v>4.4248898396402753E-2</v>
      </c>
      <c r="V56" s="436">
        <f t="shared" si="32"/>
        <v>0</v>
      </c>
      <c r="W56" s="436">
        <f t="shared" si="32"/>
        <v>0</v>
      </c>
      <c r="X56" s="436">
        <f t="shared" si="32"/>
        <v>2.2440339691202391</v>
      </c>
      <c r="Y56" s="537">
        <f t="shared" si="10"/>
        <v>1.3579511620070052E-2</v>
      </c>
      <c r="Z56" s="437">
        <f t="shared" si="11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1264</v>
      </c>
      <c r="J57" s="440" t="s">
        <v>1269</v>
      </c>
      <c r="K57" s="431" t="s">
        <v>1099</v>
      </c>
      <c r="L57" s="434" t="s">
        <v>7</v>
      </c>
      <c r="M57" s="434" t="s">
        <v>1396</v>
      </c>
      <c r="N57" s="435">
        <f t="shared" ref="N57:X57" si="33">+N27*365*$D$7/1000</f>
        <v>10.354312893772342</v>
      </c>
      <c r="O57" s="435">
        <f t="shared" si="33"/>
        <v>0.21674186622686989</v>
      </c>
      <c r="P57" s="435">
        <f t="shared" si="33"/>
        <v>10.137571027545471</v>
      </c>
      <c r="Q57" s="436">
        <f t="shared" si="33"/>
        <v>10.35427251147857</v>
      </c>
      <c r="R57" s="436">
        <f t="shared" si="33"/>
        <v>0</v>
      </c>
      <c r="S57" s="436">
        <f t="shared" si="33"/>
        <v>0</v>
      </c>
      <c r="T57" s="436">
        <f t="shared" si="33"/>
        <v>1.8616237427097122E-2</v>
      </c>
      <c r="U57" s="436">
        <f t="shared" si="33"/>
        <v>0.19812562879977277</v>
      </c>
      <c r="V57" s="436">
        <f t="shared" si="33"/>
        <v>0</v>
      </c>
      <c r="W57" s="436">
        <f t="shared" si="33"/>
        <v>0</v>
      </c>
      <c r="X57" s="436">
        <f t="shared" si="33"/>
        <v>10.137571027545471</v>
      </c>
      <c r="Y57" s="537">
        <f t="shared" si="10"/>
        <v>6.1343436802343387E-2</v>
      </c>
      <c r="Z57" s="437">
        <f t="shared" si="11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1410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960" t="s">
        <v>1411</v>
      </c>
      <c r="S64" s="905"/>
      <c r="T64" s="905"/>
      <c r="U64" s="905"/>
      <c r="V64" s="906"/>
      <c r="W64" s="962" t="s">
        <v>1412</v>
      </c>
      <c r="X64" s="905"/>
      <c r="Y64" s="905"/>
      <c r="Z64" s="906"/>
      <c r="AA64" s="541" t="s">
        <v>1413</v>
      </c>
      <c r="AB64" s="12" t="s">
        <v>1414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4">Y33</f>
        <v>PJ</v>
      </c>
      <c r="O65" s="14" t="str">
        <f t="shared" si="34"/>
        <v>PJ</v>
      </c>
      <c r="P65" s="542" t="s">
        <v>1415</v>
      </c>
      <c r="Q65" s="542" t="s">
        <v>59</v>
      </c>
      <c r="R65" s="543" t="str">
        <f t="shared" ref="R65:V65" si="35">T33</f>
        <v>PJ</v>
      </c>
      <c r="S65" s="543" t="str">
        <f t="shared" si="35"/>
        <v>PJ</v>
      </c>
      <c r="T65" s="543" t="str">
        <f t="shared" si="35"/>
        <v>PJ</v>
      </c>
      <c r="U65" s="543" t="str">
        <f t="shared" si="35"/>
        <v>PJ</v>
      </c>
      <c r="V65" s="543" t="str">
        <f t="shared" si="35"/>
        <v>PJ</v>
      </c>
      <c r="W65" s="544" t="s">
        <v>1415</v>
      </c>
      <c r="X65" s="544" t="s">
        <v>1415</v>
      </c>
      <c r="Y65" s="544" t="s">
        <v>1415</v>
      </c>
      <c r="Z65" s="544" t="s">
        <v>1415</v>
      </c>
      <c r="AA65" s="263" t="s">
        <v>1415</v>
      </c>
      <c r="AB65" s="439" t="s">
        <v>59</v>
      </c>
      <c r="AC65" s="439" t="s">
        <v>1416</v>
      </c>
      <c r="AD65" s="542" t="s">
        <v>59</v>
      </c>
      <c r="AE65" s="542" t="s">
        <v>1416</v>
      </c>
      <c r="AF65" s="542" t="s">
        <v>59</v>
      </c>
      <c r="AG65" s="542" t="s">
        <v>1416</v>
      </c>
      <c r="AH65" s="14" t="s">
        <v>59</v>
      </c>
      <c r="AI65" s="961" t="s">
        <v>1417</v>
      </c>
      <c r="AJ65" s="940"/>
      <c r="AK65" s="940"/>
      <c r="AL65" s="940"/>
      <c r="AM65" s="940"/>
      <c r="AN65" s="940"/>
      <c r="AO65" s="940"/>
      <c r="AP65" s="940"/>
      <c r="AQ65" s="940"/>
      <c r="AR65" s="940"/>
      <c r="AS65" s="940"/>
      <c r="AT65" s="940"/>
      <c r="AU65" s="940"/>
      <c r="AV65" s="920"/>
      <c r="AW65" s="961" t="s">
        <v>1418</v>
      </c>
      <c r="AX65" s="940"/>
      <c r="AY65" s="940"/>
      <c r="AZ65" s="940"/>
      <c r="BA65" s="940"/>
      <c r="BB65" s="940"/>
      <c r="BC65" s="940"/>
      <c r="BD65" s="940"/>
      <c r="BE65" s="940"/>
      <c r="BF65" s="940"/>
      <c r="BG65" s="940"/>
      <c r="BH65" s="940"/>
      <c r="BI65" s="940"/>
      <c r="BJ65" s="920"/>
      <c r="BK65" s="961" t="s">
        <v>1419</v>
      </c>
      <c r="BL65" s="940"/>
      <c r="BM65" s="940"/>
      <c r="BN65" s="940"/>
      <c r="BO65" s="940"/>
      <c r="BP65" s="940"/>
      <c r="BQ65" s="940"/>
      <c r="BR65" s="940"/>
      <c r="BS65" s="940"/>
      <c r="BT65" s="940"/>
      <c r="BU65" s="940"/>
      <c r="BV65" s="940"/>
      <c r="BW65" s="940"/>
      <c r="BX65" s="920"/>
      <c r="BY65" s="545"/>
      <c r="BZ65" s="545"/>
      <c r="CA65" s="545"/>
      <c r="CB65" s="546" t="s">
        <v>1417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1418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1419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1202</v>
      </c>
      <c r="J66" s="428" t="s">
        <v>1203</v>
      </c>
      <c r="K66" s="428" t="s">
        <v>1204</v>
      </c>
      <c r="L66" s="429"/>
      <c r="M66" s="428" t="str">
        <f t="shared" ref="M66:M86" si="36">M34</f>
        <v>Type of Oil producing</v>
      </c>
      <c r="N66" s="428" t="s">
        <v>1420</v>
      </c>
      <c r="O66" s="428" t="s">
        <v>1421</v>
      </c>
      <c r="P66" s="549" t="s">
        <v>1422</v>
      </c>
      <c r="Q66" s="549" t="s">
        <v>1423</v>
      </c>
      <c r="R66" s="430" t="s">
        <v>1424</v>
      </c>
      <c r="S66" s="430" t="s">
        <v>1425</v>
      </c>
      <c r="T66" s="430" t="s">
        <v>1426</v>
      </c>
      <c r="U66" s="430" t="s">
        <v>1427</v>
      </c>
      <c r="V66" s="430" t="s">
        <v>1428</v>
      </c>
      <c r="W66" s="550" t="s">
        <v>1429</v>
      </c>
      <c r="X66" s="550" t="s">
        <v>1430</v>
      </c>
      <c r="Y66" s="550" t="s">
        <v>1431</v>
      </c>
      <c r="Z66" s="550" t="s">
        <v>1432</v>
      </c>
      <c r="AA66" s="551" t="s">
        <v>1433</v>
      </c>
      <c r="AB66" s="552" t="s">
        <v>1434</v>
      </c>
      <c r="AC66" s="552" t="s">
        <v>1435</v>
      </c>
      <c r="AD66" s="549" t="s">
        <v>1436</v>
      </c>
      <c r="AE66" s="549" t="s">
        <v>1437</v>
      </c>
      <c r="AF66" s="549" t="s">
        <v>1438</v>
      </c>
      <c r="AG66" s="549" t="s">
        <v>1439</v>
      </c>
      <c r="AH66" s="553" t="s">
        <v>1440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1222</v>
      </c>
      <c r="J67" s="433" t="s">
        <v>1223</v>
      </c>
      <c r="K67" s="431" t="s">
        <v>1099</v>
      </c>
      <c r="L67" s="434" t="s">
        <v>7</v>
      </c>
      <c r="M67" s="434" t="str">
        <f t="shared" si="36"/>
        <v>Doesn't Apply</v>
      </c>
      <c r="N67" s="436">
        <f t="shared" ref="N67:O67" si="37">Y35</f>
        <v>0</v>
      </c>
      <c r="O67" s="556">
        <f t="shared" si="37"/>
        <v>60.04622961587031</v>
      </c>
      <c r="P67" s="557">
        <f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1441</v>
      </c>
      <c r="DJ67" s="573" t="s">
        <v>1441</v>
      </c>
      <c r="DK67" s="573" t="s">
        <v>1441</v>
      </c>
      <c r="DL67" s="573" t="s">
        <v>1441</v>
      </c>
      <c r="DM67" s="573" t="s">
        <v>1441</v>
      </c>
      <c r="DN67" s="573" t="s">
        <v>1441</v>
      </c>
      <c r="DO67" s="573" t="s">
        <v>1441</v>
      </c>
      <c r="DP67" s="573" t="s">
        <v>1441</v>
      </c>
      <c r="DQ67" s="574" t="s">
        <v>1441</v>
      </c>
    </row>
    <row r="68" spans="1:121" ht="15.75" customHeight="1" x14ac:dyDescent="0.25">
      <c r="I68" s="432" t="s">
        <v>1222</v>
      </c>
      <c r="J68" s="433" t="s">
        <v>1224</v>
      </c>
      <c r="K68" s="431" t="s">
        <v>1099</v>
      </c>
      <c r="L68" s="434" t="s">
        <v>7</v>
      </c>
      <c r="M68" s="434" t="str">
        <f t="shared" si="36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ref="P68:P89" si="52">+O68/(N68+O68)</f>
        <v>1</v>
      </c>
      <c r="Q68" s="558">
        <f t="shared" si="38"/>
        <v>8.486450086675454</v>
      </c>
      <c r="R68" s="435">
        <f t="shared" ref="R68:V68" si="53">T36</f>
        <v>4.3098003024011712E-2</v>
      </c>
      <c r="S68" s="435">
        <f t="shared" si="53"/>
        <v>9.9542354138382663E-3</v>
      </c>
      <c r="T68" s="435">
        <f t="shared" si="53"/>
        <v>0.72254019124584645</v>
      </c>
      <c r="U68" s="435">
        <f t="shared" si="53"/>
        <v>0</v>
      </c>
      <c r="V68" s="435">
        <f t="shared" si="53"/>
        <v>7.7639098954296077</v>
      </c>
      <c r="W68" s="559">
        <f t="shared" ref="W68:Y68" si="54">+IF($O68=0,"-",R68/$O68)</f>
        <v>5.046898681351419E-3</v>
      </c>
      <c r="X68" s="559">
        <f t="shared" si="54"/>
        <v>1.1656692667632936E-3</v>
      </c>
      <c r="Y68" s="559">
        <f t="shared" si="54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5">+IF(AI68="","",AI68*$AH68)</f>
        <v>8.539502325113304</v>
      </c>
      <c r="AX68" s="570">
        <f t="shared" si="55"/>
        <v>6.1215702962567402</v>
      </c>
      <c r="AY68" s="570">
        <f t="shared" si="55"/>
        <v>9.1861642860328487</v>
      </c>
      <c r="AZ68" s="570">
        <f t="shared" si="55"/>
        <v>6.5979294250014515</v>
      </c>
      <c r="BA68" s="570">
        <f t="shared" si="55"/>
        <v>5.7975648334218421</v>
      </c>
      <c r="BB68" s="570">
        <f t="shared" si="55"/>
        <v>5.2673740760556509</v>
      </c>
      <c r="BC68" s="570">
        <f t="shared" si="55"/>
        <v>3.6668988156729534</v>
      </c>
      <c r="BD68" s="570">
        <f t="shared" si="55"/>
        <v>2.86729599242289</v>
      </c>
      <c r="BE68" s="570">
        <f t="shared" si="55"/>
        <v>2.3371052350566992</v>
      </c>
      <c r="BF68" s="570">
        <f t="shared" si="55"/>
        <v>1.5418190990073675</v>
      </c>
      <c r="BG68" s="570">
        <f t="shared" si="55"/>
        <v>0.74653296295810601</v>
      </c>
      <c r="BH68" s="570">
        <f t="shared" si="55"/>
        <v>0.21634220559186546</v>
      </c>
      <c r="BI68" s="570">
        <f t="shared" si="55"/>
        <v>0</v>
      </c>
      <c r="BJ68" s="571">
        <f t="shared" si="55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6">+IF(CB68="","",CB68*$AH68)</f>
        <v/>
      </c>
      <c r="CQ68" s="570" t="str">
        <f t="shared" si="56"/>
        <v/>
      </c>
      <c r="CR68" s="570" t="str">
        <f t="shared" si="56"/>
        <v/>
      </c>
      <c r="CS68" s="570" t="str">
        <f t="shared" si="56"/>
        <v/>
      </c>
      <c r="CT68" s="570" t="str">
        <f t="shared" si="56"/>
        <v/>
      </c>
      <c r="CU68" s="570" t="str">
        <f t="shared" si="56"/>
        <v/>
      </c>
      <c r="CV68" s="570" t="str">
        <f t="shared" si="56"/>
        <v/>
      </c>
      <c r="CW68" s="570" t="str">
        <f t="shared" si="56"/>
        <v/>
      </c>
      <c r="CX68" s="570" t="str">
        <f t="shared" si="56"/>
        <v/>
      </c>
      <c r="CY68" s="570" t="str">
        <f t="shared" si="56"/>
        <v/>
      </c>
      <c r="CZ68" s="570" t="str">
        <f t="shared" si="56"/>
        <v/>
      </c>
      <c r="DA68" s="570" t="str">
        <f t="shared" si="56"/>
        <v/>
      </c>
      <c r="DB68" s="570" t="str">
        <f t="shared" si="56"/>
        <v/>
      </c>
      <c r="DC68" s="571" t="str">
        <f t="shared" si="56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1441</v>
      </c>
      <c r="DN68" s="573" t="s">
        <v>1441</v>
      </c>
      <c r="DO68" s="573" t="s">
        <v>1441</v>
      </c>
      <c r="DP68" s="573" t="s">
        <v>1441</v>
      </c>
      <c r="DQ68" s="574" t="s">
        <v>1441</v>
      </c>
    </row>
    <row r="69" spans="1:121" ht="15.75" customHeight="1" x14ac:dyDescent="0.25">
      <c r="I69" s="432" t="s">
        <v>1226</v>
      </c>
      <c r="J69" s="433" t="s">
        <v>1227</v>
      </c>
      <c r="K69" s="431" t="s">
        <v>1099</v>
      </c>
      <c r="L69" s="434" t="s">
        <v>7</v>
      </c>
      <c r="M69" s="434" t="str">
        <f t="shared" si="36"/>
        <v>Doesn't Apply</v>
      </c>
      <c r="N69" s="436">
        <f t="shared" ref="N69:O69" si="57">Y37</f>
        <v>0</v>
      </c>
      <c r="O69" s="556">
        <f t="shared" si="57"/>
        <v>13.106881088314344</v>
      </c>
      <c r="P69" s="557">
        <f t="shared" si="52"/>
        <v>1</v>
      </c>
      <c r="Q69" s="558">
        <f t="shared" si="38"/>
        <v>11.790499076061606</v>
      </c>
      <c r="R69" s="435">
        <f t="shared" ref="R69:V69" si="58">T37</f>
        <v>0</v>
      </c>
      <c r="S69" s="435">
        <f t="shared" si="58"/>
        <v>0</v>
      </c>
      <c r="T69" s="435">
        <f t="shared" si="58"/>
        <v>13.106881088314344</v>
      </c>
      <c r="U69" s="435">
        <f t="shared" si="58"/>
        <v>1.3163820122527377</v>
      </c>
      <c r="V69" s="435">
        <f t="shared" si="58"/>
        <v>0</v>
      </c>
      <c r="W69" s="559">
        <f t="shared" ref="W69:Y69" si="59">+IF($O69=0,"-",R69/$O69)</f>
        <v>0</v>
      </c>
      <c r="X69" s="559">
        <f t="shared" si="59"/>
        <v>0</v>
      </c>
      <c r="Y69" s="559">
        <f t="shared" si="59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60">+IF(AI69="","",AI69*$AH69)</f>
        <v>13.106881088314344</v>
      </c>
      <c r="AX69" s="570">
        <f t="shared" si="60"/>
        <v>12.559113345881718</v>
      </c>
      <c r="AY69" s="570">
        <f t="shared" si="60"/>
        <v>3.9984115958317328</v>
      </c>
      <c r="AZ69" s="570">
        <f t="shared" si="60"/>
        <v>2.1529908592940092</v>
      </c>
      <c r="BA69" s="570">
        <f t="shared" si="60"/>
        <v>1.0764954296470057</v>
      </c>
      <c r="BB69" s="570">
        <f t="shared" si="60"/>
        <v>0</v>
      </c>
      <c r="BC69" s="570">
        <f t="shared" si="60"/>
        <v>0</v>
      </c>
      <c r="BD69" s="570">
        <f t="shared" si="60"/>
        <v>0</v>
      </c>
      <c r="BE69" s="570">
        <f t="shared" si="60"/>
        <v>0</v>
      </c>
      <c r="BF69" s="570">
        <f t="shared" si="60"/>
        <v>0</v>
      </c>
      <c r="BG69" s="570">
        <f t="shared" si="60"/>
        <v>0</v>
      </c>
      <c r="BH69" s="570">
        <f t="shared" si="60"/>
        <v>0</v>
      </c>
      <c r="BI69" s="570">
        <f t="shared" si="60"/>
        <v>0</v>
      </c>
      <c r="BJ69" s="571">
        <f t="shared" si="60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1">+IF(CB69="","",CB69*$AH69)</f>
        <v/>
      </c>
      <c r="CQ69" s="570" t="str">
        <f t="shared" si="61"/>
        <v/>
      </c>
      <c r="CR69" s="570" t="str">
        <f t="shared" si="61"/>
        <v/>
      </c>
      <c r="CS69" s="570" t="str">
        <f t="shared" si="61"/>
        <v/>
      </c>
      <c r="CT69" s="570" t="str">
        <f t="shared" si="61"/>
        <v/>
      </c>
      <c r="CU69" s="570" t="str">
        <f t="shared" si="61"/>
        <v/>
      </c>
      <c r="CV69" s="570" t="str">
        <f t="shared" si="61"/>
        <v/>
      </c>
      <c r="CW69" s="570" t="str">
        <f t="shared" si="61"/>
        <v/>
      </c>
      <c r="CX69" s="570" t="str">
        <f t="shared" si="61"/>
        <v/>
      </c>
      <c r="CY69" s="570" t="str">
        <f t="shared" si="61"/>
        <v/>
      </c>
      <c r="CZ69" s="570" t="str">
        <f t="shared" si="61"/>
        <v/>
      </c>
      <c r="DA69" s="570" t="str">
        <f t="shared" si="61"/>
        <v/>
      </c>
      <c r="DB69" s="570" t="str">
        <f t="shared" si="61"/>
        <v/>
      </c>
      <c r="DC69" s="571" t="str">
        <f t="shared" si="61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1441</v>
      </c>
      <c r="DJ69" s="573" t="s">
        <v>1441</v>
      </c>
      <c r="DK69" s="573" t="s">
        <v>1441</v>
      </c>
      <c r="DL69" s="573" t="s">
        <v>1441</v>
      </c>
      <c r="DM69" s="573" t="s">
        <v>1441</v>
      </c>
      <c r="DN69" s="573" t="s">
        <v>1441</v>
      </c>
      <c r="DO69" s="573" t="s">
        <v>1441</v>
      </c>
      <c r="DP69" s="573" t="s">
        <v>1441</v>
      </c>
      <c r="DQ69" s="574" t="s">
        <v>1441</v>
      </c>
    </row>
    <row r="70" spans="1:121" ht="15.75" customHeight="1" x14ac:dyDescent="0.25">
      <c r="I70" s="431" t="s">
        <v>1226</v>
      </c>
      <c r="J70" s="434" t="s">
        <v>1229</v>
      </c>
      <c r="K70" s="431">
        <v>48</v>
      </c>
      <c r="L70" s="434"/>
      <c r="M70" s="434" t="str">
        <f t="shared" si="36"/>
        <v>Light Oil</v>
      </c>
      <c r="N70" s="575">
        <f t="shared" ref="N70:O70" si="62">Y38</f>
        <v>22.733323234776581</v>
      </c>
      <c r="O70" s="576">
        <f t="shared" si="62"/>
        <v>93.265320299494704</v>
      </c>
      <c r="P70" s="577">
        <f t="shared" si="52"/>
        <v>0.80402078384597564</v>
      </c>
      <c r="Q70" s="578">
        <f t="shared" si="38"/>
        <v>75.291444019366892</v>
      </c>
      <c r="R70" s="579">
        <f t="shared" ref="R70:V70" si="63">T38</f>
        <v>14.103990590462988</v>
      </c>
      <c r="S70" s="579">
        <f t="shared" si="63"/>
        <v>0.82481844578701846</v>
      </c>
      <c r="T70" s="579">
        <f t="shared" si="63"/>
        <v>6.0840367613967006</v>
      </c>
      <c r="U70" s="579">
        <f t="shared" si="63"/>
        <v>3.0450672438778423</v>
      </c>
      <c r="V70" s="579">
        <f t="shared" si="63"/>
        <v>72.252474501848027</v>
      </c>
      <c r="W70" s="580">
        <f t="shared" ref="W70:Y70" si="64">+IF($O70=0,"-",R70/$O70)</f>
        <v>0.15122438378136788</v>
      </c>
      <c r="X70" s="580">
        <f t="shared" si="64"/>
        <v>8.8437850547057762E-3</v>
      </c>
      <c r="Y70" s="580">
        <f t="shared" si="64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5">+IF(AI70="","",AI70*$AH70)</f>
        <v>115.99864353427128</v>
      </c>
      <c r="AX70" s="570">
        <f t="shared" si="65"/>
        <v>132.94121098469506</v>
      </c>
      <c r="AY70" s="570">
        <f t="shared" si="65"/>
        <v>119.10468340735252</v>
      </c>
      <c r="AZ70" s="570">
        <f t="shared" si="65"/>
        <v>92.378134685449467</v>
      </c>
      <c r="BA70" s="570">
        <f t="shared" si="65"/>
        <v>77.394243457523118</v>
      </c>
      <c r="BB70" s="570">
        <f t="shared" si="65"/>
        <v>54.918406615633529</v>
      </c>
      <c r="BC70" s="570">
        <f t="shared" si="65"/>
        <v>40.979716270495516</v>
      </c>
      <c r="BD70" s="570">
        <f t="shared" si="65"/>
        <v>31.687256040403504</v>
      </c>
      <c r="BE70" s="570">
        <f t="shared" si="65"/>
        <v>23.496332591475504</v>
      </c>
      <c r="BF70" s="570">
        <f t="shared" si="65"/>
        <v>11.902086442499098</v>
      </c>
      <c r="BG70" s="570">
        <f t="shared" si="65"/>
        <v>9.595573256011189</v>
      </c>
      <c r="BH70" s="570">
        <f t="shared" si="65"/>
        <v>8.0578977983525846</v>
      </c>
      <c r="BI70" s="570">
        <f t="shared" si="65"/>
        <v>7.2206857158341826</v>
      </c>
      <c r="BJ70" s="571">
        <f t="shared" si="65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6">+IF(CB70="","",CB70*$AH70)</f>
        <v/>
      </c>
      <c r="CQ70" s="570" t="str">
        <f t="shared" si="66"/>
        <v/>
      </c>
      <c r="CR70" s="570" t="str">
        <f t="shared" si="66"/>
        <v/>
      </c>
      <c r="CS70" s="570" t="str">
        <f t="shared" si="66"/>
        <v/>
      </c>
      <c r="CT70" s="570" t="str">
        <f t="shared" si="66"/>
        <v/>
      </c>
      <c r="CU70" s="570" t="str">
        <f t="shared" si="66"/>
        <v/>
      </c>
      <c r="CV70" s="570" t="str">
        <f t="shared" si="66"/>
        <v/>
      </c>
      <c r="CW70" s="570" t="str">
        <f t="shared" si="66"/>
        <v/>
      </c>
      <c r="CX70" s="570" t="str">
        <f t="shared" si="66"/>
        <v/>
      </c>
      <c r="CY70" s="570" t="str">
        <f t="shared" si="66"/>
        <v/>
      </c>
      <c r="CZ70" s="570" t="str">
        <f t="shared" si="66"/>
        <v/>
      </c>
      <c r="DA70" s="570" t="str">
        <f t="shared" si="66"/>
        <v/>
      </c>
      <c r="DB70" s="570" t="str">
        <f t="shared" si="66"/>
        <v/>
      </c>
      <c r="DC70" s="571" t="str">
        <f t="shared" si="66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1226</v>
      </c>
      <c r="J71" s="434" t="s">
        <v>1231</v>
      </c>
      <c r="K71" s="431">
        <v>52</v>
      </c>
      <c r="L71" s="434"/>
      <c r="M71" s="434" t="str">
        <f t="shared" si="36"/>
        <v>Light Oil</v>
      </c>
      <c r="N71" s="575">
        <f t="shared" ref="N71:O71" si="67">Y39</f>
        <v>7.0712088472532377</v>
      </c>
      <c r="O71" s="576">
        <f t="shared" si="67"/>
        <v>83.600151440022017</v>
      </c>
      <c r="P71" s="577">
        <f t="shared" si="52"/>
        <v>0.92201276318289005</v>
      </c>
      <c r="Q71" s="578">
        <f t="shared" si="38"/>
        <v>60.807849771910234</v>
      </c>
      <c r="R71" s="579">
        <f t="shared" ref="R71:V71" si="68">T39</f>
        <v>11.187076555858232</v>
      </c>
      <c r="S71" s="579">
        <f t="shared" si="68"/>
        <v>0.42083397893088031</v>
      </c>
      <c r="T71" s="579">
        <f t="shared" si="68"/>
        <v>11.193699252036202</v>
      </c>
      <c r="U71" s="579">
        <f t="shared" si="68"/>
        <v>11.184391133322654</v>
      </c>
      <c r="V71" s="579">
        <f t="shared" si="68"/>
        <v>60.798541653196693</v>
      </c>
      <c r="W71" s="580">
        <f t="shared" ref="W71:Y71" si="69">+IF($O71=0,"-",R71/$O71)</f>
        <v>0.13381646280729853</v>
      </c>
      <c r="X71" s="580">
        <f t="shared" si="69"/>
        <v>5.0338901506991034E-3</v>
      </c>
      <c r="Y71" s="580">
        <f t="shared" si="69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70">+IF(AI71="","",AI71*$AH71)</f>
        <v>90.671360287275249</v>
      </c>
      <c r="AX71" s="570">
        <f t="shared" si="70"/>
        <v>78.345503612492678</v>
      </c>
      <c r="AY71" s="570">
        <f t="shared" si="70"/>
        <v>56.123066775775108</v>
      </c>
      <c r="AZ71" s="570">
        <f t="shared" si="70"/>
        <v>41.308108884630059</v>
      </c>
      <c r="BA71" s="570">
        <f t="shared" si="70"/>
        <v>40.386590191190876</v>
      </c>
      <c r="BB71" s="570">
        <f t="shared" si="70"/>
        <v>18.094063028502479</v>
      </c>
      <c r="BC71" s="570">
        <f t="shared" si="70"/>
        <v>4.0209028952213517</v>
      </c>
      <c r="BD71" s="570">
        <f t="shared" si="70"/>
        <v>0</v>
      </c>
      <c r="BE71" s="570">
        <f t="shared" si="70"/>
        <v>0</v>
      </c>
      <c r="BF71" s="570">
        <f t="shared" si="70"/>
        <v>0</v>
      </c>
      <c r="BG71" s="570">
        <f t="shared" si="70"/>
        <v>0</v>
      </c>
      <c r="BH71" s="570">
        <f t="shared" si="70"/>
        <v>0</v>
      </c>
      <c r="BI71" s="570">
        <f t="shared" si="70"/>
        <v>0</v>
      </c>
      <c r="BJ71" s="571">
        <f t="shared" si="70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1">+IF(CB71="","",CB71*$AH71)</f>
        <v/>
      </c>
      <c r="CQ71" s="570" t="str">
        <f t="shared" si="71"/>
        <v/>
      </c>
      <c r="CR71" s="570" t="str">
        <f t="shared" si="71"/>
        <v/>
      </c>
      <c r="CS71" s="570" t="str">
        <f t="shared" si="71"/>
        <v/>
      </c>
      <c r="CT71" s="570" t="str">
        <f t="shared" si="71"/>
        <v/>
      </c>
      <c r="CU71" s="570" t="str">
        <f t="shared" si="71"/>
        <v/>
      </c>
      <c r="CV71" s="570" t="str">
        <f t="shared" si="71"/>
        <v/>
      </c>
      <c r="CW71" s="570" t="str">
        <f t="shared" si="71"/>
        <v/>
      </c>
      <c r="CX71" s="570" t="str">
        <f t="shared" si="71"/>
        <v/>
      </c>
      <c r="CY71" s="570" t="str">
        <f t="shared" si="71"/>
        <v/>
      </c>
      <c r="CZ71" s="570" t="str">
        <f t="shared" si="71"/>
        <v/>
      </c>
      <c r="DA71" s="570" t="str">
        <f t="shared" si="71"/>
        <v/>
      </c>
      <c r="DB71" s="570" t="str">
        <f t="shared" si="71"/>
        <v/>
      </c>
      <c r="DC71" s="571" t="str">
        <f t="shared" si="71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1441</v>
      </c>
      <c r="DI71" s="573" t="s">
        <v>1441</v>
      </c>
      <c r="DJ71" s="573" t="s">
        <v>1441</v>
      </c>
      <c r="DK71" s="573" t="s">
        <v>1441</v>
      </c>
      <c r="DL71" s="573" t="s">
        <v>1441</v>
      </c>
      <c r="DM71" s="573" t="s">
        <v>1441</v>
      </c>
      <c r="DN71" s="573" t="s">
        <v>1441</v>
      </c>
      <c r="DO71" s="573" t="s">
        <v>1441</v>
      </c>
      <c r="DP71" s="573" t="s">
        <v>1441</v>
      </c>
      <c r="DQ71" s="574" t="s">
        <v>1441</v>
      </c>
    </row>
    <row r="72" spans="1:121" ht="15.75" customHeight="1" x14ac:dyDescent="0.25">
      <c r="I72" s="431" t="s">
        <v>1226</v>
      </c>
      <c r="J72" s="434" t="s">
        <v>1233</v>
      </c>
      <c r="K72" s="431">
        <v>46</v>
      </c>
      <c r="L72" s="434"/>
      <c r="M72" s="434" t="str">
        <f t="shared" si="36"/>
        <v>Light Oil</v>
      </c>
      <c r="N72" s="575">
        <f t="shared" ref="N72:O72" si="72">Y40</f>
        <v>60.007782289723188</v>
      </c>
      <c r="O72" s="576">
        <f t="shared" si="72"/>
        <v>77.441558868755962</v>
      </c>
      <c r="P72" s="577">
        <f t="shared" si="52"/>
        <v>0.56341891649713927</v>
      </c>
      <c r="Q72" s="578">
        <f t="shared" si="38"/>
        <v>73.646794341073218</v>
      </c>
      <c r="R72" s="579">
        <f t="shared" ref="R72:V72" si="73">T40</f>
        <v>3.345117782148316</v>
      </c>
      <c r="S72" s="579">
        <f t="shared" si="73"/>
        <v>0.44964674553442446</v>
      </c>
      <c r="T72" s="579">
        <f t="shared" si="73"/>
        <v>52.360166687252182</v>
      </c>
      <c r="U72" s="579">
        <f t="shared" si="73"/>
        <v>0</v>
      </c>
      <c r="V72" s="579">
        <f t="shared" si="73"/>
        <v>21.286627653821029</v>
      </c>
      <c r="W72" s="580">
        <f t="shared" ref="W72:Y72" si="74">+IF($O72=0,"-",R72/$O72)</f>
        <v>4.3195382828197612E-2</v>
      </c>
      <c r="X72" s="580">
        <f t="shared" si="74"/>
        <v>5.8062718791141981E-3</v>
      </c>
      <c r="Y72" s="580">
        <f t="shared" si="74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5">+IF(AI72="","",AI72*$AH72)</f>
        <v>137.44934115847914</v>
      </c>
      <c r="AX72" s="570">
        <f t="shared" si="75"/>
        <v>132.01246309372399</v>
      </c>
      <c r="AY72" s="570">
        <f t="shared" si="75"/>
        <v>105.01644464224017</v>
      </c>
      <c r="AZ72" s="570">
        <f t="shared" si="75"/>
        <v>77.001349319514489</v>
      </c>
      <c r="BA72" s="570">
        <f t="shared" si="75"/>
        <v>47.101612548910218</v>
      </c>
      <c r="BB72" s="570">
        <f t="shared" si="75"/>
        <v>34.769927672183989</v>
      </c>
      <c r="BC72" s="570">
        <f t="shared" si="75"/>
        <v>24.189671897843734</v>
      </c>
      <c r="BD72" s="570">
        <f t="shared" si="75"/>
        <v>18.011882599476529</v>
      </c>
      <c r="BE72" s="570">
        <f t="shared" si="75"/>
        <v>13.585522403495304</v>
      </c>
      <c r="BF72" s="570">
        <f t="shared" si="75"/>
        <v>10.070717338719309</v>
      </c>
      <c r="BG72" s="570">
        <f t="shared" si="75"/>
        <v>6.567859133947354</v>
      </c>
      <c r="BH72" s="570">
        <f t="shared" si="75"/>
        <v>4.232620330766097</v>
      </c>
      <c r="BI72" s="570">
        <f t="shared" si="75"/>
        <v>1.8973815275848391</v>
      </c>
      <c r="BJ72" s="571">
        <f t="shared" si="75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6">+IF(CB72="","",CB72*$AH72)</f>
        <v/>
      </c>
      <c r="CQ72" s="570" t="str">
        <f t="shared" si="76"/>
        <v/>
      </c>
      <c r="CR72" s="570" t="str">
        <f t="shared" si="76"/>
        <v/>
      </c>
      <c r="CS72" s="570" t="str">
        <f t="shared" si="76"/>
        <v/>
      </c>
      <c r="CT72" s="570" t="str">
        <f t="shared" si="76"/>
        <v/>
      </c>
      <c r="CU72" s="570" t="str">
        <f t="shared" si="76"/>
        <v/>
      </c>
      <c r="CV72" s="570" t="str">
        <f t="shared" si="76"/>
        <v/>
      </c>
      <c r="CW72" s="570" t="str">
        <f t="shared" si="76"/>
        <v/>
      </c>
      <c r="CX72" s="570" t="str">
        <f t="shared" si="76"/>
        <v/>
      </c>
      <c r="CY72" s="570" t="str">
        <f t="shared" si="76"/>
        <v/>
      </c>
      <c r="CZ72" s="570" t="str">
        <f t="shared" si="76"/>
        <v/>
      </c>
      <c r="DA72" s="570" t="str">
        <f t="shared" si="76"/>
        <v/>
      </c>
      <c r="DB72" s="570" t="str">
        <f t="shared" si="76"/>
        <v/>
      </c>
      <c r="DC72" s="571" t="str">
        <f t="shared" si="76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1441</v>
      </c>
      <c r="DO72" s="573" t="s">
        <v>1441</v>
      </c>
      <c r="DP72" s="573" t="s">
        <v>1441</v>
      </c>
      <c r="DQ72" s="574" t="s">
        <v>1441</v>
      </c>
    </row>
    <row r="73" spans="1:121" ht="15.75" customHeight="1" x14ac:dyDescent="0.25">
      <c r="I73" s="431" t="s">
        <v>1226</v>
      </c>
      <c r="J73" s="434" t="s">
        <v>1234</v>
      </c>
      <c r="K73" s="431">
        <f>44+((47-44)/2)</f>
        <v>45.5</v>
      </c>
      <c r="L73" s="434"/>
      <c r="M73" s="434" t="str">
        <f t="shared" si="36"/>
        <v>Light Oil</v>
      </c>
      <c r="N73" s="575">
        <f t="shared" ref="N73:O73" si="77">Y41</f>
        <v>17.796808939248596</v>
      </c>
      <c r="O73" s="583">
        <f t="shared" si="77"/>
        <v>1.7694814439043327</v>
      </c>
      <c r="P73" s="577">
        <f t="shared" si="52"/>
        <v>9.0435203058618671E-2</v>
      </c>
      <c r="Q73" s="578">
        <f t="shared" si="38"/>
        <v>0</v>
      </c>
      <c r="R73" s="584">
        <f t="shared" ref="R73:V73" si="78">T41</f>
        <v>0.2018105131061125</v>
      </c>
      <c r="S73" s="584">
        <f t="shared" si="78"/>
        <v>1.5676709307982222</v>
      </c>
      <c r="T73" s="579">
        <f t="shared" si="78"/>
        <v>0</v>
      </c>
      <c r="U73" s="579">
        <f t="shared" si="78"/>
        <v>0</v>
      </c>
      <c r="V73" s="579">
        <f t="shared" si="78"/>
        <v>0</v>
      </c>
      <c r="W73" s="580">
        <f t="shared" ref="W73:Y73" si="79">+IF($O73=0,"-",R73/$O73)</f>
        <v>0.11405065241081071</v>
      </c>
      <c r="X73" s="580">
        <f t="shared" si="79"/>
        <v>0.88594934758919042</v>
      </c>
      <c r="Y73" s="580">
        <f t="shared" si="79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80">+IF(AI73="","",AI73*$AH73)</f>
        <v>19.566290383152928</v>
      </c>
      <c r="AX73" s="570">
        <f t="shared" si="80"/>
        <v>13.740457757961105</v>
      </c>
      <c r="AY73" s="570">
        <f t="shared" si="80"/>
        <v>11.469144829754304</v>
      </c>
      <c r="AZ73" s="570">
        <f t="shared" si="80"/>
        <v>8.3778233151679586</v>
      </c>
      <c r="BA73" s="570">
        <f t="shared" si="80"/>
        <v>5.3527514800288261</v>
      </c>
      <c r="BB73" s="570">
        <f t="shared" si="80"/>
        <v>4.170215030466454</v>
      </c>
      <c r="BC73" s="570">
        <f t="shared" si="80"/>
        <v>3.1896407819590231</v>
      </c>
      <c r="BD73" s="570">
        <f t="shared" si="80"/>
        <v>2.5359246162873696</v>
      </c>
      <c r="BE73" s="570">
        <f t="shared" si="80"/>
        <v>1.9961358460825875</v>
      </c>
      <c r="BF73" s="570">
        <f t="shared" si="80"/>
        <v>1.4240924433358944</v>
      </c>
      <c r="BG73" s="570">
        <f t="shared" si="80"/>
        <v>1.1910591344263837</v>
      </c>
      <c r="BH73" s="570">
        <f t="shared" si="80"/>
        <v>1.0357035951533768</v>
      </c>
      <c r="BI73" s="570">
        <f t="shared" si="80"/>
        <v>0.91141916373497178</v>
      </c>
      <c r="BJ73" s="571">
        <f t="shared" si="80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1">+IF(CB73="","",CB73*$AH73)</f>
        <v/>
      </c>
      <c r="CQ73" s="570" t="str">
        <f t="shared" si="81"/>
        <v/>
      </c>
      <c r="CR73" s="570" t="str">
        <f t="shared" si="81"/>
        <v/>
      </c>
      <c r="CS73" s="570" t="str">
        <f t="shared" si="81"/>
        <v/>
      </c>
      <c r="CT73" s="570" t="str">
        <f t="shared" si="81"/>
        <v/>
      </c>
      <c r="CU73" s="570" t="str">
        <f t="shared" si="81"/>
        <v/>
      </c>
      <c r="CV73" s="570" t="str">
        <f t="shared" si="81"/>
        <v/>
      </c>
      <c r="CW73" s="570" t="str">
        <f t="shared" si="81"/>
        <v/>
      </c>
      <c r="CX73" s="570" t="str">
        <f t="shared" si="81"/>
        <v/>
      </c>
      <c r="CY73" s="570" t="str">
        <f t="shared" si="81"/>
        <v/>
      </c>
      <c r="CZ73" s="570" t="str">
        <f t="shared" si="81"/>
        <v/>
      </c>
      <c r="DA73" s="570" t="str">
        <f t="shared" si="81"/>
        <v/>
      </c>
      <c r="DB73" s="570" t="str">
        <f t="shared" si="81"/>
        <v/>
      </c>
      <c r="DC73" s="571" t="str">
        <f t="shared" si="81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2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1226</v>
      </c>
      <c r="J74" s="434" t="s">
        <v>1236</v>
      </c>
      <c r="K74" s="431">
        <f>11.3+(14.4-11.3)/2</f>
        <v>12.850000000000001</v>
      </c>
      <c r="L74" s="434"/>
      <c r="M74" s="434" t="str">
        <f t="shared" si="36"/>
        <v>Heavy Oil</v>
      </c>
      <c r="N74" s="575">
        <f t="shared" ref="N74:O74" si="83">Y42</f>
        <v>265.08224689210181</v>
      </c>
      <c r="O74" s="576">
        <f t="shared" si="83"/>
        <v>0</v>
      </c>
      <c r="P74" s="577">
        <f t="shared" si="52"/>
        <v>0</v>
      </c>
      <c r="Q74" s="578">
        <f t="shared" si="38"/>
        <v>0</v>
      </c>
      <c r="R74" s="579">
        <f t="shared" ref="R74:V74" si="84">T42</f>
        <v>0</v>
      </c>
      <c r="S74" s="579">
        <f t="shared" si="84"/>
        <v>0</v>
      </c>
      <c r="T74" s="579">
        <f t="shared" si="84"/>
        <v>0</v>
      </c>
      <c r="U74" s="579">
        <f t="shared" si="84"/>
        <v>0</v>
      </c>
      <c r="V74" s="579">
        <f t="shared" si="84"/>
        <v>0</v>
      </c>
      <c r="W74" s="580" t="str">
        <f t="shared" ref="W74:Y74" si="85">+IF($O74=0,"-",R74/$O74)</f>
        <v>-</v>
      </c>
      <c r="X74" s="580" t="str">
        <f t="shared" si="85"/>
        <v>-</v>
      </c>
      <c r="Y74" s="580" t="str">
        <f t="shared" si="85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6">+IF(AI74="","",AI74*$AH74)</f>
        <v>265.08224689210181</v>
      </c>
      <c r="AX74" s="570">
        <f t="shared" si="86"/>
        <v>249.9574340063663</v>
      </c>
      <c r="AY74" s="570">
        <f t="shared" si="86"/>
        <v>200.28436431847692</v>
      </c>
      <c r="AZ74" s="570">
        <f t="shared" si="86"/>
        <v>167.1689845265507</v>
      </c>
      <c r="BA74" s="570">
        <f t="shared" si="86"/>
        <v>135.32727318816009</v>
      </c>
      <c r="BB74" s="570">
        <f t="shared" si="86"/>
        <v>87.564706180574163</v>
      </c>
      <c r="BC74" s="570">
        <f t="shared" si="86"/>
        <v>68.4596793775398</v>
      </c>
      <c r="BD74" s="570">
        <f t="shared" si="86"/>
        <v>55.722994842183546</v>
      </c>
      <c r="BE74" s="570">
        <f t="shared" si="86"/>
        <v>42.986310306828031</v>
      </c>
      <c r="BF74" s="570">
        <f t="shared" si="86"/>
        <v>23.881283503794084</v>
      </c>
      <c r="BG74" s="570">
        <f t="shared" si="86"/>
        <v>4.7762567007601335</v>
      </c>
      <c r="BH74" s="570">
        <f t="shared" si="86"/>
        <v>0</v>
      </c>
      <c r="BI74" s="570">
        <f t="shared" si="86"/>
        <v>0</v>
      </c>
      <c r="BJ74" s="571">
        <f t="shared" si="86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7">+IF(CB74="","",CB74*$AH74)</f>
        <v/>
      </c>
      <c r="CQ74" s="570" t="str">
        <f t="shared" si="87"/>
        <v/>
      </c>
      <c r="CR74" s="570" t="str">
        <f t="shared" si="87"/>
        <v/>
      </c>
      <c r="CS74" s="570" t="str">
        <f t="shared" si="87"/>
        <v/>
      </c>
      <c r="CT74" s="570" t="str">
        <f t="shared" si="87"/>
        <v/>
      </c>
      <c r="CU74" s="570" t="str">
        <f t="shared" si="87"/>
        <v/>
      </c>
      <c r="CV74" s="570" t="str">
        <f t="shared" si="87"/>
        <v/>
      </c>
      <c r="CW74" s="570" t="str">
        <f t="shared" si="87"/>
        <v/>
      </c>
      <c r="CX74" s="570" t="str">
        <f t="shared" si="87"/>
        <v/>
      </c>
      <c r="CY74" s="570" t="str">
        <f t="shared" si="87"/>
        <v/>
      </c>
      <c r="CZ74" s="570" t="str">
        <f t="shared" si="87"/>
        <v/>
      </c>
      <c r="DA74" s="570" t="str">
        <f t="shared" si="87"/>
        <v/>
      </c>
      <c r="DB74" s="570" t="str">
        <f t="shared" si="87"/>
        <v/>
      </c>
      <c r="DC74" s="571" t="str">
        <f t="shared" si="87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8">+DG74+(DI74-DG74)*(2027-2025)/(2030-2025)</f>
        <v>135.32727318816009</v>
      </c>
      <c r="DI74" s="570">
        <v>87.564706180574163</v>
      </c>
      <c r="DJ74" s="572">
        <f t="shared" si="82"/>
        <v>68.4596793775398</v>
      </c>
      <c r="DK74" s="570">
        <v>55.722994842183546</v>
      </c>
      <c r="DL74" s="573" t="s">
        <v>1441</v>
      </c>
      <c r="DM74" s="573" t="s">
        <v>1441</v>
      </c>
      <c r="DN74" s="573" t="s">
        <v>1441</v>
      </c>
      <c r="DO74" s="573" t="s">
        <v>1441</v>
      </c>
      <c r="DP74" s="573" t="s">
        <v>1441</v>
      </c>
      <c r="DQ74" s="574" t="s">
        <v>1441</v>
      </c>
    </row>
    <row r="75" spans="1:121" ht="15.75" customHeight="1" x14ac:dyDescent="0.25">
      <c r="I75" s="431" t="s">
        <v>1226</v>
      </c>
      <c r="J75" s="434" t="s">
        <v>1238</v>
      </c>
      <c r="K75" s="431">
        <v>13.7</v>
      </c>
      <c r="L75" s="434"/>
      <c r="M75" s="434" t="str">
        <f t="shared" si="36"/>
        <v>Heavy Oil</v>
      </c>
      <c r="N75" s="575">
        <f t="shared" ref="N75:O75" si="89">Y43</f>
        <v>253.41187670697005</v>
      </c>
      <c r="O75" s="576">
        <f t="shared" si="89"/>
        <v>0</v>
      </c>
      <c r="P75" s="577">
        <f t="shared" si="52"/>
        <v>0</v>
      </c>
      <c r="Q75" s="578">
        <f t="shared" si="38"/>
        <v>0</v>
      </c>
      <c r="R75" s="579">
        <f t="shared" ref="R75:V75" si="90">T43</f>
        <v>0</v>
      </c>
      <c r="S75" s="579">
        <f t="shared" si="90"/>
        <v>0</v>
      </c>
      <c r="T75" s="579">
        <f t="shared" si="90"/>
        <v>0</v>
      </c>
      <c r="U75" s="579">
        <f t="shared" si="90"/>
        <v>0</v>
      </c>
      <c r="V75" s="579">
        <f t="shared" si="90"/>
        <v>0</v>
      </c>
      <c r="W75" s="580" t="str">
        <f t="shared" ref="W75:Y75" si="91">+IF($O75=0,"-",R75/$O75)</f>
        <v>-</v>
      </c>
      <c r="X75" s="580" t="str">
        <f t="shared" si="91"/>
        <v>-</v>
      </c>
      <c r="Y75" s="580" t="str">
        <f t="shared" si="91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2">+IF(AI75="","",AI75*$AH75)</f>
        <v>253.41187670697005</v>
      </c>
      <c r="AX75" s="570">
        <f t="shared" si="92"/>
        <v>253.73863141463579</v>
      </c>
      <c r="AY75" s="570">
        <f t="shared" si="92"/>
        <v>201.09439133035221</v>
      </c>
      <c r="AZ75" s="570">
        <f t="shared" si="92"/>
        <v>170.91612518703496</v>
      </c>
      <c r="BA75" s="570">
        <f t="shared" si="92"/>
        <v>152.99058897831154</v>
      </c>
      <c r="BB75" s="570">
        <f t="shared" si="92"/>
        <v>126.10228466522641</v>
      </c>
      <c r="BC75" s="570">
        <f t="shared" si="92"/>
        <v>109.80051468914307</v>
      </c>
      <c r="BD75" s="570">
        <f t="shared" si="92"/>
        <v>98.932668038420843</v>
      </c>
      <c r="BE75" s="570">
        <f t="shared" si="92"/>
        <v>88.077570685563884</v>
      </c>
      <c r="BF75" s="570">
        <f t="shared" si="92"/>
        <v>71.812406576554963</v>
      </c>
      <c r="BG75" s="570">
        <f t="shared" si="92"/>
        <v>56.553999534154904</v>
      </c>
      <c r="BH75" s="570">
        <f t="shared" si="92"/>
        <v>53.726680615404732</v>
      </c>
      <c r="BI75" s="570">
        <f t="shared" si="92"/>
        <v>51.389025192843988</v>
      </c>
      <c r="BJ75" s="571">
        <f t="shared" si="92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3">+IF(CB75="","",CB75*$AH75)</f>
        <v/>
      </c>
      <c r="CQ75" s="570" t="str">
        <f t="shared" si="93"/>
        <v/>
      </c>
      <c r="CR75" s="570" t="str">
        <f t="shared" si="93"/>
        <v/>
      </c>
      <c r="CS75" s="570" t="str">
        <f t="shared" si="93"/>
        <v/>
      </c>
      <c r="CT75" s="570" t="str">
        <f t="shared" si="93"/>
        <v/>
      </c>
      <c r="CU75" s="570" t="str">
        <f t="shared" si="93"/>
        <v/>
      </c>
      <c r="CV75" s="570" t="str">
        <f t="shared" si="93"/>
        <v/>
      </c>
      <c r="CW75" s="570" t="str">
        <f t="shared" si="93"/>
        <v/>
      </c>
      <c r="CX75" s="570" t="str">
        <f t="shared" si="93"/>
        <v/>
      </c>
      <c r="CY75" s="570" t="str">
        <f t="shared" si="93"/>
        <v/>
      </c>
      <c r="CZ75" s="570" t="str">
        <f t="shared" si="93"/>
        <v/>
      </c>
      <c r="DA75" s="570" t="str">
        <f t="shared" si="93"/>
        <v/>
      </c>
      <c r="DB75" s="570" t="str">
        <f t="shared" si="93"/>
        <v/>
      </c>
      <c r="DC75" s="571" t="str">
        <f t="shared" si="93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8"/>
        <v>101.77717145046412</v>
      </c>
      <c r="DI75" s="570">
        <v>126.10228466522641</v>
      </c>
      <c r="DJ75" s="572">
        <f t="shared" si="82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1226</v>
      </c>
      <c r="J76" s="434" t="s">
        <v>1240</v>
      </c>
      <c r="K76" s="431">
        <f>7+(20-7)/2</f>
        <v>13.5</v>
      </c>
      <c r="L76" s="434"/>
      <c r="M76" s="434" t="str">
        <f t="shared" si="36"/>
        <v>Heavy Oil</v>
      </c>
      <c r="N76" s="575">
        <f t="shared" ref="N76:O76" si="94">Y44</f>
        <v>153.50718826671843</v>
      </c>
      <c r="O76" s="576">
        <f t="shared" si="94"/>
        <v>1.3978936722236606</v>
      </c>
      <c r="P76" s="577">
        <f t="shared" si="52"/>
        <v>9.0241950407712185E-3</v>
      </c>
      <c r="Q76" s="578">
        <f t="shared" si="38"/>
        <v>0</v>
      </c>
      <c r="R76" s="579">
        <f t="shared" ref="R76:V76" si="95">T44</f>
        <v>0.32109980889709927</v>
      </c>
      <c r="S76" s="579">
        <f t="shared" si="95"/>
        <v>1.0767938633265612</v>
      </c>
      <c r="T76" s="579">
        <f t="shared" si="95"/>
        <v>0</v>
      </c>
      <c r="U76" s="579">
        <f t="shared" si="95"/>
        <v>0</v>
      </c>
      <c r="V76" s="579">
        <f t="shared" si="95"/>
        <v>0</v>
      </c>
      <c r="W76" s="580">
        <f t="shared" ref="W76:Y76" si="96">+IF($O76=0,"-",R76/$O76)</f>
        <v>0.22970259847182703</v>
      </c>
      <c r="X76" s="580">
        <f t="shared" si="96"/>
        <v>0.77029740152817294</v>
      </c>
      <c r="Y76" s="580">
        <f t="shared" si="96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7">+IF(AI76="","",AI76*$AH76)</f>
        <v>154.90508193894209</v>
      </c>
      <c r="AX76" s="570">
        <f t="shared" si="97"/>
        <v>154.72434684201744</v>
      </c>
      <c r="AY76" s="570">
        <f t="shared" si="97"/>
        <v>138.8663199640701</v>
      </c>
      <c r="AZ76" s="570">
        <f t="shared" si="97"/>
        <v>117.04626235484743</v>
      </c>
      <c r="BA76" s="570">
        <f t="shared" si="97"/>
        <v>98.014063016637479</v>
      </c>
      <c r="BB76" s="570">
        <f t="shared" si="97"/>
        <v>69.465764009322527</v>
      </c>
      <c r="BC76" s="570">
        <f t="shared" si="97"/>
        <v>58.093071312660456</v>
      </c>
      <c r="BD76" s="570">
        <f t="shared" si="97"/>
        <v>45.658770636501401</v>
      </c>
      <c r="BE76" s="570">
        <f t="shared" si="97"/>
        <v>35.000997912746357</v>
      </c>
      <c r="BF76" s="570">
        <f t="shared" si="97"/>
        <v>19.014338827113264</v>
      </c>
      <c r="BG76" s="570">
        <f t="shared" si="97"/>
        <v>9.7304444223874231</v>
      </c>
      <c r="BH76" s="570">
        <f t="shared" si="97"/>
        <v>7.6771498704377867</v>
      </c>
      <c r="BI76" s="570">
        <f t="shared" si="97"/>
        <v>5.6238553184884772</v>
      </c>
      <c r="BJ76" s="571">
        <f t="shared" si="97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8">+IF(CB76="","",CB76*$AH76)</f>
        <v/>
      </c>
      <c r="CQ76" s="570" t="str">
        <f t="shared" si="98"/>
        <v/>
      </c>
      <c r="CR76" s="570" t="str">
        <f t="shared" si="98"/>
        <v/>
      </c>
      <c r="CS76" s="570" t="str">
        <f t="shared" si="98"/>
        <v/>
      </c>
      <c r="CT76" s="570" t="str">
        <f t="shared" si="98"/>
        <v/>
      </c>
      <c r="CU76" s="570" t="str">
        <f t="shared" si="98"/>
        <v/>
      </c>
      <c r="CV76" s="570" t="str">
        <f t="shared" si="98"/>
        <v/>
      </c>
      <c r="CW76" s="570" t="str">
        <f t="shared" si="98"/>
        <v/>
      </c>
      <c r="CX76" s="570" t="str">
        <f t="shared" si="98"/>
        <v/>
      </c>
      <c r="CY76" s="570" t="str">
        <f t="shared" si="98"/>
        <v/>
      </c>
      <c r="CZ76" s="570" t="str">
        <f t="shared" si="98"/>
        <v/>
      </c>
      <c r="DA76" s="570" t="str">
        <f t="shared" si="98"/>
        <v/>
      </c>
      <c r="DB76" s="570" t="str">
        <f t="shared" si="98"/>
        <v/>
      </c>
      <c r="DC76" s="571" t="str">
        <f t="shared" si="98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8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1441</v>
      </c>
      <c r="DP76" s="573" t="s">
        <v>1441</v>
      </c>
      <c r="DQ76" s="574" t="s">
        <v>1441</v>
      </c>
    </row>
    <row r="77" spans="1:121" ht="15.75" customHeight="1" x14ac:dyDescent="0.25">
      <c r="I77" s="431" t="s">
        <v>1226</v>
      </c>
      <c r="J77" s="434" t="s">
        <v>1241</v>
      </c>
      <c r="K77" s="431">
        <v>8</v>
      </c>
      <c r="L77" s="434"/>
      <c r="M77" s="434" t="str">
        <f t="shared" si="36"/>
        <v>Heavy Oil</v>
      </c>
      <c r="N77" s="575">
        <f t="shared" ref="N77:O77" si="99">Y45</f>
        <v>43.895597705669182</v>
      </c>
      <c r="O77" s="576">
        <f t="shared" si="99"/>
        <v>0.21448045777585595</v>
      </c>
      <c r="P77" s="577">
        <f t="shared" si="52"/>
        <v>4.8623912426797849E-3</v>
      </c>
      <c r="Q77" s="578">
        <f t="shared" si="38"/>
        <v>0</v>
      </c>
      <c r="R77" s="579">
        <f t="shared" ref="R77:V77" si="100">T45</f>
        <v>0</v>
      </c>
      <c r="S77" s="579">
        <f t="shared" si="100"/>
        <v>0.21448045777585595</v>
      </c>
      <c r="T77" s="579">
        <f t="shared" si="100"/>
        <v>0</v>
      </c>
      <c r="U77" s="579">
        <f t="shared" si="100"/>
        <v>0</v>
      </c>
      <c r="V77" s="579">
        <f t="shared" si="100"/>
        <v>0</v>
      </c>
      <c r="W77" s="580">
        <f t="shared" ref="W77:Y77" si="101">+IF($O77=0,"-",R77/$O77)</f>
        <v>0</v>
      </c>
      <c r="X77" s="580">
        <f t="shared" si="101"/>
        <v>1</v>
      </c>
      <c r="Y77" s="580">
        <f t="shared" si="101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2">+IF(AI77="","",AI77*$AH77)</f>
        <v>44.110078163445039</v>
      </c>
      <c r="AX77" s="570">
        <f t="shared" si="102"/>
        <v>22.264362144620662</v>
      </c>
      <c r="AY77" s="570">
        <f t="shared" si="102"/>
        <v>44.148136902153794</v>
      </c>
      <c r="AZ77" s="570">
        <f t="shared" si="102"/>
        <v>37.297563934578207</v>
      </c>
      <c r="BA77" s="570">
        <f t="shared" si="102"/>
        <v>32.654397812110311</v>
      </c>
      <c r="BB77" s="570">
        <f t="shared" si="102"/>
        <v>25.689648628408463</v>
      </c>
      <c r="BC77" s="570">
        <f t="shared" si="102"/>
        <v>21.122599983358072</v>
      </c>
      <c r="BD77" s="570">
        <f t="shared" si="102"/>
        <v>18.077900886657808</v>
      </c>
      <c r="BE77" s="570">
        <f t="shared" si="102"/>
        <v>15.870494041550115</v>
      </c>
      <c r="BF77" s="570">
        <f t="shared" si="102"/>
        <v>12.559383773888579</v>
      </c>
      <c r="BG77" s="570">
        <f t="shared" si="102"/>
        <v>10.390035667489647</v>
      </c>
      <c r="BH77" s="570">
        <f t="shared" si="102"/>
        <v>8.9438035965570233</v>
      </c>
      <c r="BI77" s="570">
        <f t="shared" si="102"/>
        <v>7.231160354663122</v>
      </c>
      <c r="BJ77" s="571">
        <f t="shared" si="102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3">+IF(CB77="","",CB77*$AH77)</f>
        <v/>
      </c>
      <c r="CQ77" s="570" t="str">
        <f t="shared" si="103"/>
        <v/>
      </c>
      <c r="CR77" s="570" t="str">
        <f t="shared" si="103"/>
        <v/>
      </c>
      <c r="CS77" s="570" t="str">
        <f t="shared" si="103"/>
        <v/>
      </c>
      <c r="CT77" s="570" t="str">
        <f t="shared" si="103"/>
        <v/>
      </c>
      <c r="CU77" s="570" t="str">
        <f t="shared" si="103"/>
        <v/>
      </c>
      <c r="CV77" s="570" t="str">
        <f t="shared" si="103"/>
        <v/>
      </c>
      <c r="CW77" s="570" t="str">
        <f t="shared" si="103"/>
        <v/>
      </c>
      <c r="CX77" s="570" t="str">
        <f t="shared" si="103"/>
        <v/>
      </c>
      <c r="CY77" s="570" t="str">
        <f t="shared" si="103"/>
        <v/>
      </c>
      <c r="CZ77" s="570" t="str">
        <f t="shared" si="103"/>
        <v/>
      </c>
      <c r="DA77" s="570" t="str">
        <f t="shared" si="103"/>
        <v/>
      </c>
      <c r="DB77" s="570" t="str">
        <f t="shared" si="103"/>
        <v/>
      </c>
      <c r="DC77" s="571" t="str">
        <f t="shared" si="103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8"/>
        <v>32.654397812110311</v>
      </c>
      <c r="DI77" s="570">
        <v>25.689648628408463</v>
      </c>
      <c r="DJ77" s="572">
        <f t="shared" ref="DJ77:DJ80" si="104">+DI77+(DK77-DI77)*(2033-2030)/(2035-2030)</f>
        <v>21.122599983358072</v>
      </c>
      <c r="DK77" s="570">
        <v>18.077900886657808</v>
      </c>
      <c r="DL77" s="572">
        <f t="shared" ref="DL77:DL83" si="105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1441</v>
      </c>
    </row>
    <row r="78" spans="1:121" ht="15.75" customHeight="1" x14ac:dyDescent="0.25">
      <c r="I78" s="431" t="s">
        <v>1226</v>
      </c>
      <c r="J78" s="434" t="s">
        <v>1243</v>
      </c>
      <c r="K78" s="431">
        <v>13.5</v>
      </c>
      <c r="L78" s="434"/>
      <c r="M78" s="434" t="str">
        <f t="shared" si="36"/>
        <v>Heavy Oil</v>
      </c>
      <c r="N78" s="575">
        <f t="shared" ref="N78:O78" si="106">Y46</f>
        <v>8.7564836170076354</v>
      </c>
      <c r="O78" s="575">
        <f t="shared" si="106"/>
        <v>0.43874352621703561</v>
      </c>
      <c r="P78" s="577">
        <f t="shared" si="52"/>
        <v>4.771426734578444E-2</v>
      </c>
      <c r="Q78" s="578">
        <f t="shared" si="38"/>
        <v>0.23786180586758954</v>
      </c>
      <c r="R78" s="579">
        <f t="shared" ref="R78:V78" si="107">T46</f>
        <v>5.7140945681870784E-3</v>
      </c>
      <c r="S78" s="579">
        <f t="shared" si="107"/>
        <v>0</v>
      </c>
      <c r="T78" s="579">
        <f t="shared" si="107"/>
        <v>0.4330294316488485</v>
      </c>
      <c r="U78" s="579">
        <f t="shared" si="107"/>
        <v>0.19516762578125896</v>
      </c>
      <c r="V78" s="579">
        <f t="shared" si="107"/>
        <v>0</v>
      </c>
      <c r="W78" s="580">
        <f t="shared" ref="W78:Y78" si="108">+IF($O78=0,"-",R78/$O78)</f>
        <v>1.302376952990175E-2</v>
      </c>
      <c r="X78" s="580">
        <f t="shared" si="108"/>
        <v>0</v>
      </c>
      <c r="Y78" s="580">
        <f t="shared" si="108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9">+IF(AI78="","",AI78*$AH78)</f>
        <v>9.1952271432246704</v>
      </c>
      <c r="AX78" s="570">
        <f t="shared" si="109"/>
        <v>7.1774766229618319</v>
      </c>
      <c r="AY78" s="570">
        <f t="shared" si="109"/>
        <v>3.1642957323075032</v>
      </c>
      <c r="AZ78" s="570">
        <f t="shared" si="109"/>
        <v>1.9957773526773965</v>
      </c>
      <c r="BA78" s="570">
        <f t="shared" si="109"/>
        <v>1.584932033120062</v>
      </c>
      <c r="BB78" s="570">
        <f t="shared" si="109"/>
        <v>0.96866405378406029</v>
      </c>
      <c r="BC78" s="570">
        <f t="shared" si="109"/>
        <v>0.35614784474023137</v>
      </c>
      <c r="BD78" s="570">
        <f t="shared" si="109"/>
        <v>0.26939479209415684</v>
      </c>
      <c r="BE78" s="570">
        <f t="shared" si="109"/>
        <v>0.21398480822274127</v>
      </c>
      <c r="BF78" s="570">
        <f t="shared" si="109"/>
        <v>0.13086983241561789</v>
      </c>
      <c r="BG78" s="570">
        <f t="shared" si="109"/>
        <v>4.7754856608500817E-2</v>
      </c>
      <c r="BH78" s="570">
        <f t="shared" si="109"/>
        <v>0</v>
      </c>
      <c r="BI78" s="570">
        <f t="shared" si="109"/>
        <v>0</v>
      </c>
      <c r="BJ78" s="571">
        <f t="shared" si="109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10">+IF(CB78="","",CB78*$AH78)</f>
        <v/>
      </c>
      <c r="CQ78" s="570" t="str">
        <f t="shared" si="110"/>
        <v/>
      </c>
      <c r="CR78" s="570" t="str">
        <f t="shared" si="110"/>
        <v/>
      </c>
      <c r="CS78" s="570" t="str">
        <f t="shared" si="110"/>
        <v/>
      </c>
      <c r="CT78" s="570" t="str">
        <f t="shared" si="110"/>
        <v/>
      </c>
      <c r="CU78" s="570" t="str">
        <f t="shared" si="110"/>
        <v/>
      </c>
      <c r="CV78" s="570" t="str">
        <f t="shared" si="110"/>
        <v/>
      </c>
      <c r="CW78" s="570" t="str">
        <f t="shared" si="110"/>
        <v/>
      </c>
      <c r="CX78" s="570" t="str">
        <f t="shared" si="110"/>
        <v/>
      </c>
      <c r="CY78" s="570" t="str">
        <f t="shared" si="110"/>
        <v/>
      </c>
      <c r="CZ78" s="570" t="str">
        <f t="shared" si="110"/>
        <v/>
      </c>
      <c r="DA78" s="570" t="str">
        <f t="shared" si="110"/>
        <v/>
      </c>
      <c r="DB78" s="570" t="str">
        <f t="shared" si="110"/>
        <v/>
      </c>
      <c r="DC78" s="571" t="str">
        <f t="shared" si="110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8"/>
        <v>1.584932033120062</v>
      </c>
      <c r="DI78" s="570">
        <v>0.96866405378406029</v>
      </c>
      <c r="DJ78" s="572">
        <f t="shared" si="104"/>
        <v>0.54910249677011824</v>
      </c>
      <c r="DK78" s="570">
        <v>0.26939479209415684</v>
      </c>
      <c r="DL78" s="572">
        <f t="shared" si="105"/>
        <v>0.21398480822274127</v>
      </c>
      <c r="DM78" s="570">
        <v>0.13086983241561789</v>
      </c>
      <c r="DN78" s="573" t="s">
        <v>1441</v>
      </c>
      <c r="DO78" s="573" t="s">
        <v>1441</v>
      </c>
      <c r="DP78" s="573" t="s">
        <v>1441</v>
      </c>
      <c r="DQ78" s="574" t="s">
        <v>1441</v>
      </c>
    </row>
    <row r="79" spans="1:121" ht="15.75" customHeight="1" x14ac:dyDescent="0.25">
      <c r="I79" s="431" t="s">
        <v>1245</v>
      </c>
      <c r="J79" s="434" t="s">
        <v>1244</v>
      </c>
      <c r="K79" s="431">
        <v>35</v>
      </c>
      <c r="L79" s="434"/>
      <c r="M79" s="434" t="str">
        <f t="shared" si="36"/>
        <v>Light Oil</v>
      </c>
      <c r="N79" s="575">
        <f t="shared" ref="N79:O79" si="111">Y47</f>
        <v>4.3593517548323124</v>
      </c>
      <c r="O79" s="576">
        <f t="shared" si="111"/>
        <v>1.2759391450439788</v>
      </c>
      <c r="P79" s="577">
        <f t="shared" si="52"/>
        <v>0.2264193930205074</v>
      </c>
      <c r="Q79" s="578">
        <f t="shared" si="38"/>
        <v>0</v>
      </c>
      <c r="R79" s="579">
        <f t="shared" ref="R79:V79" si="112">T47</f>
        <v>0</v>
      </c>
      <c r="S79" s="579">
        <f t="shared" si="112"/>
        <v>1.2759391450439788</v>
      </c>
      <c r="T79" s="579">
        <f t="shared" si="112"/>
        <v>0</v>
      </c>
      <c r="U79" s="579">
        <f t="shared" si="112"/>
        <v>0</v>
      </c>
      <c r="V79" s="579">
        <f t="shared" si="112"/>
        <v>0</v>
      </c>
      <c r="W79" s="580">
        <f t="shared" ref="W79:Y79" si="113">+IF($O79=0,"-",R79/$O79)</f>
        <v>0</v>
      </c>
      <c r="X79" s="580">
        <f t="shared" si="113"/>
        <v>1</v>
      </c>
      <c r="Y79" s="580">
        <f t="shared" si="113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4">+IF(AI79="","",AI79*$AH79)</f>
        <v>5.6352908998762912</v>
      </c>
      <c r="AX79" s="570">
        <f t="shared" si="114"/>
        <v>5.3251450871105153</v>
      </c>
      <c r="AY79" s="570">
        <f t="shared" si="114"/>
        <v>4.6229281525464918</v>
      </c>
      <c r="AZ79" s="570">
        <f t="shared" si="114"/>
        <v>4.1547835295038089</v>
      </c>
      <c r="BA79" s="570">
        <f t="shared" si="114"/>
        <v>3.4993810572440527</v>
      </c>
      <c r="BB79" s="570">
        <f t="shared" si="114"/>
        <v>2.5162773488544192</v>
      </c>
      <c r="BC79" s="570">
        <f t="shared" si="114"/>
        <v>2.0247254946596041</v>
      </c>
      <c r="BD79" s="570">
        <f t="shared" si="114"/>
        <v>1.6970242585297266</v>
      </c>
      <c r="BE79" s="570">
        <f t="shared" si="114"/>
        <v>1.4629519470083854</v>
      </c>
      <c r="BF79" s="570">
        <f t="shared" si="114"/>
        <v>1.1118434797263739</v>
      </c>
      <c r="BG79" s="570">
        <f t="shared" si="114"/>
        <v>0.99480732396570282</v>
      </c>
      <c r="BH79" s="570">
        <f t="shared" si="114"/>
        <v>0.9167832201252627</v>
      </c>
      <c r="BI79" s="570">
        <f t="shared" si="114"/>
        <v>0.83875911628481048</v>
      </c>
      <c r="BJ79" s="571">
        <f t="shared" si="114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5">+IF(CB79="","",CB79*$AH79)</f>
        <v/>
      </c>
      <c r="CQ79" s="570" t="str">
        <f t="shared" si="115"/>
        <v/>
      </c>
      <c r="CR79" s="570" t="str">
        <f t="shared" si="115"/>
        <v/>
      </c>
      <c r="CS79" s="570" t="str">
        <f t="shared" si="115"/>
        <v/>
      </c>
      <c r="CT79" s="570" t="str">
        <f t="shared" si="115"/>
        <v/>
      </c>
      <c r="CU79" s="570" t="str">
        <f t="shared" si="115"/>
        <v/>
      </c>
      <c r="CV79" s="570" t="str">
        <f t="shared" si="115"/>
        <v/>
      </c>
      <c r="CW79" s="570" t="str">
        <f t="shared" si="115"/>
        <v/>
      </c>
      <c r="CX79" s="570" t="str">
        <f t="shared" si="115"/>
        <v/>
      </c>
      <c r="CY79" s="570" t="str">
        <f t="shared" si="115"/>
        <v/>
      </c>
      <c r="CZ79" s="570" t="str">
        <f t="shared" si="115"/>
        <v/>
      </c>
      <c r="DA79" s="570" t="str">
        <f t="shared" si="115"/>
        <v/>
      </c>
      <c r="DB79" s="570" t="str">
        <f t="shared" si="115"/>
        <v/>
      </c>
      <c r="DC79" s="571" t="str">
        <f t="shared" si="115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8"/>
        <v>3.4993810572440531</v>
      </c>
      <c r="DI79" s="570">
        <v>2.5162773488544192</v>
      </c>
      <c r="DJ79" s="572">
        <f t="shared" si="104"/>
        <v>2.0247254946596036</v>
      </c>
      <c r="DK79" s="570">
        <v>1.6970242585297266</v>
      </c>
      <c r="DL79" s="572">
        <f t="shared" si="105"/>
        <v>1.4629519470083856</v>
      </c>
      <c r="DM79" s="570">
        <v>1.1118434797263739</v>
      </c>
      <c r="DN79" s="570">
        <v>0.99480732396570282</v>
      </c>
      <c r="DO79" s="573" t="s">
        <v>1441</v>
      </c>
      <c r="DP79" s="573" t="s">
        <v>1441</v>
      </c>
      <c r="DQ79" s="574" t="s">
        <v>1441</v>
      </c>
    </row>
    <row r="80" spans="1:121" ht="15.75" customHeight="1" x14ac:dyDescent="0.25">
      <c r="I80" s="431" t="s">
        <v>1247</v>
      </c>
      <c r="J80" s="434" t="s">
        <v>1248</v>
      </c>
      <c r="K80" s="431">
        <v>21</v>
      </c>
      <c r="L80" s="434"/>
      <c r="M80" s="434" t="str">
        <f t="shared" si="36"/>
        <v>Medium Oil</v>
      </c>
      <c r="N80" s="575">
        <f t="shared" ref="N80:O80" si="116">Y48</f>
        <v>26.927100382560717</v>
      </c>
      <c r="O80" s="576">
        <f t="shared" si="116"/>
        <v>0.43827912983870243</v>
      </c>
      <c r="P80" s="577">
        <f t="shared" si="52"/>
        <v>1.601582501861944E-2</v>
      </c>
      <c r="Q80" s="578">
        <f t="shared" si="38"/>
        <v>0</v>
      </c>
      <c r="R80" s="579">
        <f t="shared" ref="R80:V80" si="117">T48</f>
        <v>0.35206293264379496</v>
      </c>
      <c r="S80" s="579">
        <f t="shared" si="117"/>
        <v>8.621619719490746E-2</v>
      </c>
      <c r="T80" s="579">
        <f t="shared" si="117"/>
        <v>0</v>
      </c>
      <c r="U80" s="579">
        <f t="shared" si="117"/>
        <v>0</v>
      </c>
      <c r="V80" s="579">
        <f t="shared" si="117"/>
        <v>0</v>
      </c>
      <c r="W80" s="580">
        <f t="shared" ref="W80:Y80" si="118">+IF($O80=0,"-",R80/$O80)</f>
        <v>0.8032847303803009</v>
      </c>
      <c r="X80" s="580">
        <f t="shared" si="118"/>
        <v>0.1967152696196991</v>
      </c>
      <c r="Y80" s="580">
        <f t="shared" si="118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9">+IF(AI80="","",AI80*$AH80)</f>
        <v>27.365379512399418</v>
      </c>
      <c r="AX80" s="570">
        <f t="shared" si="119"/>
        <v>28.214405378298327</v>
      </c>
      <c r="AY80" s="570">
        <f t="shared" si="119"/>
        <v>23.187914467663987</v>
      </c>
      <c r="AZ80" s="570">
        <f t="shared" si="119"/>
        <v>18.086386423895764</v>
      </c>
      <c r="BA80" s="570">
        <f t="shared" si="119"/>
        <v>14.514847573328842</v>
      </c>
      <c r="BB80" s="570">
        <f t="shared" si="119"/>
        <v>9.1575392974784613</v>
      </c>
      <c r="BC80" s="570">
        <f t="shared" si="119"/>
        <v>7.0076274069901325</v>
      </c>
      <c r="BD80" s="570">
        <f t="shared" si="119"/>
        <v>5.5743528133312461</v>
      </c>
      <c r="BE80" s="570">
        <f t="shared" si="119"/>
        <v>4.1964559728169801</v>
      </c>
      <c r="BF80" s="570">
        <f t="shared" si="119"/>
        <v>2.129610712045356</v>
      </c>
      <c r="BG80" s="570">
        <f t="shared" si="119"/>
        <v>0.8013936387007935</v>
      </c>
      <c r="BH80" s="570">
        <f t="shared" si="119"/>
        <v>0.65153510356415978</v>
      </c>
      <c r="BI80" s="570">
        <f t="shared" si="119"/>
        <v>0.38065378640755937</v>
      </c>
      <c r="BJ80" s="571">
        <f t="shared" si="119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20">+IF(CB80="","",CB80*$AH80)</f>
        <v/>
      </c>
      <c r="CQ80" s="570" t="str">
        <f t="shared" si="120"/>
        <v/>
      </c>
      <c r="CR80" s="570" t="str">
        <f t="shared" si="120"/>
        <v/>
      </c>
      <c r="CS80" s="570" t="str">
        <f t="shared" si="120"/>
        <v/>
      </c>
      <c r="CT80" s="570" t="str">
        <f t="shared" si="120"/>
        <v/>
      </c>
      <c r="CU80" s="570" t="str">
        <f t="shared" si="120"/>
        <v/>
      </c>
      <c r="CV80" s="570" t="str">
        <f t="shared" si="120"/>
        <v/>
      </c>
      <c r="CW80" s="570" t="str">
        <f t="shared" si="120"/>
        <v/>
      </c>
      <c r="CX80" s="570" t="str">
        <f t="shared" si="120"/>
        <v/>
      </c>
      <c r="CY80" s="570" t="str">
        <f t="shared" si="120"/>
        <v/>
      </c>
      <c r="CZ80" s="570" t="str">
        <f t="shared" si="120"/>
        <v/>
      </c>
      <c r="DA80" s="570" t="str">
        <f t="shared" si="120"/>
        <v/>
      </c>
      <c r="DB80" s="570" t="str">
        <f t="shared" si="120"/>
        <v/>
      </c>
      <c r="DC80" s="571" t="str">
        <f t="shared" si="120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8"/>
        <v>14.514847573328844</v>
      </c>
      <c r="DI80" s="570">
        <v>9.1575392974784613</v>
      </c>
      <c r="DJ80" s="572">
        <f t="shared" si="104"/>
        <v>7.0076274069901325</v>
      </c>
      <c r="DK80" s="570">
        <v>5.5743528133312461</v>
      </c>
      <c r="DL80" s="572">
        <f t="shared" si="105"/>
        <v>3.7550842645610452</v>
      </c>
      <c r="DM80" s="570">
        <v>1.026181441405744</v>
      </c>
      <c r="DN80" s="572">
        <f t="shared" ref="DN80:DN82" si="121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1441</v>
      </c>
    </row>
    <row r="81" spans="9:121" ht="15.75" customHeight="1" x14ac:dyDescent="0.25">
      <c r="I81" s="431" t="s">
        <v>1247</v>
      </c>
      <c r="J81" s="434" t="s">
        <v>1250</v>
      </c>
      <c r="K81" s="431">
        <v>12.5</v>
      </c>
      <c r="L81" s="434"/>
      <c r="M81" s="434" t="str">
        <f t="shared" si="36"/>
        <v>Heavy Oil</v>
      </c>
      <c r="N81" s="575">
        <f t="shared" ref="N81:O81" si="122">Y49</f>
        <v>3.2805677744000978</v>
      </c>
      <c r="O81" s="576">
        <f t="shared" si="122"/>
        <v>8.7791106651863626E-2</v>
      </c>
      <c r="P81" s="577">
        <f t="shared" si="52"/>
        <v>2.6063465845553212E-2</v>
      </c>
      <c r="Q81" s="578">
        <f t="shared" si="38"/>
        <v>0</v>
      </c>
      <c r="R81" s="579">
        <f t="shared" ref="R81:V81" si="123">T49</f>
        <v>3.6990181091585597E-2</v>
      </c>
      <c r="S81" s="579">
        <f t="shared" si="123"/>
        <v>5.0800925560278022E-2</v>
      </c>
      <c r="T81" s="579">
        <f t="shared" si="123"/>
        <v>0</v>
      </c>
      <c r="U81" s="579">
        <f t="shared" si="123"/>
        <v>0</v>
      </c>
      <c r="V81" s="579">
        <f t="shared" si="123"/>
        <v>0</v>
      </c>
      <c r="W81" s="580">
        <f t="shared" ref="W81:Y81" si="124">+IF($O81=0,"-",R81/$O81)</f>
        <v>0.42134314627414909</v>
      </c>
      <c r="X81" s="580">
        <f t="shared" si="124"/>
        <v>0.57865685372585085</v>
      </c>
      <c r="Y81" s="580">
        <f t="shared" si="124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5">+IF(AI81="","",AI81*$AH81)</f>
        <v>3.3683588810519614</v>
      </c>
      <c r="AX81" s="570">
        <f t="shared" si="125"/>
        <v>3.0751987685605915</v>
      </c>
      <c r="AY81" s="570">
        <f t="shared" si="125"/>
        <v>3.4930679115729726</v>
      </c>
      <c r="AZ81" s="570">
        <f t="shared" si="125"/>
        <v>2.7288246831254654</v>
      </c>
      <c r="BA81" s="570">
        <f t="shared" si="125"/>
        <v>0</v>
      </c>
      <c r="BB81" s="570">
        <f t="shared" si="125"/>
        <v>0</v>
      </c>
      <c r="BC81" s="570">
        <f t="shared" si="125"/>
        <v>1.6467059785204439</v>
      </c>
      <c r="BD81" s="570">
        <f t="shared" si="125"/>
        <v>0.98038529706751343</v>
      </c>
      <c r="BE81" s="570">
        <f t="shared" si="125"/>
        <v>0.82911070247183327</v>
      </c>
      <c r="BF81" s="570">
        <f t="shared" si="125"/>
        <v>0.60219881057831304</v>
      </c>
      <c r="BG81" s="570">
        <f t="shared" si="125"/>
        <v>0.4903086312459346</v>
      </c>
      <c r="BH81" s="570">
        <f t="shared" si="125"/>
        <v>0.41571517835768235</v>
      </c>
      <c r="BI81" s="570">
        <f t="shared" si="125"/>
        <v>0.34112172546943498</v>
      </c>
      <c r="BJ81" s="571">
        <f t="shared" si="125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6">+IF(CB81="","",CB81*$AH81)</f>
        <v/>
      </c>
      <c r="CQ81" s="570" t="str">
        <f t="shared" si="126"/>
        <v/>
      </c>
      <c r="CR81" s="570" t="str">
        <f t="shared" si="126"/>
        <v/>
      </c>
      <c r="CS81" s="570" t="str">
        <f t="shared" si="126"/>
        <v/>
      </c>
      <c r="CT81" s="570" t="str">
        <f t="shared" si="126"/>
        <v/>
      </c>
      <c r="CU81" s="570" t="str">
        <f t="shared" si="126"/>
        <v/>
      </c>
      <c r="CV81" s="570" t="str">
        <f t="shared" si="126"/>
        <v/>
      </c>
      <c r="CW81" s="570" t="str">
        <f t="shared" si="126"/>
        <v/>
      </c>
      <c r="CX81" s="570" t="str">
        <f t="shared" si="126"/>
        <v/>
      </c>
      <c r="CY81" s="570" t="str">
        <f t="shared" si="126"/>
        <v/>
      </c>
      <c r="CZ81" s="570" t="str">
        <f t="shared" si="126"/>
        <v/>
      </c>
      <c r="DA81" s="570" t="str">
        <f t="shared" si="126"/>
        <v/>
      </c>
      <c r="DB81" s="570" t="str">
        <f t="shared" si="126"/>
        <v/>
      </c>
      <c r="DC81" s="571" t="str">
        <f t="shared" si="126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5"/>
        <v>0.82911070247183327</v>
      </c>
      <c r="DM81" s="570">
        <v>0.60219881057831304</v>
      </c>
      <c r="DN81" s="572">
        <f t="shared" si="121"/>
        <v>0.4903086312459346</v>
      </c>
      <c r="DO81" s="570">
        <v>0.41571517835768235</v>
      </c>
      <c r="DP81" s="573" t="s">
        <v>1441</v>
      </c>
      <c r="DQ81" s="574" t="s">
        <v>1441</v>
      </c>
    </row>
    <row r="82" spans="9:121" ht="15.75" customHeight="1" x14ac:dyDescent="0.25">
      <c r="I82" s="431" t="s">
        <v>1247</v>
      </c>
      <c r="J82" s="434" t="s">
        <v>1252</v>
      </c>
      <c r="K82" s="431">
        <v>21</v>
      </c>
      <c r="L82" s="434"/>
      <c r="M82" s="434" t="str">
        <f t="shared" si="36"/>
        <v>Medium Oil</v>
      </c>
      <c r="N82" s="575">
        <f t="shared" ref="N82:O82" si="127">Y50</f>
        <v>39.659458817161386</v>
      </c>
      <c r="O82" s="576">
        <f t="shared" si="127"/>
        <v>1.8634611370761611</v>
      </c>
      <c r="P82" s="577">
        <f t="shared" si="52"/>
        <v>4.4877892477934681E-2</v>
      </c>
      <c r="Q82" s="578">
        <f t="shared" si="38"/>
        <v>0.90025257054584151</v>
      </c>
      <c r="R82" s="579">
        <f t="shared" ref="R82:V82" si="128">T50</f>
        <v>0.8853716952922942</v>
      </c>
      <c r="S82" s="579">
        <f t="shared" si="128"/>
        <v>7.7836871238025379E-2</v>
      </c>
      <c r="T82" s="579">
        <f t="shared" si="128"/>
        <v>0</v>
      </c>
      <c r="U82" s="579">
        <f t="shared" si="128"/>
        <v>0</v>
      </c>
      <c r="V82" s="579">
        <f t="shared" si="128"/>
        <v>0.90025257054584151</v>
      </c>
      <c r="W82" s="580">
        <f t="shared" ref="W82:Y82" si="129">+IF($O82=0,"-",R82/$O82)</f>
        <v>0.47512216792536649</v>
      </c>
      <c r="X82" s="580">
        <f t="shared" si="129"/>
        <v>4.1770053417993079E-2</v>
      </c>
      <c r="Y82" s="580">
        <f t="shared" si="129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30">+IF(AI82="","",AI82*$AH82)</f>
        <v>41.522919954237551</v>
      </c>
      <c r="AX82" s="570">
        <f t="shared" si="130"/>
        <v>44.291114617853395</v>
      </c>
      <c r="AY82" s="570">
        <f t="shared" si="130"/>
        <v>40.009640204794231</v>
      </c>
      <c r="AZ82" s="570">
        <f t="shared" si="130"/>
        <v>37.155323929421456</v>
      </c>
      <c r="BA82" s="570">
        <f t="shared" si="130"/>
        <v>32.037239573580628</v>
      </c>
      <c r="BB82" s="570">
        <f t="shared" si="130"/>
        <v>24.360113039819371</v>
      </c>
      <c r="BC82" s="570">
        <f t="shared" si="130"/>
        <v>18.971360761313871</v>
      </c>
      <c r="BD82" s="570">
        <f t="shared" si="130"/>
        <v>15.378859242310208</v>
      </c>
      <c r="BE82" s="570">
        <f t="shared" si="130"/>
        <v>13.508789958445286</v>
      </c>
      <c r="BF82" s="570">
        <f t="shared" si="130"/>
        <v>10.70368603264791</v>
      </c>
      <c r="BG82" s="570">
        <f t="shared" si="130"/>
        <v>8.8582229235706826</v>
      </c>
      <c r="BH82" s="570">
        <f t="shared" si="130"/>
        <v>7.6279141841858635</v>
      </c>
      <c r="BI82" s="570">
        <f t="shared" si="130"/>
        <v>6.6928795422534044</v>
      </c>
      <c r="BJ82" s="571">
        <f t="shared" si="130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1">+IF(CB82="","",CB82*$AH82)</f>
        <v/>
      </c>
      <c r="CQ82" s="570" t="str">
        <f t="shared" si="131"/>
        <v/>
      </c>
      <c r="CR82" s="570" t="str">
        <f t="shared" si="131"/>
        <v/>
      </c>
      <c r="CS82" s="570" t="str">
        <f t="shared" si="131"/>
        <v/>
      </c>
      <c r="CT82" s="570" t="str">
        <f t="shared" si="131"/>
        <v/>
      </c>
      <c r="CU82" s="570" t="str">
        <f t="shared" si="131"/>
        <v/>
      </c>
      <c r="CV82" s="570" t="str">
        <f t="shared" si="131"/>
        <v/>
      </c>
      <c r="CW82" s="570" t="str">
        <f t="shared" si="131"/>
        <v/>
      </c>
      <c r="CX82" s="570" t="str">
        <f t="shared" si="131"/>
        <v/>
      </c>
      <c r="CY82" s="570" t="str">
        <f t="shared" si="131"/>
        <v/>
      </c>
      <c r="CZ82" s="570" t="str">
        <f t="shared" si="131"/>
        <v/>
      </c>
      <c r="DA82" s="570" t="str">
        <f t="shared" si="131"/>
        <v/>
      </c>
      <c r="DB82" s="570" t="str">
        <f t="shared" si="131"/>
        <v/>
      </c>
      <c r="DC82" s="571" t="str">
        <f t="shared" si="131"/>
        <v/>
      </c>
      <c r="DD82" s="569">
        <v>41.522919954237551</v>
      </c>
      <c r="DE82" s="570">
        <v>44.291114617853395</v>
      </c>
      <c r="DF82" s="572">
        <f t="shared" ref="DF82:DF83" si="132">+DE82+(DG82-DE82)*(2023-2020)/(2025-2020)</f>
        <v>40.009640204794231</v>
      </c>
      <c r="DG82" s="570">
        <v>37.155323929421456</v>
      </c>
      <c r="DH82" s="572">
        <f t="shared" ref="DH82:DH83" si="133">+DG82+(DI82-DG82)*(2027-2025)/(2030-2025)</f>
        <v>32.037239573580621</v>
      </c>
      <c r="DI82" s="570">
        <v>24.360113039819371</v>
      </c>
      <c r="DJ82" s="572">
        <f t="shared" ref="DJ82:DJ83" si="134">+DI82+(DK82-DI82)*(2033-2030)/(2035-2030)</f>
        <v>18.971360761313875</v>
      </c>
      <c r="DK82" s="570">
        <v>15.378859242310208</v>
      </c>
      <c r="DL82" s="572">
        <f t="shared" si="105"/>
        <v>13.50878995844529</v>
      </c>
      <c r="DM82" s="570">
        <v>10.70368603264791</v>
      </c>
      <c r="DN82" s="572">
        <f t="shared" si="121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1247</v>
      </c>
      <c r="J83" s="434" t="s">
        <v>1254</v>
      </c>
      <c r="K83" s="431">
        <f>20+(25-20)/2</f>
        <v>22.5</v>
      </c>
      <c r="L83" s="434"/>
      <c r="M83" s="434" t="str">
        <f t="shared" si="36"/>
        <v>Medium Oil</v>
      </c>
      <c r="N83" s="575">
        <f t="shared" ref="N83:O83" si="135">Y51</f>
        <v>94.059349180277351</v>
      </c>
      <c r="O83" s="576">
        <f t="shared" si="135"/>
        <v>2.497140090885289</v>
      </c>
      <c r="P83" s="577">
        <f t="shared" si="52"/>
        <v>2.5861960285988563E-2</v>
      </c>
      <c r="Q83" s="578">
        <f t="shared" si="38"/>
        <v>1.3766222989813104</v>
      </c>
      <c r="R83" s="579">
        <f t="shared" ref="R83:V83" si="136">T51</f>
        <v>0.51468242964795996</v>
      </c>
      <c r="S83" s="579">
        <f t="shared" si="136"/>
        <v>0.60583536225601842</v>
      </c>
      <c r="T83" s="579">
        <f t="shared" si="136"/>
        <v>1.3766222989813104</v>
      </c>
      <c r="U83" s="579">
        <f t="shared" si="136"/>
        <v>0</v>
      </c>
      <c r="V83" s="579">
        <f t="shared" si="136"/>
        <v>0</v>
      </c>
      <c r="W83" s="580">
        <f t="shared" ref="W83:Y83" si="137">+IF($O83=0,"-",R83/$O83)</f>
        <v>0.20610875277946228</v>
      </c>
      <c r="X83" s="580">
        <f t="shared" si="137"/>
        <v>0.24261168384879719</v>
      </c>
      <c r="Y83" s="580">
        <f t="shared" si="137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8">+IF(AI83="","",AI83*$AH83)</f>
        <v>96.556489271162647</v>
      </c>
      <c r="AX83" s="570">
        <f t="shared" si="138"/>
        <v>81.38555121486084</v>
      </c>
      <c r="AY83" s="570">
        <f t="shared" si="138"/>
        <v>54.147600689252947</v>
      </c>
      <c r="AZ83" s="570">
        <f t="shared" si="138"/>
        <v>35.988967005514347</v>
      </c>
      <c r="BA83" s="570">
        <f t="shared" si="138"/>
        <v>26.641465620621492</v>
      </c>
      <c r="BB83" s="570">
        <f t="shared" si="138"/>
        <v>12.620213543282201</v>
      </c>
      <c r="BC83" s="570">
        <f t="shared" si="138"/>
        <v>8.9591411203930633</v>
      </c>
      <c r="BD83" s="570">
        <f t="shared" si="138"/>
        <v>6.5184261718003045</v>
      </c>
      <c r="BE83" s="570">
        <f t="shared" si="138"/>
        <v>5.5102155280171621</v>
      </c>
      <c r="BF83" s="570">
        <f t="shared" si="138"/>
        <v>3.997899562342448</v>
      </c>
      <c r="BG83" s="570">
        <f t="shared" si="138"/>
        <v>2.4855835966676652</v>
      </c>
      <c r="BH83" s="570">
        <f t="shared" si="138"/>
        <v>1.4773729528845878</v>
      </c>
      <c r="BI83" s="570">
        <f t="shared" si="138"/>
        <v>0.68322261785777083</v>
      </c>
      <c r="BJ83" s="571">
        <f t="shared" si="138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9">+IF(CB83="","",CB83*$AH83)</f>
        <v/>
      </c>
      <c r="CQ83" s="570" t="str">
        <f t="shared" si="139"/>
        <v/>
      </c>
      <c r="CR83" s="570" t="str">
        <f t="shared" si="139"/>
        <v/>
      </c>
      <c r="CS83" s="570" t="str">
        <f t="shared" si="139"/>
        <v/>
      </c>
      <c r="CT83" s="570" t="str">
        <f t="shared" si="139"/>
        <v/>
      </c>
      <c r="CU83" s="570" t="str">
        <f t="shared" si="139"/>
        <v/>
      </c>
      <c r="CV83" s="570" t="str">
        <f t="shared" si="139"/>
        <v/>
      </c>
      <c r="CW83" s="570" t="str">
        <f t="shared" si="139"/>
        <v/>
      </c>
      <c r="CX83" s="570" t="str">
        <f t="shared" si="139"/>
        <v/>
      </c>
      <c r="CY83" s="570" t="str">
        <f t="shared" si="139"/>
        <v/>
      </c>
      <c r="CZ83" s="570" t="str">
        <f t="shared" si="139"/>
        <v/>
      </c>
      <c r="DA83" s="570" t="str">
        <f t="shared" si="139"/>
        <v/>
      </c>
      <c r="DB83" s="570" t="str">
        <f t="shared" si="139"/>
        <v/>
      </c>
      <c r="DC83" s="571" t="str">
        <f t="shared" si="139"/>
        <v/>
      </c>
      <c r="DD83" s="569">
        <v>96.556489271162647</v>
      </c>
      <c r="DE83" s="570">
        <v>81.38555121486084</v>
      </c>
      <c r="DF83" s="572">
        <f t="shared" si="132"/>
        <v>54.14760068925294</v>
      </c>
      <c r="DG83" s="570">
        <v>35.988967005514347</v>
      </c>
      <c r="DH83" s="572">
        <f t="shared" si="133"/>
        <v>26.641465620621489</v>
      </c>
      <c r="DI83" s="570">
        <v>12.620213543282201</v>
      </c>
      <c r="DJ83" s="572">
        <f t="shared" si="134"/>
        <v>8.9591411203930633</v>
      </c>
      <c r="DK83" s="570">
        <v>6.5184261718003045</v>
      </c>
      <c r="DL83" s="572">
        <f t="shared" si="105"/>
        <v>5.5102155280171621</v>
      </c>
      <c r="DM83" s="570">
        <v>3.997899562342448</v>
      </c>
      <c r="DN83" s="573" t="s">
        <v>1441</v>
      </c>
      <c r="DO83" s="573" t="s">
        <v>1441</v>
      </c>
      <c r="DP83" s="573" t="s">
        <v>1441</v>
      </c>
      <c r="DQ83" s="574" t="s">
        <v>1441</v>
      </c>
    </row>
    <row r="84" spans="9:121" ht="15.75" customHeight="1" x14ac:dyDescent="0.25">
      <c r="I84" s="431" t="s">
        <v>1256</v>
      </c>
      <c r="J84" s="434" t="s">
        <v>1257</v>
      </c>
      <c r="K84" s="431">
        <v>23</v>
      </c>
      <c r="L84" s="434"/>
      <c r="M84" s="434" t="str">
        <f t="shared" si="36"/>
        <v>Medium Oil</v>
      </c>
      <c r="N84" s="575">
        <f t="shared" ref="N84:O84" si="140">Y52</f>
        <v>10.408512554584734</v>
      </c>
      <c r="O84" s="576">
        <f t="shared" si="140"/>
        <v>0.71025387836690013</v>
      </c>
      <c r="P84" s="577">
        <f t="shared" si="52"/>
        <v>6.3878837877373515E-2</v>
      </c>
      <c r="Q84" s="578">
        <f t="shared" si="38"/>
        <v>0.38201649904628787</v>
      </c>
      <c r="R84" s="579">
        <f t="shared" ref="R84:V84" si="141">T52</f>
        <v>3.8100694170208539E-2</v>
      </c>
      <c r="S84" s="579">
        <f t="shared" si="141"/>
        <v>8.403555333142973E-2</v>
      </c>
      <c r="T84" s="579">
        <f t="shared" si="141"/>
        <v>0.58683549303812432</v>
      </c>
      <c r="U84" s="579">
        <f t="shared" si="141"/>
        <v>0.2061011318189738</v>
      </c>
      <c r="V84" s="579">
        <f t="shared" si="141"/>
        <v>1.2821378271373829E-3</v>
      </c>
      <c r="W84" s="580">
        <f t="shared" ref="W84:Y84" si="142">+IF($O84=0,"-",R84/$O84)</f>
        <v>5.3643767856381398E-2</v>
      </c>
      <c r="X84" s="580">
        <f t="shared" si="142"/>
        <v>0.11831762682472671</v>
      </c>
      <c r="Y84" s="580">
        <f t="shared" si="142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3">+IF(AI84="","",AI84*$AH84)</f>
        <v>11.118766432951634</v>
      </c>
      <c r="AX84" s="570">
        <f t="shared" si="143"/>
        <v>10.329308255559129</v>
      </c>
      <c r="AY84" s="570">
        <f t="shared" si="143"/>
        <v>7.4122676392174629</v>
      </c>
      <c r="AZ84" s="570">
        <f t="shared" si="143"/>
        <v>6.0090208229542244</v>
      </c>
      <c r="BA84" s="570">
        <f t="shared" si="143"/>
        <v>4.7560667479381209</v>
      </c>
      <c r="BB84" s="570">
        <f t="shared" si="143"/>
        <v>3.0919097152070951</v>
      </c>
      <c r="BC84" s="570">
        <f t="shared" si="143"/>
        <v>2.41207025324894</v>
      </c>
      <c r="BD84" s="570">
        <f t="shared" si="143"/>
        <v>1.9588439452768174</v>
      </c>
      <c r="BE84" s="570">
        <f t="shared" si="143"/>
        <v>1.4871879387963971</v>
      </c>
      <c r="BF84" s="570">
        <f t="shared" si="143"/>
        <v>0.84330763446910884</v>
      </c>
      <c r="BG84" s="570">
        <f t="shared" si="143"/>
        <v>0.21509778263776425</v>
      </c>
      <c r="BH84" s="570">
        <f t="shared" si="143"/>
        <v>8.1964630505155761E-2</v>
      </c>
      <c r="BI84" s="570">
        <f t="shared" si="143"/>
        <v>7.007271496425789E-2</v>
      </c>
      <c r="BJ84" s="571">
        <f t="shared" si="143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4">+IF(CB84="","",CB84*$AH84)</f>
        <v/>
      </c>
      <c r="CQ84" s="570" t="str">
        <f t="shared" si="144"/>
        <v/>
      </c>
      <c r="CR84" s="570" t="str">
        <f t="shared" si="144"/>
        <v/>
      </c>
      <c r="CS84" s="570" t="str">
        <f t="shared" si="144"/>
        <v/>
      </c>
      <c r="CT84" s="570" t="str">
        <f t="shared" si="144"/>
        <v/>
      </c>
      <c r="CU84" s="570" t="str">
        <f t="shared" si="144"/>
        <v/>
      </c>
      <c r="CV84" s="570" t="str">
        <f t="shared" si="144"/>
        <v/>
      </c>
      <c r="CW84" s="570" t="str">
        <f t="shared" si="144"/>
        <v/>
      </c>
      <c r="CX84" s="570" t="str">
        <f t="shared" si="144"/>
        <v/>
      </c>
      <c r="CY84" s="570" t="str">
        <f t="shared" si="144"/>
        <v/>
      </c>
      <c r="CZ84" s="570" t="str">
        <f t="shared" si="144"/>
        <v/>
      </c>
      <c r="DA84" s="570" t="str">
        <f t="shared" si="144"/>
        <v/>
      </c>
      <c r="DB84" s="570" t="str">
        <f t="shared" si="144"/>
        <v/>
      </c>
      <c r="DC84" s="571" t="str">
        <f t="shared" si="144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5">+DM84+(DO84-DM84)*(2043-2040)/(2045-2040)</f>
        <v>0.10082841633582691</v>
      </c>
      <c r="DO84" s="570">
        <v>8.1964630505155761E-2</v>
      </c>
      <c r="DP84" s="572">
        <f t="shared" ref="DP84:DP87" si="146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1256</v>
      </c>
      <c r="J85" s="434" t="s">
        <v>1259</v>
      </c>
      <c r="K85" s="431">
        <v>25.5</v>
      </c>
      <c r="L85" s="434"/>
      <c r="M85" s="434" t="str">
        <f t="shared" si="36"/>
        <v>Medium Oil</v>
      </c>
      <c r="N85" s="575">
        <f t="shared" ref="N85:O85" si="147">Y53</f>
        <v>9.2296903712167389</v>
      </c>
      <c r="O85" s="576">
        <f t="shared" si="147"/>
        <v>0.31949461271981699</v>
      </c>
      <c r="P85" s="577">
        <f t="shared" si="52"/>
        <v>3.3457788623559429E-2</v>
      </c>
      <c r="Q85" s="578">
        <f t="shared" si="38"/>
        <v>0</v>
      </c>
      <c r="R85" s="579">
        <f t="shared" ref="R85:V85" si="148">T53</f>
        <v>0.16765718815173636</v>
      </c>
      <c r="S85" s="579">
        <f t="shared" si="148"/>
        <v>0.15183742456808058</v>
      </c>
      <c r="T85" s="579">
        <f t="shared" si="148"/>
        <v>0</v>
      </c>
      <c r="U85" s="579">
        <f t="shared" si="148"/>
        <v>0</v>
      </c>
      <c r="V85" s="579">
        <f t="shared" si="148"/>
        <v>0</v>
      </c>
      <c r="W85" s="580">
        <f t="shared" ref="W85:Y85" si="149">+IF($O85=0,"-",R85/$O85)</f>
        <v>0.52475748096186048</v>
      </c>
      <c r="X85" s="580">
        <f t="shared" si="149"/>
        <v>0.47524251903813935</v>
      </c>
      <c r="Y85" s="580">
        <f t="shared" si="149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50">+IF(AI85="","",AI85*$AH85)</f>
        <v>9.5491849839365557</v>
      </c>
      <c r="AX85" s="570">
        <f t="shared" si="150"/>
        <v>8.7975469211214641</v>
      </c>
      <c r="AY85" s="570">
        <f t="shared" si="150"/>
        <v>9.1710754094693634</v>
      </c>
      <c r="AZ85" s="570">
        <f t="shared" si="150"/>
        <v>7.7206679314207314</v>
      </c>
      <c r="BA85" s="570">
        <f t="shared" si="150"/>
        <v>6.9250482043438293</v>
      </c>
      <c r="BB85" s="570">
        <f t="shared" si="150"/>
        <v>5.7316186137284753</v>
      </c>
      <c r="BC85" s="570">
        <f t="shared" si="150"/>
        <v>4.86647321568931</v>
      </c>
      <c r="BD85" s="570">
        <f t="shared" si="150"/>
        <v>4.2897096169965332</v>
      </c>
      <c r="BE85" s="570">
        <f t="shared" si="150"/>
        <v>3.9319640225224832</v>
      </c>
      <c r="BF85" s="570">
        <f t="shared" si="150"/>
        <v>3.3953456308114087</v>
      </c>
      <c r="BG85" s="570">
        <f t="shared" si="150"/>
        <v>2.9682362412096941</v>
      </c>
      <c r="BH85" s="570">
        <f t="shared" si="150"/>
        <v>2.6834966481418845</v>
      </c>
      <c r="BI85" s="570">
        <f t="shared" si="150"/>
        <v>2.5447690578865609</v>
      </c>
      <c r="BJ85" s="571">
        <f t="shared" si="150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1">+IF(CB85="","",CB85*$AH85)</f>
        <v/>
      </c>
      <c r="CQ85" s="570" t="str">
        <f t="shared" si="151"/>
        <v/>
      </c>
      <c r="CR85" s="570" t="str">
        <f t="shared" si="151"/>
        <v/>
      </c>
      <c r="CS85" s="570" t="str">
        <f t="shared" si="151"/>
        <v/>
      </c>
      <c r="CT85" s="570" t="str">
        <f t="shared" si="151"/>
        <v/>
      </c>
      <c r="CU85" s="570" t="str">
        <f t="shared" si="151"/>
        <v/>
      </c>
      <c r="CV85" s="570" t="str">
        <f t="shared" si="151"/>
        <v/>
      </c>
      <c r="CW85" s="570" t="str">
        <f t="shared" si="151"/>
        <v/>
      </c>
      <c r="CX85" s="570" t="str">
        <f t="shared" si="151"/>
        <v/>
      </c>
      <c r="CY85" s="570" t="str">
        <f t="shared" si="151"/>
        <v/>
      </c>
      <c r="CZ85" s="570" t="str">
        <f t="shared" si="151"/>
        <v/>
      </c>
      <c r="DA85" s="570" t="str">
        <f t="shared" si="151"/>
        <v/>
      </c>
      <c r="DB85" s="570" t="str">
        <f t="shared" si="151"/>
        <v/>
      </c>
      <c r="DC85" s="571" t="str">
        <f t="shared" si="151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2">+DG85+(DI85-DG85)*(2027-2025)/(2030-2025)</f>
        <v>6.9250482043438293</v>
      </c>
      <c r="DI85" s="570">
        <v>5.7316186137284753</v>
      </c>
      <c r="DJ85" s="572">
        <f t="shared" ref="DJ85:DJ87" si="153">+DI85+(DK85-DI85)*(2033-2030)/(2035-2030)</f>
        <v>4.86647321568931</v>
      </c>
      <c r="DK85" s="570">
        <v>4.2897096169965332</v>
      </c>
      <c r="DL85" s="572">
        <f t="shared" ref="DL85:DL87" si="154">+DK85+(DM85-DK85)*(2037-2035)/(2040-2035)</f>
        <v>3.9319640225224832</v>
      </c>
      <c r="DM85" s="570">
        <v>3.3953456308114087</v>
      </c>
      <c r="DN85" s="572">
        <f t="shared" si="145"/>
        <v>2.9682362412096941</v>
      </c>
      <c r="DO85" s="570">
        <v>2.6834966481418845</v>
      </c>
      <c r="DP85" s="572">
        <f t="shared" si="146"/>
        <v>2.5447690578865614</v>
      </c>
      <c r="DQ85" s="571">
        <v>2.3366776725035767</v>
      </c>
    </row>
    <row r="86" spans="9:121" ht="15.75" customHeight="1" x14ac:dyDescent="0.25">
      <c r="I86" s="431" t="s">
        <v>1256</v>
      </c>
      <c r="J86" s="434" t="s">
        <v>1261</v>
      </c>
      <c r="K86" s="431">
        <v>21</v>
      </c>
      <c r="L86" s="434"/>
      <c r="M86" s="434" t="str">
        <f t="shared" si="36"/>
        <v>Medium Oil</v>
      </c>
      <c r="N86" s="575">
        <f t="shared" ref="N86:O86" si="155">Y54</f>
        <v>8.7564836170076354</v>
      </c>
      <c r="O86" s="576">
        <f t="shared" si="155"/>
        <v>0.43874352621703561</v>
      </c>
      <c r="P86" s="577">
        <f t="shared" si="52"/>
        <v>4.771426734578444E-2</v>
      </c>
      <c r="Q86" s="578">
        <f t="shared" si="38"/>
        <v>0.23786180586758954</v>
      </c>
      <c r="R86" s="579">
        <f t="shared" ref="R86:V86" si="156">T54</f>
        <v>0</v>
      </c>
      <c r="S86" s="579">
        <f t="shared" si="156"/>
        <v>5.7140945681870784E-3</v>
      </c>
      <c r="T86" s="579">
        <f t="shared" si="156"/>
        <v>0.4330294316488485</v>
      </c>
      <c r="U86" s="579">
        <f t="shared" si="156"/>
        <v>0.19516762578125896</v>
      </c>
      <c r="V86" s="579">
        <f t="shared" si="156"/>
        <v>0</v>
      </c>
      <c r="W86" s="580">
        <f t="shared" ref="W86:Y86" si="157">+IF($O86=0,"-",R86/$O86)</f>
        <v>0</v>
      </c>
      <c r="X86" s="580">
        <f t="shared" si="157"/>
        <v>1.302376952990175E-2</v>
      </c>
      <c r="Y86" s="580">
        <f t="shared" si="157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8">+IF(AI86="","",AI86*$AH86)</f>
        <v>9.1952271432246704</v>
      </c>
      <c r="AX86" s="591">
        <f t="shared" si="158"/>
        <v>8.7082524970102764</v>
      </c>
      <c r="AY86" s="591">
        <f t="shared" si="158"/>
        <v>7.4103150703423335</v>
      </c>
      <c r="AZ86" s="591">
        <f t="shared" si="158"/>
        <v>6.5450234525637052</v>
      </c>
      <c r="BA86" s="591">
        <f t="shared" si="158"/>
        <v>5.4966407959613486</v>
      </c>
      <c r="BB86" s="591">
        <f t="shared" si="158"/>
        <v>3.9240668110578114</v>
      </c>
      <c r="BC86" s="591">
        <f t="shared" si="158"/>
        <v>3.1763047234570938</v>
      </c>
      <c r="BD86" s="591">
        <f t="shared" si="158"/>
        <v>2.677796665056615</v>
      </c>
      <c r="BE86" s="591">
        <f t="shared" si="158"/>
        <v>2.4084531460511469</v>
      </c>
      <c r="BF86" s="591">
        <f t="shared" si="158"/>
        <v>2.0044378675429444</v>
      </c>
      <c r="BG86" s="591">
        <f t="shared" si="158"/>
        <v>1.7384626462293669</v>
      </c>
      <c r="BH86" s="591">
        <f t="shared" si="158"/>
        <v>1.5611458320203151</v>
      </c>
      <c r="BI86" s="591">
        <f t="shared" si="158"/>
        <v>1.3833478324267074</v>
      </c>
      <c r="BJ86" s="592">
        <f t="shared" si="158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9">+IF(CB86="","",CB86*$AH86)</f>
        <v/>
      </c>
      <c r="CQ86" s="591" t="str">
        <f t="shared" si="159"/>
        <v/>
      </c>
      <c r="CR86" s="591" t="str">
        <f t="shared" si="159"/>
        <v/>
      </c>
      <c r="CS86" s="591" t="str">
        <f t="shared" si="159"/>
        <v/>
      </c>
      <c r="CT86" s="591" t="str">
        <f t="shared" si="159"/>
        <v/>
      </c>
      <c r="CU86" s="591" t="str">
        <f t="shared" si="159"/>
        <v/>
      </c>
      <c r="CV86" s="591" t="str">
        <f t="shared" si="159"/>
        <v/>
      </c>
      <c r="CW86" s="591" t="str">
        <f t="shared" si="159"/>
        <v/>
      </c>
      <c r="CX86" s="591" t="str">
        <f t="shared" si="159"/>
        <v/>
      </c>
      <c r="CY86" s="591" t="str">
        <f t="shared" si="159"/>
        <v/>
      </c>
      <c r="CZ86" s="591" t="str">
        <f t="shared" si="159"/>
        <v/>
      </c>
      <c r="DA86" s="591" t="str">
        <f t="shared" si="159"/>
        <v/>
      </c>
      <c r="DB86" s="591" t="str">
        <f t="shared" si="159"/>
        <v/>
      </c>
      <c r="DC86" s="592" t="str">
        <f t="shared" si="159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2"/>
        <v>5.4966407959613477</v>
      </c>
      <c r="DI86" s="570">
        <v>3.9240668110578114</v>
      </c>
      <c r="DJ86" s="572">
        <f t="shared" si="153"/>
        <v>3.1763047234570934</v>
      </c>
      <c r="DK86" s="570">
        <v>2.677796665056615</v>
      </c>
      <c r="DL86" s="572">
        <f t="shared" si="154"/>
        <v>2.4084531460511469</v>
      </c>
      <c r="DM86" s="570">
        <v>2.0044378675429444</v>
      </c>
      <c r="DN86" s="572">
        <f t="shared" si="145"/>
        <v>1.7384626462293669</v>
      </c>
      <c r="DO86" s="570">
        <v>1.5611458320203151</v>
      </c>
      <c r="DP86" s="572">
        <f t="shared" si="146"/>
        <v>1.3833478324267074</v>
      </c>
      <c r="DQ86" s="571">
        <v>1.1166508330362959</v>
      </c>
    </row>
    <row r="87" spans="9:121" ht="15.75" customHeight="1" x14ac:dyDescent="0.25">
      <c r="I87" s="432" t="s">
        <v>1264</v>
      </c>
      <c r="J87" s="440" t="s">
        <v>1265</v>
      </c>
      <c r="K87" s="431" t="s">
        <v>1099</v>
      </c>
      <c r="L87" s="434" t="s">
        <v>7</v>
      </c>
      <c r="M87" s="434" t="s">
        <v>1396</v>
      </c>
      <c r="N87" s="575">
        <f t="shared" ref="N87:O87" si="160">Y55</f>
        <v>0</v>
      </c>
      <c r="O87" s="576">
        <f t="shared" si="160"/>
        <v>1.0840525806313783</v>
      </c>
      <c r="P87" s="577">
        <f t="shared" si="52"/>
        <v>1</v>
      </c>
      <c r="Q87" s="578">
        <f t="shared" si="38"/>
        <v>1.0840525806313783</v>
      </c>
      <c r="R87" s="579">
        <f t="shared" ref="R87:V87" si="161">T55</f>
        <v>0</v>
      </c>
      <c r="S87" s="579">
        <f t="shared" si="161"/>
        <v>0</v>
      </c>
      <c r="T87" s="579">
        <f t="shared" si="161"/>
        <v>0</v>
      </c>
      <c r="U87" s="579">
        <f t="shared" si="161"/>
        <v>0</v>
      </c>
      <c r="V87" s="579">
        <f t="shared" si="161"/>
        <v>1.0840525806313783</v>
      </c>
      <c r="W87" s="580">
        <f t="shared" ref="W87:Y87" si="162">+IF($O87=0,"-",R87/$O87)</f>
        <v>0</v>
      </c>
      <c r="X87" s="580">
        <f t="shared" si="162"/>
        <v>0</v>
      </c>
      <c r="Y87" s="580">
        <f t="shared" si="162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3">+IF(AI87="","",AI87*$AH87)</f>
        <v>1.0840525806313783</v>
      </c>
      <c r="AX87" s="591">
        <f t="shared" si="163"/>
        <v>1.1263827718978625</v>
      </c>
      <c r="AY87" s="591">
        <f t="shared" si="163"/>
        <v>1.4482064210115375</v>
      </c>
      <c r="AZ87" s="591">
        <f t="shared" si="163"/>
        <v>1.2250061482391499</v>
      </c>
      <c r="BA87" s="591">
        <f t="shared" si="163"/>
        <v>1.073437590914645</v>
      </c>
      <c r="BB87" s="591">
        <f t="shared" si="163"/>
        <v>0.84608475492788726</v>
      </c>
      <c r="BC87" s="591">
        <f t="shared" si="163"/>
        <v>0.68724921197823496</v>
      </c>
      <c r="BD87" s="591">
        <f t="shared" si="163"/>
        <v>0.5813588500118001</v>
      </c>
      <c r="BE87" s="591">
        <f t="shared" si="163"/>
        <v>0.51076527536751015</v>
      </c>
      <c r="BF87" s="591">
        <f t="shared" si="163"/>
        <v>0.40487491340107512</v>
      </c>
      <c r="BG87" s="591">
        <f t="shared" si="163"/>
        <v>0.3301287755424151</v>
      </c>
      <c r="BH87" s="591">
        <f t="shared" si="163"/>
        <v>0.28029801696997508</v>
      </c>
      <c r="BI87" s="591">
        <f t="shared" si="163"/>
        <v>0.24707751125501498</v>
      </c>
      <c r="BJ87" s="592">
        <f t="shared" si="163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4">+IF(CB87="","",CB87*$AH87)</f>
        <v/>
      </c>
      <c r="CQ87" s="591" t="str">
        <f t="shared" si="164"/>
        <v/>
      </c>
      <c r="CR87" s="591" t="str">
        <f t="shared" si="164"/>
        <v/>
      </c>
      <c r="CS87" s="591" t="str">
        <f t="shared" si="164"/>
        <v/>
      </c>
      <c r="CT87" s="591" t="str">
        <f t="shared" si="164"/>
        <v/>
      </c>
      <c r="CU87" s="591" t="str">
        <f t="shared" si="164"/>
        <v/>
      </c>
      <c r="CV87" s="591" t="str">
        <f t="shared" si="164"/>
        <v/>
      </c>
      <c r="CW87" s="591" t="str">
        <f t="shared" si="164"/>
        <v/>
      </c>
      <c r="CX87" s="591" t="str">
        <f t="shared" si="164"/>
        <v/>
      </c>
      <c r="CY87" s="591" t="str">
        <f t="shared" si="164"/>
        <v/>
      </c>
      <c r="CZ87" s="591" t="str">
        <f t="shared" si="164"/>
        <v/>
      </c>
      <c r="DA87" s="591" t="str">
        <f t="shared" si="164"/>
        <v/>
      </c>
      <c r="DB87" s="591" t="str">
        <f t="shared" si="164"/>
        <v/>
      </c>
      <c r="DC87" s="592" t="str">
        <f t="shared" si="164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2"/>
        <v>1.0734375909146447</v>
      </c>
      <c r="DI87" s="595">
        <v>0.84608475492788726</v>
      </c>
      <c r="DJ87" s="596">
        <f t="shared" si="153"/>
        <v>0.68724921197823496</v>
      </c>
      <c r="DK87" s="595">
        <v>0.5813588500118001</v>
      </c>
      <c r="DL87" s="596">
        <f t="shared" si="154"/>
        <v>0.51076527536751015</v>
      </c>
      <c r="DM87" s="595">
        <v>0.40487491340107512</v>
      </c>
      <c r="DN87" s="596">
        <f t="shared" si="145"/>
        <v>0.3301287755424151</v>
      </c>
      <c r="DO87" s="595">
        <v>0.28029801696997508</v>
      </c>
      <c r="DP87" s="596">
        <f t="shared" si="146"/>
        <v>0.24707751125501498</v>
      </c>
      <c r="DQ87" s="597">
        <v>0.19724675268257483</v>
      </c>
    </row>
    <row r="88" spans="9:121" ht="15.75" customHeight="1" x14ac:dyDescent="0.25">
      <c r="I88" s="432" t="s">
        <v>1264</v>
      </c>
      <c r="J88" s="440" t="s">
        <v>1268</v>
      </c>
      <c r="K88" s="431" t="s">
        <v>1099</v>
      </c>
      <c r="L88" s="434" t="s">
        <v>7</v>
      </c>
      <c r="M88" s="434" t="s">
        <v>1396</v>
      </c>
      <c r="N88" s="583">
        <f t="shared" ref="N88:O88" si="165">Y56</f>
        <v>1.3579511620070052E-2</v>
      </c>
      <c r="O88" s="576">
        <f t="shared" si="165"/>
        <v>2.2925734862295029</v>
      </c>
      <c r="P88" s="577">
        <f t="shared" si="52"/>
        <v>0.99411161721154995</v>
      </c>
      <c r="Q88" s="578">
        <f t="shared" si="38"/>
        <v>2.2440339691202391</v>
      </c>
      <c r="R88" s="579">
        <f t="shared" ref="R88:V88" si="166">T56</f>
        <v>4.2906187128613207E-3</v>
      </c>
      <c r="S88" s="579">
        <f t="shared" si="166"/>
        <v>4.4248898396402753E-2</v>
      </c>
      <c r="T88" s="579">
        <f t="shared" si="166"/>
        <v>0</v>
      </c>
      <c r="U88" s="579">
        <f t="shared" si="166"/>
        <v>0</v>
      </c>
      <c r="V88" s="579">
        <f t="shared" si="166"/>
        <v>2.2440339691202391</v>
      </c>
      <c r="W88" s="580">
        <f t="shared" ref="W88:Y88" si="167">+IF($O88=0,"-",R88/$O88)</f>
        <v>1.8715294138369877E-3</v>
      </c>
      <c r="X88" s="580">
        <f t="shared" si="167"/>
        <v>1.9300972754935336E-2</v>
      </c>
      <c r="Y88" s="580">
        <f t="shared" si="167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8">+IF(AI88="","",AI88*$AH88)</f>
        <v>2.3061529978495727</v>
      </c>
      <c r="AX88" s="591">
        <f t="shared" si="168"/>
        <v>2.2219884839807933</v>
      </c>
      <c r="AY88" s="591">
        <f t="shared" si="168"/>
        <v>2.2041946644495511</v>
      </c>
      <c r="AZ88" s="591">
        <f t="shared" si="168"/>
        <v>1.8234035596277018</v>
      </c>
      <c r="BA88" s="591">
        <f t="shared" si="168"/>
        <v>1.4932499279846376</v>
      </c>
      <c r="BB88" s="591">
        <f t="shared" si="168"/>
        <v>1.1036545018620887</v>
      </c>
      <c r="BC88" s="591">
        <f t="shared" si="168"/>
        <v>0.82391949793526853</v>
      </c>
      <c r="BD88" s="591">
        <f t="shared" si="168"/>
        <v>0.69656827300258517</v>
      </c>
      <c r="BE88" s="591">
        <f t="shared" si="168"/>
        <v>0.56928438513529978</v>
      </c>
      <c r="BF88" s="591">
        <f t="shared" si="168"/>
        <v>0.44169748047372609</v>
      </c>
      <c r="BG88" s="591">
        <f t="shared" si="168"/>
        <v>0.33942931240154489</v>
      </c>
      <c r="BH88" s="591">
        <f t="shared" si="168"/>
        <v>0.28815213710148468</v>
      </c>
      <c r="BI88" s="591">
        <f t="shared" si="168"/>
        <v>0.236874961801425</v>
      </c>
      <c r="BJ88" s="592">
        <f t="shared" si="168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9">+IF(CB88="","",CB88*$AH88)</f>
        <v/>
      </c>
      <c r="CQ88" s="591" t="str">
        <f t="shared" si="169"/>
        <v/>
      </c>
      <c r="CR88" s="591" t="str">
        <f t="shared" si="169"/>
        <v/>
      </c>
      <c r="CS88" s="591" t="str">
        <f t="shared" si="169"/>
        <v/>
      </c>
      <c r="CT88" s="591" t="str">
        <f t="shared" si="169"/>
        <v/>
      </c>
      <c r="CU88" s="591" t="str">
        <f t="shared" si="169"/>
        <v/>
      </c>
      <c r="CV88" s="591" t="str">
        <f t="shared" si="169"/>
        <v/>
      </c>
      <c r="CW88" s="591" t="str">
        <f t="shared" si="169"/>
        <v/>
      </c>
      <c r="CX88" s="591" t="str">
        <f t="shared" si="169"/>
        <v/>
      </c>
      <c r="CY88" s="591" t="str">
        <f t="shared" si="169"/>
        <v/>
      </c>
      <c r="CZ88" s="591" t="str">
        <f t="shared" si="169"/>
        <v/>
      </c>
      <c r="DA88" s="591" t="str">
        <f t="shared" si="169"/>
        <v/>
      </c>
      <c r="DB88" s="591" t="str">
        <f t="shared" si="169"/>
        <v/>
      </c>
      <c r="DC88" s="592" t="str">
        <f t="shared" si="169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1441</v>
      </c>
    </row>
    <row r="89" spans="9:121" ht="15.75" customHeight="1" x14ac:dyDescent="0.25">
      <c r="I89" s="432" t="s">
        <v>1264</v>
      </c>
      <c r="J89" s="440" t="s">
        <v>1269</v>
      </c>
      <c r="K89" s="431" t="s">
        <v>1099</v>
      </c>
      <c r="L89" s="434" t="s">
        <v>7</v>
      </c>
      <c r="M89" s="434" t="s">
        <v>1396</v>
      </c>
      <c r="N89" s="583">
        <f t="shared" ref="N89:O89" si="170">Y57</f>
        <v>6.1343436802343387E-2</v>
      </c>
      <c r="O89" s="576">
        <f t="shared" si="170"/>
        <v>10.354312893772342</v>
      </c>
      <c r="P89" s="577">
        <f t="shared" si="52"/>
        <v>0.99411045882703797</v>
      </c>
      <c r="Q89" s="578">
        <f t="shared" si="38"/>
        <v>10.137571027545471</v>
      </c>
      <c r="R89" s="579">
        <f t="shared" ref="R89:V89" si="171">T57</f>
        <v>1.8616237427097122E-2</v>
      </c>
      <c r="S89" s="579">
        <f t="shared" si="171"/>
        <v>0.19812562879977277</v>
      </c>
      <c r="T89" s="579">
        <f t="shared" si="171"/>
        <v>0</v>
      </c>
      <c r="U89" s="579">
        <f t="shared" si="171"/>
        <v>0</v>
      </c>
      <c r="V89" s="579">
        <f t="shared" si="171"/>
        <v>10.137571027545471</v>
      </c>
      <c r="W89" s="580">
        <f t="shared" ref="W89:Y89" si="172">+IF($O89=0,"-",R89/$O89)</f>
        <v>1.79792108062467E-3</v>
      </c>
      <c r="X89" s="580">
        <f t="shared" si="172"/>
        <v>1.913459935317741E-2</v>
      </c>
      <c r="Y89" s="580">
        <f t="shared" si="172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3">+IF(AI89="","",AI89*$AH89)</f>
        <v>10.415656330574684</v>
      </c>
      <c r="AX89" s="591">
        <f t="shared" si="173"/>
        <v>10.206646504543086</v>
      </c>
      <c r="AY89" s="591">
        <f t="shared" si="173"/>
        <v>9.9279667365009505</v>
      </c>
      <c r="AZ89" s="591">
        <f t="shared" si="173"/>
        <v>8.4648979542797598</v>
      </c>
      <c r="BA89" s="591">
        <f t="shared" si="173"/>
        <v>7.2456739690954315</v>
      </c>
      <c r="BB89" s="591">
        <f t="shared" si="173"/>
        <v>5.7477702158689725</v>
      </c>
      <c r="BC89" s="591">
        <f t="shared" si="173"/>
        <v>4.7027210857109774</v>
      </c>
      <c r="BD89" s="591">
        <f t="shared" si="173"/>
        <v>4.0408566366109131</v>
      </c>
      <c r="BE89" s="591">
        <f t="shared" si="173"/>
        <v>3.4834971005266495</v>
      </c>
      <c r="BF89" s="591">
        <f t="shared" si="173"/>
        <v>2.8216326514265861</v>
      </c>
      <c r="BG89" s="591">
        <f t="shared" si="173"/>
        <v>2.1597682023265286</v>
      </c>
      <c r="BH89" s="591">
        <f t="shared" si="173"/>
        <v>1.718525236259782</v>
      </c>
      <c r="BI89" s="591">
        <f t="shared" si="173"/>
        <v>1.2772822701931017</v>
      </c>
      <c r="BJ89" s="592">
        <f t="shared" si="173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4">+IF(CB89="","",CB89*$AH89)</f>
        <v/>
      </c>
      <c r="CQ89" s="591" t="str">
        <f t="shared" si="174"/>
        <v/>
      </c>
      <c r="CR89" s="591" t="str">
        <f t="shared" si="174"/>
        <v/>
      </c>
      <c r="CS89" s="591" t="str">
        <f t="shared" si="174"/>
        <v/>
      </c>
      <c r="CT89" s="591" t="str">
        <f t="shared" si="174"/>
        <v/>
      </c>
      <c r="CU89" s="591" t="str">
        <f t="shared" si="174"/>
        <v/>
      </c>
      <c r="CV89" s="591" t="str">
        <f t="shared" si="174"/>
        <v/>
      </c>
      <c r="CW89" s="591" t="str">
        <f t="shared" si="174"/>
        <v/>
      </c>
      <c r="CX89" s="591" t="str">
        <f t="shared" si="174"/>
        <v/>
      </c>
      <c r="CY89" s="591" t="str">
        <f t="shared" si="174"/>
        <v/>
      </c>
      <c r="CZ89" s="591" t="str">
        <f t="shared" si="174"/>
        <v/>
      </c>
      <c r="DA89" s="591" t="str">
        <f t="shared" si="174"/>
        <v/>
      </c>
      <c r="DB89" s="591" t="str">
        <f t="shared" si="174"/>
        <v/>
      </c>
      <c r="DC89" s="592" t="str">
        <f t="shared" si="174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1441</v>
      </c>
      <c r="DO89" s="599" t="s">
        <v>1441</v>
      </c>
      <c r="DP89" s="599" t="s">
        <v>1441</v>
      </c>
      <c r="DQ89" s="600" t="s">
        <v>1441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1442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1443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5">0.05*BK78</f>
        <v>0.45976135716123356</v>
      </c>
      <c r="AX92" s="222">
        <f t="shared" si="175"/>
        <v>0.35887383114809163</v>
      </c>
      <c r="AY92" s="222">
        <f t="shared" si="175"/>
        <v>0.15821478661537516</v>
      </c>
      <c r="AZ92" s="222">
        <f t="shared" si="175"/>
        <v>9.9788867633869835E-2</v>
      </c>
      <c r="BA92" s="222">
        <f t="shared" si="175"/>
        <v>7.9246601656003113E-2</v>
      </c>
      <c r="BB92" s="222">
        <f t="shared" si="175"/>
        <v>4.8433202689203016E-2</v>
      </c>
      <c r="BC92" s="222">
        <f t="shared" si="175"/>
        <v>1.7807392237011568E-2</v>
      </c>
      <c r="BD92" s="222">
        <f t="shared" si="175"/>
        <v>1.3469739604707842E-2</v>
      </c>
      <c r="BE92" s="222">
        <f t="shared" si="175"/>
        <v>1.0699240411137064E-2</v>
      </c>
      <c r="BF92" s="222">
        <f t="shared" si="175"/>
        <v>6.5434916207808948E-3</v>
      </c>
      <c r="BG92" s="222">
        <f t="shared" si="175"/>
        <v>2.3877428304250412E-3</v>
      </c>
      <c r="BH92" s="222">
        <f t="shared" si="175"/>
        <v>0</v>
      </c>
      <c r="BI92" s="222">
        <f t="shared" si="175"/>
        <v>0</v>
      </c>
      <c r="BJ92" s="222">
        <f t="shared" si="175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960" t="s">
        <v>1411</v>
      </c>
      <c r="S96" s="905"/>
      <c r="T96" s="905"/>
      <c r="U96" s="905"/>
      <c r="V96" s="906"/>
      <c r="W96" s="962" t="s">
        <v>1412</v>
      </c>
      <c r="X96" s="905"/>
      <c r="Y96" s="905"/>
      <c r="Z96" s="906"/>
      <c r="AA96" s="541" t="s">
        <v>1413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1415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1415</v>
      </c>
      <c r="X97" s="544" t="s">
        <v>1415</v>
      </c>
      <c r="Y97" s="544" t="s">
        <v>1415</v>
      </c>
      <c r="Z97" s="544" t="s">
        <v>1415</v>
      </c>
      <c r="AA97" s="263" t="s">
        <v>1415</v>
      </c>
      <c r="AB97" s="439" t="s">
        <v>59</v>
      </c>
      <c r="AC97" s="439" t="s">
        <v>1416</v>
      </c>
      <c r="AD97" s="542" t="s">
        <v>59</v>
      </c>
      <c r="AE97" s="542" t="s">
        <v>1416</v>
      </c>
      <c r="AF97" s="542" t="s">
        <v>59</v>
      </c>
      <c r="AG97" s="542" t="s">
        <v>1416</v>
      </c>
      <c r="AH97" s="14" t="s">
        <v>59</v>
      </c>
      <c r="AI97" s="963" t="s">
        <v>1444</v>
      </c>
      <c r="AJ97" s="940"/>
      <c r="AK97" s="940"/>
      <c r="AL97" s="940"/>
      <c r="AM97" s="940"/>
      <c r="AN97" s="940"/>
      <c r="AO97" s="940"/>
      <c r="AP97" s="940"/>
      <c r="AQ97" s="940"/>
      <c r="AR97" s="940"/>
      <c r="AS97" s="940"/>
      <c r="AT97" s="940"/>
      <c r="AU97" s="940"/>
      <c r="AV97" s="920"/>
      <c r="AW97" s="963" t="s">
        <v>1445</v>
      </c>
      <c r="AX97" s="940"/>
      <c r="AY97" s="940"/>
      <c r="AZ97" s="940"/>
      <c r="BA97" s="940"/>
      <c r="BB97" s="940"/>
      <c r="BC97" s="940"/>
      <c r="BD97" s="940"/>
      <c r="BE97" s="940"/>
      <c r="BF97" s="940"/>
      <c r="BG97" s="940"/>
      <c r="BH97" s="940"/>
      <c r="BI97" s="940"/>
      <c r="BJ97" s="920"/>
      <c r="BK97" s="963" t="s">
        <v>1446</v>
      </c>
      <c r="BL97" s="940"/>
      <c r="BM97" s="940"/>
      <c r="BN97" s="940"/>
      <c r="BO97" s="940"/>
      <c r="BP97" s="940"/>
      <c r="BQ97" s="940"/>
      <c r="BR97" s="940"/>
      <c r="BS97" s="940"/>
      <c r="BT97" s="940"/>
      <c r="BU97" s="940"/>
      <c r="BV97" s="940"/>
      <c r="BW97" s="940"/>
      <c r="BX97" s="920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25">
      <c r="J98" s="608" t="s">
        <v>1202</v>
      </c>
      <c r="K98" s="608" t="s">
        <v>1447</v>
      </c>
      <c r="L98" s="608" t="s">
        <v>1448</v>
      </c>
      <c r="M98" s="608" t="str">
        <f>+M66</f>
        <v>Type of Oil producing</v>
      </c>
      <c r="N98" s="608" t="s">
        <v>1449</v>
      </c>
      <c r="O98" s="608" t="s">
        <v>1450</v>
      </c>
      <c r="P98" s="609" t="s">
        <v>1422</v>
      </c>
      <c r="Q98" s="609" t="s">
        <v>1451</v>
      </c>
      <c r="R98" s="610" t="s">
        <v>1452</v>
      </c>
      <c r="S98" s="610" t="s">
        <v>1453</v>
      </c>
      <c r="T98" s="610" t="s">
        <v>1454</v>
      </c>
      <c r="U98" s="610" t="s">
        <v>1455</v>
      </c>
      <c r="V98" s="610" t="s">
        <v>1456</v>
      </c>
      <c r="W98" s="611" t="s">
        <v>1457</v>
      </c>
      <c r="X98" s="611" t="s">
        <v>1458</v>
      </c>
      <c r="Y98" s="611" t="s">
        <v>1459</v>
      </c>
      <c r="Z98" s="611" t="s">
        <v>1460</v>
      </c>
      <c r="AA98" s="612" t="s">
        <v>1461</v>
      </c>
      <c r="AB98" s="552" t="s">
        <v>1462</v>
      </c>
      <c r="AC98" s="552" t="s">
        <v>1435</v>
      </c>
      <c r="AD98" s="549" t="s">
        <v>1463</v>
      </c>
      <c r="AE98" s="549" t="s">
        <v>1464</v>
      </c>
      <c r="AF98" s="549" t="s">
        <v>1465</v>
      </c>
      <c r="AG98" s="549" t="s">
        <v>1466</v>
      </c>
      <c r="AH98" s="553" t="s">
        <v>1467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1222</v>
      </c>
      <c r="K99" s="103" t="s">
        <v>1396</v>
      </c>
      <c r="L99" s="614" t="s">
        <v>6</v>
      </c>
      <c r="M99" s="615" t="s">
        <v>1468</v>
      </c>
      <c r="N99" s="616">
        <f t="shared" ref="N99:O99" si="176">+SUMIFS(N$67:N$89,$I$67:$I$89,$J99,$M$67:$M$89,$K99)</f>
        <v>0</v>
      </c>
      <c r="O99" s="616">
        <f t="shared" si="176"/>
        <v>68.585731940983607</v>
      </c>
      <c r="P99" s="617">
        <f t="shared" ref="P99:P105" si="177">+O99/(N99+O99)</f>
        <v>1</v>
      </c>
      <c r="Q99" s="618">
        <f t="shared" ref="Q99:V99" si="178">+SUMIFS(Q$67:Q$89,$I$67:$I$89,$J99,$M$67:$M$89,$K99)</f>
        <v>66.042848806832495</v>
      </c>
      <c r="R99" s="619">
        <f t="shared" si="178"/>
        <v>2.4500442407782339</v>
      </c>
      <c r="S99" s="620">
        <f t="shared" si="178"/>
        <v>9.2838893372876957E-2</v>
      </c>
      <c r="T99" s="619">
        <f t="shared" si="178"/>
        <v>5.6186813035864835</v>
      </c>
      <c r="U99" s="619">
        <f t="shared" si="178"/>
        <v>0</v>
      </c>
      <c r="V99" s="619">
        <f t="shared" si="178"/>
        <v>60.424167503246018</v>
      </c>
      <c r="W99" s="559">
        <f t="shared" ref="W99:Y99" si="179">+IF($O99=0,"-",R99/$O99)</f>
        <v>3.5722360488715625E-2</v>
      </c>
      <c r="X99" s="621">
        <f t="shared" si="179"/>
        <v>1.3536181760480828E-3</v>
      </c>
      <c r="Y99" s="559">
        <f t="shared" si="179"/>
        <v>8.1922014165004831E-2</v>
      </c>
      <c r="Z99" s="559">
        <f t="shared" ref="Z99:Z112" si="180">+IF($O99=0,"-",V99/$O99)</f>
        <v>0.88100200717023158</v>
      </c>
      <c r="AA99" s="560">
        <f t="shared" ref="AA99:AA101" si="181">+IF($T99=0,"-",U99/$T99)</f>
        <v>0</v>
      </c>
      <c r="AB99" s="622">
        <f t="shared" ref="AB99:AB105" si="182">+SUMIFS(AB$67:AB$89,$I$67:$I$89,$J99,$M$67:$M$89,$K99)</f>
        <v>266.73883552000007</v>
      </c>
      <c r="AC99" s="623">
        <f t="shared" ref="AC99:AC105" si="183">+IF((N99+O99)=0,"-",AB99/(N99+O99))</f>
        <v>3.8891301145480592</v>
      </c>
      <c r="AD99" s="563">
        <f t="shared" ref="AD99:AD112" si="184">+AB99*(100%-P99)</f>
        <v>0</v>
      </c>
      <c r="AE99" s="564" t="str">
        <f t="shared" ref="AE99:AE112" si="185">+IF(N99=0,"-",AD99/N99)</f>
        <v>-</v>
      </c>
      <c r="AF99" s="563">
        <f t="shared" ref="AF99:AF112" si="186">+AB99*(P99)</f>
        <v>266.73883552000007</v>
      </c>
      <c r="AG99" s="624">
        <f t="shared" ref="AG99:AG105" si="187">+AF99/O99</f>
        <v>3.8891301145480592</v>
      </c>
      <c r="AH99" s="616">
        <f t="shared" ref="AH99:AH105" si="188">+SUMIFS(AH$67:AH$89,$I$67:$I$89,$J99,$M$67:$M$89,$K99)</f>
        <v>68.585731940983607</v>
      </c>
      <c r="AI99" s="616">
        <f t="shared" ref="AI99:AV99" si="189">+SUMIFS(BK$67:BK$89,$I$67:$I$89,$J99,$M$67:$M$89,$K99)</f>
        <v>68.585731940983607</v>
      </c>
      <c r="AJ99" s="616">
        <f t="shared" si="189"/>
        <v>55.42289382660443</v>
      </c>
      <c r="AK99" s="616">
        <f t="shared" si="189"/>
        <v>48.301053084017497</v>
      </c>
      <c r="AL99" s="616">
        <f t="shared" si="189"/>
        <v>38.921861734744084</v>
      </c>
      <c r="AM99" s="616">
        <f t="shared" si="189"/>
        <v>31.12573621980787</v>
      </c>
      <c r="AN99" s="616">
        <f t="shared" si="189"/>
        <v>20.101904077407454</v>
      </c>
      <c r="AO99" s="616">
        <f t="shared" si="189"/>
        <v>8.0077874319897546</v>
      </c>
      <c r="AP99" s="616">
        <f t="shared" si="189"/>
        <v>2.86729599242289</v>
      </c>
      <c r="AQ99" s="616">
        <f t="shared" si="189"/>
        <v>2.3371052350566992</v>
      </c>
      <c r="AR99" s="616">
        <f t="shared" si="189"/>
        <v>1.5418190990073675</v>
      </c>
      <c r="AS99" s="616">
        <f t="shared" si="189"/>
        <v>0.74653296295810601</v>
      </c>
      <c r="AT99" s="616">
        <f t="shared" si="189"/>
        <v>0.21634220559186546</v>
      </c>
      <c r="AU99" s="616">
        <f t="shared" si="189"/>
        <v>0</v>
      </c>
      <c r="AV99" s="616">
        <f t="shared" si="189"/>
        <v>0</v>
      </c>
      <c r="AW99" s="625">
        <f t="shared" ref="AW99:BJ99" si="190">+AI99*(100%-$P99)</f>
        <v>0</v>
      </c>
      <c r="AX99" s="625">
        <f t="shared" si="190"/>
        <v>0</v>
      </c>
      <c r="AY99" s="625">
        <f t="shared" si="190"/>
        <v>0</v>
      </c>
      <c r="AZ99" s="625">
        <f t="shared" si="190"/>
        <v>0</v>
      </c>
      <c r="BA99" s="625">
        <f t="shared" si="190"/>
        <v>0</v>
      </c>
      <c r="BB99" s="625">
        <f t="shared" si="190"/>
        <v>0</v>
      </c>
      <c r="BC99" s="625">
        <f t="shared" si="190"/>
        <v>0</v>
      </c>
      <c r="BD99" s="625">
        <f t="shared" si="190"/>
        <v>0</v>
      </c>
      <c r="BE99" s="625">
        <f t="shared" si="190"/>
        <v>0</v>
      </c>
      <c r="BF99" s="625">
        <f t="shared" si="190"/>
        <v>0</v>
      </c>
      <c r="BG99" s="625">
        <f t="shared" si="190"/>
        <v>0</v>
      </c>
      <c r="BH99" s="625">
        <f t="shared" si="190"/>
        <v>0</v>
      </c>
      <c r="BI99" s="625">
        <f t="shared" si="190"/>
        <v>0</v>
      </c>
      <c r="BJ99" s="625">
        <f t="shared" si="190"/>
        <v>0</v>
      </c>
      <c r="BK99" s="625">
        <f t="shared" ref="BK99:BX99" si="191">+AI99*($P99)</f>
        <v>68.585731940983607</v>
      </c>
      <c r="BL99" s="625">
        <f t="shared" si="191"/>
        <v>55.42289382660443</v>
      </c>
      <c r="BM99" s="625">
        <f t="shared" si="191"/>
        <v>48.301053084017497</v>
      </c>
      <c r="BN99" s="625">
        <f t="shared" si="191"/>
        <v>38.921861734744084</v>
      </c>
      <c r="BO99" s="625">
        <f t="shared" si="191"/>
        <v>31.12573621980787</v>
      </c>
      <c r="BP99" s="625">
        <f t="shared" si="191"/>
        <v>20.101904077407454</v>
      </c>
      <c r="BQ99" s="625">
        <f t="shared" si="191"/>
        <v>8.0077874319897546</v>
      </c>
      <c r="BR99" s="625">
        <f t="shared" si="191"/>
        <v>2.86729599242289</v>
      </c>
      <c r="BS99" s="625">
        <f t="shared" si="191"/>
        <v>2.3371052350566992</v>
      </c>
      <c r="BT99" s="625">
        <f t="shared" si="191"/>
        <v>1.5418190990073675</v>
      </c>
      <c r="BU99" s="625">
        <f t="shared" si="191"/>
        <v>0.74653296295810601</v>
      </c>
      <c r="BV99" s="625">
        <f t="shared" si="191"/>
        <v>0.21634220559186546</v>
      </c>
      <c r="BW99" s="625">
        <f t="shared" si="191"/>
        <v>0</v>
      </c>
      <c r="BX99" s="625">
        <f t="shared" si="191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1226</v>
      </c>
      <c r="K100" s="103" t="s">
        <v>1196</v>
      </c>
      <c r="L100" s="614" t="s">
        <v>12</v>
      </c>
      <c r="M100" s="626" t="s">
        <v>1469</v>
      </c>
      <c r="N100" s="616">
        <f t="shared" ref="N100:O100" si="192">+SUMIFS(N$67:N$89,$I$67:$I$89,$J100,$M$67:$M$89,$K100)</f>
        <v>107.6091233110016</v>
      </c>
      <c r="O100" s="616">
        <f t="shared" si="192"/>
        <v>256.07651205217701</v>
      </c>
      <c r="P100" s="617">
        <f t="shared" si="177"/>
        <v>0.70411500249785086</v>
      </c>
      <c r="Q100" s="618">
        <f t="shared" ref="Q100:V100" si="193">+SUMIFS(Q$67:Q$89,$I$67:$I$89,$J100,$M$67:$M$89,$K100)</f>
        <v>209.74608813235034</v>
      </c>
      <c r="R100" s="619">
        <f t="shared" si="193"/>
        <v>28.837995441575647</v>
      </c>
      <c r="S100" s="619">
        <f t="shared" si="193"/>
        <v>3.2629701010505454</v>
      </c>
      <c r="T100" s="619">
        <f t="shared" si="193"/>
        <v>69.637902700685089</v>
      </c>
      <c r="U100" s="619">
        <f t="shared" si="193"/>
        <v>14.229458377200496</v>
      </c>
      <c r="V100" s="619">
        <f t="shared" si="193"/>
        <v>154.33764380886575</v>
      </c>
      <c r="W100" s="559">
        <f t="shared" ref="W100:Y100" si="194">+IF($O100=0,"-",R100/$O100)</f>
        <v>0.11261476193372918</v>
      </c>
      <c r="X100" s="559">
        <f t="shared" si="194"/>
        <v>1.2742168638979654E-2</v>
      </c>
      <c r="Y100" s="559">
        <f t="shared" si="194"/>
        <v>0.27194178076939746</v>
      </c>
      <c r="Z100" s="559">
        <f t="shared" si="180"/>
        <v>0.60270128865789374</v>
      </c>
      <c r="AA100" s="560">
        <f t="shared" si="181"/>
        <v>0.20433496451438232</v>
      </c>
      <c r="AB100" s="622">
        <f t="shared" si="182"/>
        <v>2135.7396415784524</v>
      </c>
      <c r="AC100" s="623">
        <f t="shared" si="183"/>
        <v>5.8724883083317003</v>
      </c>
      <c r="AD100" s="563">
        <f t="shared" si="184"/>
        <v>631.93331851368123</v>
      </c>
      <c r="AE100" s="627">
        <f t="shared" si="185"/>
        <v>5.8724883083317012</v>
      </c>
      <c r="AF100" s="563">
        <f t="shared" si="186"/>
        <v>1503.806323064771</v>
      </c>
      <c r="AG100" s="627">
        <f t="shared" si="187"/>
        <v>5.8724883083316994</v>
      </c>
      <c r="AH100" s="616">
        <f t="shared" si="188"/>
        <v>363.68563536317856</v>
      </c>
      <c r="AI100" s="616">
        <f t="shared" ref="AI100:AV100" si="195">+SUMIFS(BK$67:BK$89,$I$67:$I$89,$J100,$M$67:$M$89,$K100)</f>
        <v>363.68563536317856</v>
      </c>
      <c r="AJ100" s="616">
        <f t="shared" si="195"/>
        <v>357.03963544887284</v>
      </c>
      <c r="AK100" s="616">
        <f t="shared" si="195"/>
        <v>291.71333965512213</v>
      </c>
      <c r="AL100" s="616">
        <f t="shared" si="195"/>
        <v>219.06541620476196</v>
      </c>
      <c r="AM100" s="616">
        <f t="shared" si="195"/>
        <v>170.23519767765302</v>
      </c>
      <c r="AN100" s="616">
        <f t="shared" si="195"/>
        <v>111.95261234678644</v>
      </c>
      <c r="AO100" s="616">
        <f t="shared" si="195"/>
        <v>72.379931845519636</v>
      </c>
      <c r="AP100" s="616">
        <f t="shared" si="195"/>
        <v>52.2350632561674</v>
      </c>
      <c r="AQ100" s="616">
        <f t="shared" si="195"/>
        <v>39.077990841053399</v>
      </c>
      <c r="AR100" s="616">
        <f t="shared" si="195"/>
        <v>23.3968962245543</v>
      </c>
      <c r="AS100" s="616">
        <f t="shared" si="195"/>
        <v>17.354491524384926</v>
      </c>
      <c r="AT100" s="616">
        <f t="shared" si="195"/>
        <v>13.326221724272058</v>
      </c>
      <c r="AU100" s="616">
        <f t="shared" si="195"/>
        <v>10.029486407153993</v>
      </c>
      <c r="AV100" s="616">
        <f t="shared" si="195"/>
        <v>6.6898601086639449</v>
      </c>
      <c r="AW100" s="625">
        <f t="shared" ref="AW100:BJ100" si="196">+AI100*(100%-$P100)</f>
        <v>107.60912331100161</v>
      </c>
      <c r="AX100" s="625">
        <f t="shared" si="196"/>
        <v>105.64267164295798</v>
      </c>
      <c r="AY100" s="625">
        <f t="shared" si="196"/>
        <v>86.31360077519939</v>
      </c>
      <c r="AZ100" s="625">
        <f t="shared" si="196"/>
        <v>64.818170126553255</v>
      </c>
      <c r="BA100" s="625">
        <f t="shared" si="196"/>
        <v>50.37004103963023</v>
      </c>
      <c r="BB100" s="625">
        <f t="shared" si="196"/>
        <v>33.125098424587975</v>
      </c>
      <c r="BC100" s="625">
        <f t="shared" si="196"/>
        <v>21.416135953317301</v>
      </c>
      <c r="BD100" s="625">
        <f t="shared" si="196"/>
        <v>15.455571561075693</v>
      </c>
      <c r="BE100" s="625">
        <f t="shared" si="196"/>
        <v>11.562591222394092</v>
      </c>
      <c r="BF100" s="625">
        <f t="shared" si="196"/>
        <v>6.9227905809602914</v>
      </c>
      <c r="BG100" s="625">
        <f t="shared" si="196"/>
        <v>5.1349336813437025</v>
      </c>
      <c r="BH100" s="625">
        <f t="shared" si="196"/>
        <v>3.9430290815993234</v>
      </c>
      <c r="BI100" s="625">
        <f t="shared" si="196"/>
        <v>2.9675745605285977</v>
      </c>
      <c r="BJ100" s="625">
        <f t="shared" si="196"/>
        <v>1.9794292415417585</v>
      </c>
      <c r="BK100" s="625">
        <f t="shared" ref="BK100:BX100" si="197">+AI100*($P100)</f>
        <v>256.07651205217695</v>
      </c>
      <c r="BL100" s="625">
        <f t="shared" si="197"/>
        <v>251.39696380591485</v>
      </c>
      <c r="BM100" s="625">
        <f t="shared" si="197"/>
        <v>205.39973887992272</v>
      </c>
      <c r="BN100" s="625">
        <f t="shared" si="197"/>
        <v>154.24724607820872</v>
      </c>
      <c r="BO100" s="625">
        <f t="shared" si="197"/>
        <v>119.8651566380228</v>
      </c>
      <c r="BP100" s="625">
        <f t="shared" si="197"/>
        <v>78.827513922198463</v>
      </c>
      <c r="BQ100" s="625">
        <f t="shared" si="197"/>
        <v>50.963795892202334</v>
      </c>
      <c r="BR100" s="625">
        <f t="shared" si="197"/>
        <v>36.779491695091707</v>
      </c>
      <c r="BS100" s="625">
        <f t="shared" si="197"/>
        <v>27.515399618659306</v>
      </c>
      <c r="BT100" s="625">
        <f t="shared" si="197"/>
        <v>16.474105643594008</v>
      </c>
      <c r="BU100" s="625">
        <f t="shared" si="197"/>
        <v>12.219557843041224</v>
      </c>
      <c r="BV100" s="625">
        <f t="shared" si="197"/>
        <v>9.3831926426727339</v>
      </c>
      <c r="BW100" s="625">
        <f t="shared" si="197"/>
        <v>7.061911846625395</v>
      </c>
      <c r="BX100" s="625">
        <f t="shared" si="197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1226</v>
      </c>
      <c r="K101" s="103" t="s">
        <v>1194</v>
      </c>
      <c r="L101" s="614" t="s">
        <v>16</v>
      </c>
      <c r="M101" s="34" t="s">
        <v>1470</v>
      </c>
      <c r="N101" s="616">
        <f t="shared" ref="N101:O101" si="198">+SUMIFS(N$67:N$89,$I$67:$I$89,$J101,$M$67:$M$89,$K101)</f>
        <v>724.65339318846713</v>
      </c>
      <c r="O101" s="616">
        <f t="shared" si="198"/>
        <v>2.0511176562165518</v>
      </c>
      <c r="P101" s="617">
        <f t="shared" si="177"/>
        <v>2.8224919834781799E-3</v>
      </c>
      <c r="Q101" s="618">
        <f t="shared" ref="Q101:V101" si="199">+SUMIFS(Q$67:Q$89,$I$67:$I$89,$J101,$M$67:$M$89,$K101)</f>
        <v>0.23786180586758954</v>
      </c>
      <c r="R101" s="619">
        <f t="shared" si="199"/>
        <v>0.32681390346528633</v>
      </c>
      <c r="S101" s="619">
        <f t="shared" si="199"/>
        <v>1.2912743211024171</v>
      </c>
      <c r="T101" s="619">
        <f t="shared" si="199"/>
        <v>0.4330294316488485</v>
      </c>
      <c r="U101" s="619">
        <f t="shared" si="199"/>
        <v>0.19516762578125896</v>
      </c>
      <c r="V101" s="619">
        <f t="shared" si="199"/>
        <v>0</v>
      </c>
      <c r="W101" s="559">
        <f t="shared" ref="W101:Y101" si="200">+IF($O101=0,"-",R101/$O101)</f>
        <v>0.15933454742334008</v>
      </c>
      <c r="X101" s="559">
        <f t="shared" si="200"/>
        <v>0.629546685042083</v>
      </c>
      <c r="Y101" s="559">
        <f t="shared" si="200"/>
        <v>0.21111876753457692</v>
      </c>
      <c r="Z101" s="559">
        <f t="shared" si="180"/>
        <v>0</v>
      </c>
      <c r="AA101" s="560">
        <f t="shared" si="181"/>
        <v>0.4507029118970462</v>
      </c>
      <c r="AB101" s="622">
        <f t="shared" si="182"/>
        <v>6496.7121983715815</v>
      </c>
      <c r="AC101" s="623">
        <f t="shared" si="183"/>
        <v>8.9399640451111821</v>
      </c>
      <c r="AD101" s="563">
        <f t="shared" si="184"/>
        <v>6478.3752802727131</v>
      </c>
      <c r="AE101" s="627">
        <f t="shared" si="185"/>
        <v>8.9399640451111821</v>
      </c>
      <c r="AF101" s="563">
        <f t="shared" si="186"/>
        <v>18.33691809886869</v>
      </c>
      <c r="AG101" s="627">
        <f t="shared" si="187"/>
        <v>8.9399640451111804</v>
      </c>
      <c r="AH101" s="616">
        <f t="shared" si="188"/>
        <v>726.70451084468357</v>
      </c>
      <c r="AI101" s="616">
        <f t="shared" ref="AI101:AV101" si="201">+SUMIFS(BK$67:BK$89,$I$67:$I$89,$J101,$M$67:$M$89,$K101)</f>
        <v>726.70451084468357</v>
      </c>
      <c r="AJ101" s="616">
        <f t="shared" si="201"/>
        <v>687.86225103060212</v>
      </c>
      <c r="AK101" s="616">
        <f t="shared" si="201"/>
        <v>587.55750824736049</v>
      </c>
      <c r="AL101" s="616">
        <f t="shared" si="201"/>
        <v>494.42471335568871</v>
      </c>
      <c r="AM101" s="616">
        <f t="shared" si="201"/>
        <v>420.57125502833946</v>
      </c>
      <c r="AN101" s="616">
        <f t="shared" si="201"/>
        <v>309.7910675373156</v>
      </c>
      <c r="AO101" s="616">
        <f t="shared" si="201"/>
        <v>257.83201320744161</v>
      </c>
      <c r="AP101" s="616">
        <f t="shared" si="201"/>
        <v>218.66172919585773</v>
      </c>
      <c r="AQ101" s="616">
        <f t="shared" si="201"/>
        <v>182.14935775491111</v>
      </c>
      <c r="AR101" s="616">
        <f t="shared" si="201"/>
        <v>127.3982825137665</v>
      </c>
      <c r="AS101" s="616">
        <f t="shared" si="201"/>
        <v>81.49849118140061</v>
      </c>
      <c r="AT101" s="616">
        <f t="shared" si="201"/>
        <v>70.347634082399537</v>
      </c>
      <c r="AU101" s="616">
        <f t="shared" si="201"/>
        <v>64.244040865995586</v>
      </c>
      <c r="AV101" s="616">
        <f t="shared" si="201"/>
        <v>55.088651041389411</v>
      </c>
      <c r="AW101" s="625">
        <f t="shared" ref="AW101:BJ101" si="202">+AI101*(100%-$P101)</f>
        <v>724.65339318846702</v>
      </c>
      <c r="AX101" s="625">
        <f t="shared" si="202"/>
        <v>685.92076534133105</v>
      </c>
      <c r="AY101" s="625">
        <f t="shared" si="202"/>
        <v>585.89913189049992</v>
      </c>
      <c r="AZ101" s="625">
        <f t="shared" si="202"/>
        <v>493.02920356580881</v>
      </c>
      <c r="BA101" s="625">
        <f t="shared" si="202"/>
        <v>419.38419603254061</v>
      </c>
      <c r="BB101" s="625">
        <f t="shared" si="202"/>
        <v>308.91668473263837</v>
      </c>
      <c r="BC101" s="625">
        <f t="shared" si="202"/>
        <v>257.10428441707955</v>
      </c>
      <c r="BD101" s="625">
        <f t="shared" si="202"/>
        <v>218.04455821810896</v>
      </c>
      <c r="BE101" s="625">
        <f t="shared" si="202"/>
        <v>181.63524265285218</v>
      </c>
      <c r="BF101" s="625">
        <f t="shared" si="202"/>
        <v>127.03870188266251</v>
      </c>
      <c r="BG101" s="625">
        <f t="shared" si="202"/>
        <v>81.268462343375546</v>
      </c>
      <c r="BH101" s="625">
        <f t="shared" si="202"/>
        <v>70.149078449145307</v>
      </c>
      <c r="BI101" s="625">
        <f t="shared" si="202"/>
        <v>64.062712575665074</v>
      </c>
      <c r="BJ101" s="625">
        <f t="shared" si="202"/>
        <v>54.933163765444462</v>
      </c>
      <c r="BK101" s="625">
        <f t="shared" ref="BK101:BX101" si="203">+AI101*($P101)</f>
        <v>2.0511176562165514</v>
      </c>
      <c r="BL101" s="625">
        <f t="shared" si="203"/>
        <v>1.9414856892711299</v>
      </c>
      <c r="BM101" s="625">
        <f t="shared" si="203"/>
        <v>1.6583763568605896</v>
      </c>
      <c r="BN101" s="625">
        <f t="shared" si="203"/>
        <v>1.3955097898799282</v>
      </c>
      <c r="BO101" s="625">
        <f t="shared" si="203"/>
        <v>1.1870589957988453</v>
      </c>
      <c r="BP101" s="625">
        <f t="shared" si="203"/>
        <v>0.87438280467722063</v>
      </c>
      <c r="BQ101" s="625">
        <f t="shared" si="203"/>
        <v>0.72772879036204408</v>
      </c>
      <c r="BR101" s="625">
        <f t="shared" si="203"/>
        <v>0.61717097774878515</v>
      </c>
      <c r="BS101" s="625">
        <f t="shared" si="203"/>
        <v>0.51411510205893562</v>
      </c>
      <c r="BT101" s="625">
        <f t="shared" si="203"/>
        <v>0.35958063110399435</v>
      </c>
      <c r="BU101" s="625">
        <f t="shared" si="203"/>
        <v>0.23002883802507035</v>
      </c>
      <c r="BV101" s="625">
        <f t="shared" si="203"/>
        <v>0.19855563325422906</v>
      </c>
      <c r="BW101" s="625">
        <f t="shared" si="203"/>
        <v>0.18132829033051712</v>
      </c>
      <c r="BX101" s="625">
        <f t="shared" si="203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1245</v>
      </c>
      <c r="K102" s="103" t="s">
        <v>1196</v>
      </c>
      <c r="L102" s="614" t="s">
        <v>20</v>
      </c>
      <c r="M102" s="34" t="s">
        <v>1471</v>
      </c>
      <c r="N102" s="616">
        <f t="shared" ref="N102:O102" si="204">+SUMIFS(N$67:N$89,$I$67:$I$89,$J102,$M$67:$M$89,$K102)</f>
        <v>4.3593517548323124</v>
      </c>
      <c r="O102" s="616">
        <f t="shared" si="204"/>
        <v>1.2759391450439788</v>
      </c>
      <c r="P102" s="617">
        <f t="shared" si="177"/>
        <v>0.2264193930205074</v>
      </c>
      <c r="Q102" s="618">
        <f t="shared" ref="Q102:V102" si="205">+SUMIFS(Q$67:Q$89,$I$67:$I$89,$J102,$M$67:$M$89,$K102)</f>
        <v>0</v>
      </c>
      <c r="R102" s="619">
        <f t="shared" si="205"/>
        <v>0</v>
      </c>
      <c r="S102" s="619">
        <f t="shared" si="205"/>
        <v>1.2759391450439788</v>
      </c>
      <c r="T102" s="619">
        <f t="shared" si="205"/>
        <v>0</v>
      </c>
      <c r="U102" s="619">
        <f t="shared" si="205"/>
        <v>0</v>
      </c>
      <c r="V102" s="619">
        <f t="shared" si="205"/>
        <v>0</v>
      </c>
      <c r="W102" s="559">
        <f t="shared" ref="W102:Y102" si="206">+IF($O102=0,"-",R102/$O102)</f>
        <v>0</v>
      </c>
      <c r="X102" s="559">
        <f t="shared" si="206"/>
        <v>1</v>
      </c>
      <c r="Y102" s="559">
        <f t="shared" si="206"/>
        <v>0</v>
      </c>
      <c r="Z102" s="559">
        <f t="shared" si="180"/>
        <v>0</v>
      </c>
      <c r="AA102" s="560">
        <f>+IF($T102=0,0,U102/$T102)</f>
        <v>0</v>
      </c>
      <c r="AB102" s="622">
        <f t="shared" si="182"/>
        <v>44.660401360000002</v>
      </c>
      <c r="AC102" s="623">
        <f t="shared" si="183"/>
        <v>7.9251279398869023</v>
      </c>
      <c r="AD102" s="563">
        <f t="shared" si="184"/>
        <v>34.54842039201656</v>
      </c>
      <c r="AE102" s="627">
        <f t="shared" si="185"/>
        <v>7.9251279398869032</v>
      </c>
      <c r="AF102" s="563">
        <f t="shared" si="186"/>
        <v>10.111980967983444</v>
      </c>
      <c r="AG102" s="627">
        <f t="shared" si="187"/>
        <v>7.9251279398869032</v>
      </c>
      <c r="AH102" s="616">
        <f t="shared" si="188"/>
        <v>5.6352908998762912</v>
      </c>
      <c r="AI102" s="616">
        <f t="shared" ref="AI102:AV102" si="207">+SUMIFS(BK$67:BK$89,$I$67:$I$89,$J102,$M$67:$M$89,$K102)</f>
        <v>5.6352908998762912</v>
      </c>
      <c r="AJ102" s="616">
        <f t="shared" si="207"/>
        <v>5.3251450871105153</v>
      </c>
      <c r="AK102" s="616">
        <f t="shared" si="207"/>
        <v>4.6229281525464918</v>
      </c>
      <c r="AL102" s="616">
        <f t="shared" si="207"/>
        <v>4.1547835295038089</v>
      </c>
      <c r="AM102" s="616">
        <f t="shared" si="207"/>
        <v>3.4993810572440527</v>
      </c>
      <c r="AN102" s="616">
        <f t="shared" si="207"/>
        <v>2.5162773488544192</v>
      </c>
      <c r="AO102" s="616">
        <f t="shared" si="207"/>
        <v>2.0247254946596041</v>
      </c>
      <c r="AP102" s="616">
        <f t="shared" si="207"/>
        <v>1.6970242585297266</v>
      </c>
      <c r="AQ102" s="616">
        <f t="shared" si="207"/>
        <v>1.4629519470083854</v>
      </c>
      <c r="AR102" s="616">
        <f t="shared" si="207"/>
        <v>1.1118434797263739</v>
      </c>
      <c r="AS102" s="616">
        <f t="shared" si="207"/>
        <v>0.99480732396570282</v>
      </c>
      <c r="AT102" s="616">
        <f t="shared" si="207"/>
        <v>0.9167832201252627</v>
      </c>
      <c r="AU102" s="616">
        <f t="shared" si="207"/>
        <v>0.83875911628481048</v>
      </c>
      <c r="AV102" s="616">
        <f t="shared" si="207"/>
        <v>0.72172296052414664</v>
      </c>
      <c r="AW102" s="625">
        <f t="shared" ref="AW102:BJ102" si="208">+AI102*(100%-$P102)</f>
        <v>4.3593517548323124</v>
      </c>
      <c r="AX102" s="625">
        <f t="shared" si="208"/>
        <v>4.1194289687408157</v>
      </c>
      <c r="AY102" s="625">
        <f t="shared" si="208"/>
        <v>3.5762075662694994</v>
      </c>
      <c r="AZ102" s="625">
        <f t="shared" si="208"/>
        <v>3.214059964621955</v>
      </c>
      <c r="BA102" s="625">
        <f t="shared" si="208"/>
        <v>2.7070533223153928</v>
      </c>
      <c r="BB102" s="625">
        <f t="shared" si="208"/>
        <v>1.9465433588555501</v>
      </c>
      <c r="BC102" s="625">
        <f t="shared" si="208"/>
        <v>1.56628837712563</v>
      </c>
      <c r="BD102" s="625">
        <f t="shared" si="208"/>
        <v>1.3127850559723493</v>
      </c>
      <c r="BE102" s="625">
        <f t="shared" si="208"/>
        <v>1.1317112551485773</v>
      </c>
      <c r="BF102" s="625">
        <f t="shared" si="208"/>
        <v>0.86010055391291951</v>
      </c>
      <c r="BG102" s="625">
        <f t="shared" si="208"/>
        <v>0.76956365350103317</v>
      </c>
      <c r="BH102" s="625">
        <f t="shared" si="208"/>
        <v>0.70920571989311454</v>
      </c>
      <c r="BI102" s="625">
        <f t="shared" si="208"/>
        <v>0.64884778628518647</v>
      </c>
      <c r="BJ102" s="625">
        <f t="shared" si="208"/>
        <v>0.55831088587330568</v>
      </c>
      <c r="BK102" s="625">
        <f t="shared" ref="BK102:BX102" si="209">+AI102*($P102)</f>
        <v>1.2759391450439788</v>
      </c>
      <c r="BL102" s="625">
        <f t="shared" si="209"/>
        <v>1.2057161183696998</v>
      </c>
      <c r="BM102" s="625">
        <f t="shared" si="209"/>
        <v>1.0467205862769924</v>
      </c>
      <c r="BN102" s="625">
        <f t="shared" si="209"/>
        <v>0.94072356488185382</v>
      </c>
      <c r="BO102" s="625">
        <f t="shared" si="209"/>
        <v>0.79232773492865982</v>
      </c>
      <c r="BP102" s="625">
        <f t="shared" si="209"/>
        <v>0.56973398999886915</v>
      </c>
      <c r="BQ102" s="625">
        <f t="shared" si="209"/>
        <v>0.45843711753397415</v>
      </c>
      <c r="BR102" s="625">
        <f t="shared" si="209"/>
        <v>0.38423920255737731</v>
      </c>
      <c r="BS102" s="625">
        <f t="shared" si="209"/>
        <v>0.33124069185980815</v>
      </c>
      <c r="BT102" s="625">
        <f t="shared" si="209"/>
        <v>0.25174292581345442</v>
      </c>
      <c r="BU102" s="625">
        <f t="shared" si="209"/>
        <v>0.2252436704646697</v>
      </c>
      <c r="BV102" s="625">
        <f t="shared" si="209"/>
        <v>0.20757750023214822</v>
      </c>
      <c r="BW102" s="625">
        <f t="shared" si="209"/>
        <v>0.18991132999962398</v>
      </c>
      <c r="BX102" s="625">
        <f t="shared" si="209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1247</v>
      </c>
      <c r="K103" s="103" t="s">
        <v>1195</v>
      </c>
      <c r="L103" s="614" t="s">
        <v>24</v>
      </c>
      <c r="M103" s="34" t="s">
        <v>1472</v>
      </c>
      <c r="N103" s="616">
        <f t="shared" ref="N103:O103" si="210">+SUMIFS(N$67:N$89,$I$67:$I$89,$J103,$M$67:$M$89,$K103)</f>
        <v>160.64590837999947</v>
      </c>
      <c r="O103" s="616">
        <f t="shared" si="210"/>
        <v>4.7988803578001527</v>
      </c>
      <c r="P103" s="617">
        <f t="shared" si="177"/>
        <v>2.9005932398423979E-2</v>
      </c>
      <c r="Q103" s="618">
        <f t="shared" ref="Q103:V103" si="211">+SUMIFS(Q$67:Q$89,$I$67:$I$89,$J103,$M$67:$M$89,$K103)</f>
        <v>2.2768748695271519</v>
      </c>
      <c r="R103" s="619">
        <f t="shared" si="211"/>
        <v>1.7521170575840492</v>
      </c>
      <c r="S103" s="619">
        <f t="shared" si="211"/>
        <v>0.7698884306889513</v>
      </c>
      <c r="T103" s="619">
        <f t="shared" si="211"/>
        <v>1.3766222989813104</v>
      </c>
      <c r="U103" s="619">
        <f t="shared" si="211"/>
        <v>0</v>
      </c>
      <c r="V103" s="619">
        <f t="shared" si="211"/>
        <v>0.90025257054584151</v>
      </c>
      <c r="W103" s="559">
        <f t="shared" ref="W103:Y103" si="212">+IF($O103=0,"-",R103/$O103)</f>
        <v>0.36510955200959305</v>
      </c>
      <c r="X103" s="559">
        <f t="shared" si="212"/>
        <v>0.16043084496523574</v>
      </c>
      <c r="Y103" s="559">
        <f t="shared" si="212"/>
        <v>0.28686322565715427</v>
      </c>
      <c r="Z103" s="559">
        <f t="shared" si="180"/>
        <v>0.18759637736801693</v>
      </c>
      <c r="AA103" s="560">
        <f t="shared" ref="AA103:AA104" si="213">+IF($T103=0,"-",U103/$T103)</f>
        <v>0</v>
      </c>
      <c r="AB103" s="622">
        <f t="shared" si="182"/>
        <v>1058.6607668001971</v>
      </c>
      <c r="AC103" s="623">
        <f t="shared" si="183"/>
        <v>6.3988764764176702</v>
      </c>
      <c r="AD103" s="563">
        <f t="shared" si="184"/>
        <v>1027.9533241655267</v>
      </c>
      <c r="AE103" s="627">
        <f t="shared" si="185"/>
        <v>6.3988764764176693</v>
      </c>
      <c r="AF103" s="563">
        <f t="shared" si="186"/>
        <v>30.707442634670208</v>
      </c>
      <c r="AG103" s="627">
        <f t="shared" si="187"/>
        <v>6.3988764764176702</v>
      </c>
      <c r="AH103" s="616">
        <f t="shared" si="188"/>
        <v>165.44478873779963</v>
      </c>
      <c r="AI103" s="616">
        <f t="shared" ref="AI103:AV103" si="214">+SUMIFS(BK$67:BK$89,$I$67:$I$89,$J103,$M$67:$M$89,$K103)</f>
        <v>165.44478873779963</v>
      </c>
      <c r="AJ103" s="616">
        <f t="shared" si="214"/>
        <v>153.89107121101256</v>
      </c>
      <c r="AK103" s="616">
        <f t="shared" si="214"/>
        <v>117.34515536171116</v>
      </c>
      <c r="AL103" s="616">
        <f t="shared" si="214"/>
        <v>91.230677358831571</v>
      </c>
      <c r="AM103" s="616">
        <f t="shared" si="214"/>
        <v>73.19355276753096</v>
      </c>
      <c r="AN103" s="616">
        <f t="shared" si="214"/>
        <v>46.137865880580037</v>
      </c>
      <c r="AO103" s="616">
        <f t="shared" si="214"/>
        <v>34.93812928869707</v>
      </c>
      <c r="AP103" s="616">
        <f t="shared" si="214"/>
        <v>27.471638227441758</v>
      </c>
      <c r="AQ103" s="616">
        <f t="shared" si="214"/>
        <v>23.215461459279428</v>
      </c>
      <c r="AR103" s="616">
        <f t="shared" si="214"/>
        <v>16.831196307035714</v>
      </c>
      <c r="AS103" s="616">
        <f t="shared" si="214"/>
        <v>12.14520015893914</v>
      </c>
      <c r="AT103" s="616">
        <f t="shared" si="214"/>
        <v>9.7568222406346106</v>
      </c>
      <c r="AU103" s="616">
        <f t="shared" si="214"/>
        <v>7.7567559465187346</v>
      </c>
      <c r="AV103" s="616">
        <f t="shared" si="214"/>
        <v>5.7455960840757854</v>
      </c>
      <c r="AW103" s="625">
        <f t="shared" ref="AW103:BJ103" si="215">+AI103*(100%-$P103)</f>
        <v>160.64590837999947</v>
      </c>
      <c r="AX103" s="625">
        <f t="shared" si="215"/>
        <v>149.42731720274489</v>
      </c>
      <c r="AY103" s="625">
        <f t="shared" si="215"/>
        <v>113.94144971800681</v>
      </c>
      <c r="AZ103" s="625">
        <f t="shared" si="215"/>
        <v>88.584446498698867</v>
      </c>
      <c r="BA103" s="625">
        <f t="shared" si="215"/>
        <v>71.070505523955475</v>
      </c>
      <c r="BB103" s="625">
        <f t="shared" si="215"/>
        <v>44.799594061840381</v>
      </c>
      <c r="BC103" s="625">
        <f t="shared" si="215"/>
        <v>33.924716272421726</v>
      </c>
      <c r="BD103" s="625">
        <f t="shared" si="215"/>
        <v>26.674797746142623</v>
      </c>
      <c r="BE103" s="625">
        <f t="shared" si="215"/>
        <v>22.542075353593351</v>
      </c>
      <c r="BF103" s="625">
        <f t="shared" si="215"/>
        <v>16.342991764769234</v>
      </c>
      <c r="BG103" s="625">
        <f t="shared" si="215"/>
        <v>11.792917304163623</v>
      </c>
      <c r="BH103" s="625">
        <f t="shared" si="215"/>
        <v>9.4738165142993243</v>
      </c>
      <c r="BI103" s="625">
        <f t="shared" si="215"/>
        <v>7.5317640079029387</v>
      </c>
      <c r="BJ103" s="625">
        <f t="shared" si="215"/>
        <v>5.578939712472434</v>
      </c>
      <c r="BK103" s="625">
        <f t="shared" ref="BK103:BX103" si="216">+AI103*($P103)</f>
        <v>4.7988803578001527</v>
      </c>
      <c r="BL103" s="625">
        <f t="shared" si="216"/>
        <v>4.4637540082676805</v>
      </c>
      <c r="BM103" s="625">
        <f t="shared" si="216"/>
        <v>3.4037056437043534</v>
      </c>
      <c r="BN103" s="625">
        <f t="shared" si="216"/>
        <v>2.6462308601326976</v>
      </c>
      <c r="BO103" s="625">
        <f t="shared" si="216"/>
        <v>2.1230472435754812</v>
      </c>
      <c r="BP103" s="625">
        <f t="shared" si="216"/>
        <v>1.3382718187396567</v>
      </c>
      <c r="BQ103" s="625">
        <f t="shared" si="216"/>
        <v>1.0134130162753441</v>
      </c>
      <c r="BR103" s="625">
        <f t="shared" si="216"/>
        <v>0.79684048129913565</v>
      </c>
      <c r="BS103" s="625">
        <f t="shared" si="216"/>
        <v>0.67338610568607637</v>
      </c>
      <c r="BT103" s="625">
        <f t="shared" si="216"/>
        <v>0.48820454226648125</v>
      </c>
      <c r="BU103" s="625">
        <f t="shared" si="216"/>
        <v>0.35228285477551685</v>
      </c>
      <c r="BV103" s="625">
        <f t="shared" si="216"/>
        <v>0.28300572633528709</v>
      </c>
      <c r="BW103" s="625">
        <f t="shared" si="216"/>
        <v>0.22499193861579561</v>
      </c>
      <c r="BX103" s="625">
        <f t="shared" si="216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1256</v>
      </c>
      <c r="K104" s="103" t="s">
        <v>1195</v>
      </c>
      <c r="L104" s="614" t="s">
        <v>28</v>
      </c>
      <c r="M104" s="626" t="s">
        <v>1473</v>
      </c>
      <c r="N104" s="616">
        <f t="shared" ref="N104:O104" si="217">+SUMIFS(N$67:N$89,$I$67:$I$89,$J104,$M$67:$M$89,$K104)</f>
        <v>28.394686542809108</v>
      </c>
      <c r="O104" s="616">
        <f t="shared" si="217"/>
        <v>1.4684920173037528</v>
      </c>
      <c r="P104" s="617">
        <f t="shared" si="177"/>
        <v>4.9174002504380532E-2</v>
      </c>
      <c r="Q104" s="618">
        <f t="shared" ref="Q104:V104" si="218">+SUMIFS(Q$67:Q$89,$I$67:$I$89,$J104,$M$67:$M$89,$K104)</f>
        <v>0.61987830491387741</v>
      </c>
      <c r="R104" s="619">
        <f t="shared" si="218"/>
        <v>0.20575788232194489</v>
      </c>
      <c r="S104" s="619">
        <f t="shared" si="218"/>
        <v>0.24158707246769739</v>
      </c>
      <c r="T104" s="619">
        <f t="shared" si="218"/>
        <v>1.0198649246869729</v>
      </c>
      <c r="U104" s="619">
        <f t="shared" si="218"/>
        <v>0.40126875760023273</v>
      </c>
      <c r="V104" s="619">
        <f t="shared" si="218"/>
        <v>1.2821378271373829E-3</v>
      </c>
      <c r="W104" s="559">
        <f t="shared" ref="W104:Y104" si="219">+IF($O104=0,"-",R104/$O104)</f>
        <v>0.14011508397555322</v>
      </c>
      <c r="X104" s="559">
        <f t="shared" si="219"/>
        <v>0.16451371176757706</v>
      </c>
      <c r="Y104" s="559">
        <f t="shared" si="219"/>
        <v>0.69449810599550377</v>
      </c>
      <c r="Z104" s="559">
        <f t="shared" si="180"/>
        <v>8.7309826136574556E-4</v>
      </c>
      <c r="AA104" s="560">
        <f t="shared" si="213"/>
        <v>0.39345284643786937</v>
      </c>
      <c r="AB104" s="622">
        <f t="shared" si="182"/>
        <v>283.33235609852005</v>
      </c>
      <c r="AC104" s="623">
        <f t="shared" si="183"/>
        <v>9.4876824825658908</v>
      </c>
      <c r="AD104" s="563">
        <f t="shared" si="184"/>
        <v>269.39977011015941</v>
      </c>
      <c r="AE104" s="627">
        <f t="shared" si="185"/>
        <v>9.4876824825658908</v>
      </c>
      <c r="AF104" s="563">
        <f t="shared" si="186"/>
        <v>13.932585988360662</v>
      </c>
      <c r="AG104" s="627">
        <f t="shared" si="187"/>
        <v>9.4876824825658908</v>
      </c>
      <c r="AH104" s="616">
        <f t="shared" si="188"/>
        <v>29.863178560112861</v>
      </c>
      <c r="AI104" s="616">
        <f t="shared" ref="AI104:AV104" si="220">+SUMIFS(BK$67:BK$89,$I$67:$I$89,$J104,$M$67:$M$89,$K104)</f>
        <v>29.863178560112861</v>
      </c>
      <c r="AJ104" s="616">
        <f t="shared" si="220"/>
        <v>27.835107673690871</v>
      </c>
      <c r="AK104" s="616">
        <f t="shared" si="220"/>
        <v>23.993658119029163</v>
      </c>
      <c r="AL104" s="616">
        <f t="shared" si="220"/>
        <v>20.274712206938659</v>
      </c>
      <c r="AM104" s="616">
        <f t="shared" si="220"/>
        <v>17.1777557482433</v>
      </c>
      <c r="AN104" s="616">
        <f t="shared" si="220"/>
        <v>12.747595139993381</v>
      </c>
      <c r="AO104" s="616">
        <f t="shared" si="220"/>
        <v>10.454848192395344</v>
      </c>
      <c r="AP104" s="616">
        <f t="shared" si="220"/>
        <v>8.9263502273299657</v>
      </c>
      <c r="AQ104" s="616">
        <f t="shared" si="220"/>
        <v>7.8276051073700268</v>
      </c>
      <c r="AR104" s="616">
        <f t="shared" si="220"/>
        <v>6.2430911328234622</v>
      </c>
      <c r="AS104" s="616">
        <f t="shared" si="220"/>
        <v>4.9217966700768256</v>
      </c>
      <c r="AT104" s="616">
        <f t="shared" si="220"/>
        <v>4.3266071106673554</v>
      </c>
      <c r="AU104" s="616">
        <f t="shared" si="220"/>
        <v>3.9981896052775259</v>
      </c>
      <c r="AV104" s="616">
        <f t="shared" si="220"/>
        <v>3.5055633471927838</v>
      </c>
      <c r="AW104" s="625">
        <f t="shared" ref="AW104:BJ104" si="221">+AI104*(100%-$P104)</f>
        <v>28.394686542809108</v>
      </c>
      <c r="AX104" s="625">
        <f t="shared" si="221"/>
        <v>26.466344019235095</v>
      </c>
      <c r="AY104" s="625">
        <f t="shared" si="221"/>
        <v>22.813793914594772</v>
      </c>
      <c r="AZ104" s="625">
        <f t="shared" si="221"/>
        <v>19.277723458099064</v>
      </c>
      <c r="BA104" s="625">
        <f t="shared" si="221"/>
        <v>16.333056744059547</v>
      </c>
      <c r="BB104" s="625">
        <f t="shared" si="221"/>
        <v>12.120744864654517</v>
      </c>
      <c r="BC104" s="625">
        <f t="shared" si="221"/>
        <v>9.9407414611995772</v>
      </c>
      <c r="BD104" s="625">
        <f t="shared" si="221"/>
        <v>8.4874058588962651</v>
      </c>
      <c r="BE104" s="625">
        <f t="shared" si="221"/>
        <v>7.4426904342169111</v>
      </c>
      <c r="BF104" s="625">
        <f t="shared" si="221"/>
        <v>5.9360933538229252</v>
      </c>
      <c r="BG104" s="625">
        <f t="shared" si="221"/>
        <v>4.6797722282964163</v>
      </c>
      <c r="BH104" s="625">
        <f t="shared" si="221"/>
        <v>4.1138505217719281</v>
      </c>
      <c r="BI104" s="625">
        <f t="shared" si="221"/>
        <v>3.8015826196146207</v>
      </c>
      <c r="BJ104" s="625">
        <f t="shared" si="221"/>
        <v>3.3331807663786615</v>
      </c>
      <c r="BK104" s="625">
        <f t="shared" ref="BK104:BX104" si="222">+AI104*($P104)</f>
        <v>1.4684920173037528</v>
      </c>
      <c r="BL104" s="625">
        <f t="shared" si="222"/>
        <v>1.3687636544557766</v>
      </c>
      <c r="BM104" s="625">
        <f t="shared" si="222"/>
        <v>1.1798642044343903</v>
      </c>
      <c r="BN104" s="625">
        <f t="shared" si="222"/>
        <v>0.99698874883959621</v>
      </c>
      <c r="BO104" s="625">
        <f t="shared" si="222"/>
        <v>0.8446990041837531</v>
      </c>
      <c r="BP104" s="625">
        <f t="shared" si="222"/>
        <v>0.62685027533886362</v>
      </c>
      <c r="BQ104" s="625">
        <f t="shared" si="222"/>
        <v>0.51410673119576689</v>
      </c>
      <c r="BR104" s="625">
        <f t="shared" si="222"/>
        <v>0.43894436843370144</v>
      </c>
      <c r="BS104" s="625">
        <f t="shared" si="222"/>
        <v>0.38491467315311556</v>
      </c>
      <c r="BT104" s="625">
        <f t="shared" si="222"/>
        <v>0.30699777900053682</v>
      </c>
      <c r="BU104" s="625">
        <f t="shared" si="222"/>
        <v>0.24202444178040958</v>
      </c>
      <c r="BV104" s="625">
        <f t="shared" si="222"/>
        <v>0.21275658889542715</v>
      </c>
      <c r="BW104" s="625">
        <f t="shared" si="222"/>
        <v>0.19660698566290527</v>
      </c>
      <c r="BX104" s="625">
        <f t="shared" si="222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1264</v>
      </c>
      <c r="K105" s="103" t="s">
        <v>1396</v>
      </c>
      <c r="L105" s="614" t="s">
        <v>31</v>
      </c>
      <c r="M105" s="626" t="s">
        <v>1474</v>
      </c>
      <c r="N105" s="616">
        <f t="shared" ref="N105:O105" si="223">+SUMIFS(N$67:N$89,$I$67:$I$89,$J105,$M$67:$M$89,$K105)</f>
        <v>7.4922948422413441E-2</v>
      </c>
      <c r="O105" s="616">
        <f t="shared" si="223"/>
        <v>13.730938960633223</v>
      </c>
      <c r="P105" s="617">
        <f t="shared" si="177"/>
        <v>0.99457310605335914</v>
      </c>
      <c r="Q105" s="618">
        <f t="shared" ref="Q105:V105" si="224">+SUMIFS(Q$67:Q$89,$I$67:$I$89,$J105,$M$67:$M$89,$K105)</f>
        <v>13.465657577297089</v>
      </c>
      <c r="R105" s="619">
        <f t="shared" si="224"/>
        <v>2.2906856139958444E-2</v>
      </c>
      <c r="S105" s="619">
        <f t="shared" si="224"/>
        <v>0.24237452719617553</v>
      </c>
      <c r="T105" s="619">
        <f t="shared" si="224"/>
        <v>0</v>
      </c>
      <c r="U105" s="619">
        <f t="shared" si="224"/>
        <v>0</v>
      </c>
      <c r="V105" s="619">
        <f t="shared" si="224"/>
        <v>13.465657577297089</v>
      </c>
      <c r="W105" s="559">
        <f t="shared" ref="W105:Y105" si="225">+IF($O105=0,"-",R105/$O105)</f>
        <v>1.6682658196670085E-3</v>
      </c>
      <c r="X105" s="559">
        <f t="shared" si="225"/>
        <v>1.7651708152739327E-2</v>
      </c>
      <c r="Y105" s="559">
        <f t="shared" si="225"/>
        <v>0</v>
      </c>
      <c r="Z105" s="559">
        <f t="shared" si="180"/>
        <v>0.98068002602759363</v>
      </c>
      <c r="AA105" s="560">
        <f>+IF($T105=0,0,U105/$T105)</f>
        <v>0</v>
      </c>
      <c r="AB105" s="622">
        <f t="shared" si="182"/>
        <v>157.75252398843665</v>
      </c>
      <c r="AC105" s="623">
        <f t="shared" si="183"/>
        <v>11.426488619661082</v>
      </c>
      <c r="AD105" s="563">
        <f t="shared" si="184"/>
        <v>0.85610621750016469</v>
      </c>
      <c r="AE105" s="627">
        <f t="shared" si="185"/>
        <v>11.426488619661127</v>
      </c>
      <c r="AF105" s="563">
        <f t="shared" si="186"/>
        <v>156.89641777093649</v>
      </c>
      <c r="AG105" s="627">
        <f t="shared" si="187"/>
        <v>11.426488619661082</v>
      </c>
      <c r="AH105" s="616">
        <f t="shared" si="188"/>
        <v>13.805861909055636</v>
      </c>
      <c r="AI105" s="616">
        <f t="shared" ref="AI105:AV105" si="226">+SUMIFS(BK$67:BK$89,$I$67:$I$89,$J105,$M$67:$M$89,$K105)</f>
        <v>13.805861909055636</v>
      </c>
      <c r="AJ105" s="616">
        <f t="shared" si="226"/>
        <v>13.555017760421741</v>
      </c>
      <c r="AK105" s="616">
        <f t="shared" si="226"/>
        <v>13.580367821962039</v>
      </c>
      <c r="AL105" s="616">
        <f t="shared" si="226"/>
        <v>11.513307662146612</v>
      </c>
      <c r="AM105" s="616">
        <f t="shared" si="226"/>
        <v>9.8123614879947141</v>
      </c>
      <c r="AN105" s="616">
        <f t="shared" si="226"/>
        <v>7.6975094726589486</v>
      </c>
      <c r="AO105" s="616">
        <f t="shared" si="226"/>
        <v>6.213889795624481</v>
      </c>
      <c r="AP105" s="616">
        <f t="shared" si="226"/>
        <v>5.3187837596252985</v>
      </c>
      <c r="AQ105" s="616">
        <f t="shared" si="226"/>
        <v>4.5635467610294596</v>
      </c>
      <c r="AR105" s="616">
        <f t="shared" si="226"/>
        <v>3.6682050453013875</v>
      </c>
      <c r="AS105" s="616">
        <f t="shared" si="226"/>
        <v>2.8293262902704885</v>
      </c>
      <c r="AT105" s="616">
        <f t="shared" si="226"/>
        <v>2.286975390331242</v>
      </c>
      <c r="AU105" s="616">
        <f t="shared" si="226"/>
        <v>1.7612347432495417</v>
      </c>
      <c r="AV105" s="616">
        <f t="shared" si="226"/>
        <v>0.97262377262695476</v>
      </c>
      <c r="AW105" s="625">
        <f t="shared" ref="AW105:BJ105" si="227">+AI105*(100%-$P105)</f>
        <v>7.4922948422413732E-2</v>
      </c>
      <c r="AX105" s="625">
        <f t="shared" si="227"/>
        <v>7.3561643830642162E-2</v>
      </c>
      <c r="AY105" s="625">
        <f t="shared" si="227"/>
        <v>7.3699215926162173E-2</v>
      </c>
      <c r="AZ105" s="625">
        <f t="shared" si="227"/>
        <v>6.2481499657517342E-2</v>
      </c>
      <c r="BA105" s="625">
        <f t="shared" si="227"/>
        <v>5.3250645161450463E-2</v>
      </c>
      <c r="BB105" s="625">
        <f t="shared" si="227"/>
        <v>4.1773567561383562E-2</v>
      </c>
      <c r="BC105" s="625">
        <f t="shared" si="227"/>
        <v>3.372212091696794E-2</v>
      </c>
      <c r="BD105" s="625">
        <f t="shared" si="227"/>
        <v>2.8864475388602272E-2</v>
      </c>
      <c r="BE105" s="625">
        <f t="shared" si="227"/>
        <v>2.47658842926433E-2</v>
      </c>
      <c r="BF105" s="625">
        <f t="shared" si="227"/>
        <v>1.990695975538358E-2</v>
      </c>
      <c r="BG105" s="625">
        <f t="shared" si="227"/>
        <v>1.5354453717740768E-2</v>
      </c>
      <c r="BH105" s="625">
        <f t="shared" si="227"/>
        <v>1.2411172901905246E-2</v>
      </c>
      <c r="BI105" s="625">
        <f t="shared" si="227"/>
        <v>9.5580341667545164E-3</v>
      </c>
      <c r="BJ105" s="625">
        <f t="shared" si="227"/>
        <v>5.2783260640282218E-3</v>
      </c>
      <c r="BK105" s="625">
        <f t="shared" ref="BK105:BX105" si="228">+AI105*($P105)</f>
        <v>13.730938960633223</v>
      </c>
      <c r="BL105" s="625">
        <f t="shared" si="228"/>
        <v>13.481456116591099</v>
      </c>
      <c r="BM105" s="625">
        <f t="shared" si="228"/>
        <v>13.506668606035877</v>
      </c>
      <c r="BN105" s="625">
        <f t="shared" si="228"/>
        <v>11.450826162489095</v>
      </c>
      <c r="BO105" s="625">
        <f t="shared" si="228"/>
        <v>9.7591108428332642</v>
      </c>
      <c r="BP105" s="625">
        <f t="shared" si="228"/>
        <v>7.6557359050975649</v>
      </c>
      <c r="BQ105" s="625">
        <f t="shared" si="228"/>
        <v>6.1801676747075129</v>
      </c>
      <c r="BR105" s="625">
        <f t="shared" si="228"/>
        <v>5.2899192842366958</v>
      </c>
      <c r="BS105" s="625">
        <f t="shared" si="228"/>
        <v>4.5387808767368165</v>
      </c>
      <c r="BT105" s="625">
        <f t="shared" si="228"/>
        <v>3.6482980855460041</v>
      </c>
      <c r="BU105" s="625">
        <f t="shared" si="228"/>
        <v>2.813971836552748</v>
      </c>
      <c r="BV105" s="625">
        <f t="shared" si="228"/>
        <v>2.2745642174293366</v>
      </c>
      <c r="BW105" s="625">
        <f t="shared" si="228"/>
        <v>1.7516767090827872</v>
      </c>
      <c r="BX105" s="625">
        <f t="shared" si="228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1226</v>
      </c>
      <c r="K106" s="103" t="s">
        <v>1195</v>
      </c>
      <c r="L106" s="614" t="s">
        <v>1475</v>
      </c>
      <c r="M106" s="103"/>
      <c r="N106" s="616">
        <f t="shared" ref="N106:V106" si="229">+SUMIFS(N$67:N$86,$I$67:$I$86,$J106,$M$67:$M$86,$K106)</f>
        <v>0</v>
      </c>
      <c r="O106" s="616">
        <f t="shared" si="229"/>
        <v>0</v>
      </c>
      <c r="P106" s="618">
        <f t="shared" si="229"/>
        <v>0</v>
      </c>
      <c r="Q106" s="618">
        <f t="shared" si="229"/>
        <v>0</v>
      </c>
      <c r="R106" s="619">
        <f t="shared" si="229"/>
        <v>0</v>
      </c>
      <c r="S106" s="619">
        <f t="shared" si="229"/>
        <v>0</v>
      </c>
      <c r="T106" s="619">
        <f t="shared" si="229"/>
        <v>0</v>
      </c>
      <c r="U106" s="619">
        <f t="shared" si="229"/>
        <v>0</v>
      </c>
      <c r="V106" s="619">
        <f t="shared" si="229"/>
        <v>0</v>
      </c>
      <c r="W106" s="559" t="str">
        <f t="shared" ref="W106:Y106" si="230">+IF($O106=0,"-",R106/$O106)</f>
        <v>-</v>
      </c>
      <c r="X106" s="559" t="str">
        <f t="shared" si="230"/>
        <v>-</v>
      </c>
      <c r="Y106" s="559" t="str">
        <f t="shared" si="230"/>
        <v>-</v>
      </c>
      <c r="Z106" s="559" t="str">
        <f t="shared" si="180"/>
        <v>-</v>
      </c>
      <c r="AA106" s="560" t="str">
        <f t="shared" ref="AA106:AA112" si="231">+IF($T106=0,"-",U106/$T106)</f>
        <v>-</v>
      </c>
      <c r="AB106" s="622">
        <f t="shared" ref="AB106:AC106" si="232">+SUMIFS(AB$67:AB$86,$I$67:$I$86,$J106,$M$67:$M$86,$K106)</f>
        <v>0</v>
      </c>
      <c r="AC106" s="622">
        <f t="shared" si="232"/>
        <v>0</v>
      </c>
      <c r="AD106" s="627">
        <f t="shared" si="184"/>
        <v>0</v>
      </c>
      <c r="AE106" s="628" t="str">
        <f t="shared" si="185"/>
        <v>-</v>
      </c>
      <c r="AF106" s="627">
        <f t="shared" si="186"/>
        <v>0</v>
      </c>
      <c r="AG106" s="628" t="str">
        <f t="shared" ref="AG106:AG112" si="233">+IF(P106=0,"-",AF106/P106)</f>
        <v>-</v>
      </c>
      <c r="AH106" s="616">
        <f t="shared" ref="AH106:AH112" si="234">+SUMIFS(AH$67:AH$86,$I$67:$I$86,$J106,$M$67:$M$86,$K106)</f>
        <v>0</v>
      </c>
      <c r="AI106" s="616">
        <f t="shared" ref="AI106:AV106" si="235">+SUMIFS(BK$67:BK$86,$I$67:$I$86,$J106,$M$67:$M$86,$K106)</f>
        <v>0</v>
      </c>
      <c r="AJ106" s="616">
        <f t="shared" si="235"/>
        <v>0</v>
      </c>
      <c r="AK106" s="616">
        <f t="shared" si="235"/>
        <v>0</v>
      </c>
      <c r="AL106" s="616">
        <f t="shared" si="235"/>
        <v>0</v>
      </c>
      <c r="AM106" s="616">
        <f t="shared" si="235"/>
        <v>0</v>
      </c>
      <c r="AN106" s="616">
        <f t="shared" si="235"/>
        <v>0</v>
      </c>
      <c r="AO106" s="616">
        <f t="shared" si="235"/>
        <v>0</v>
      </c>
      <c r="AP106" s="616">
        <f t="shared" si="235"/>
        <v>0</v>
      </c>
      <c r="AQ106" s="616">
        <f t="shared" si="235"/>
        <v>0</v>
      </c>
      <c r="AR106" s="616">
        <f t="shared" si="235"/>
        <v>0</v>
      </c>
      <c r="AS106" s="616">
        <f t="shared" si="235"/>
        <v>0</v>
      </c>
      <c r="AT106" s="616">
        <f t="shared" si="235"/>
        <v>0</v>
      </c>
      <c r="AU106" s="616">
        <f t="shared" si="235"/>
        <v>0</v>
      </c>
      <c r="AV106" s="616">
        <f t="shared" si="235"/>
        <v>0</v>
      </c>
      <c r="AW106" s="625">
        <f t="shared" ref="AW106:BJ106" si="236">+AI106*(100%-$P106)</f>
        <v>0</v>
      </c>
      <c r="AX106" s="625">
        <f t="shared" si="236"/>
        <v>0</v>
      </c>
      <c r="AY106" s="625">
        <f t="shared" si="236"/>
        <v>0</v>
      </c>
      <c r="AZ106" s="625">
        <f t="shared" si="236"/>
        <v>0</v>
      </c>
      <c r="BA106" s="625">
        <f t="shared" si="236"/>
        <v>0</v>
      </c>
      <c r="BB106" s="625">
        <f t="shared" si="236"/>
        <v>0</v>
      </c>
      <c r="BC106" s="625">
        <f t="shared" si="236"/>
        <v>0</v>
      </c>
      <c r="BD106" s="625">
        <f t="shared" si="236"/>
        <v>0</v>
      </c>
      <c r="BE106" s="625">
        <f t="shared" si="236"/>
        <v>0</v>
      </c>
      <c r="BF106" s="625">
        <f t="shared" si="236"/>
        <v>0</v>
      </c>
      <c r="BG106" s="625">
        <f t="shared" si="236"/>
        <v>0</v>
      </c>
      <c r="BH106" s="625">
        <f t="shared" si="236"/>
        <v>0</v>
      </c>
      <c r="BI106" s="625">
        <f t="shared" si="236"/>
        <v>0</v>
      </c>
      <c r="BJ106" s="625">
        <f t="shared" si="236"/>
        <v>0</v>
      </c>
      <c r="BK106" s="625">
        <f t="shared" ref="BK106:BX106" si="237">+AI106*($P106)</f>
        <v>0</v>
      </c>
      <c r="BL106" s="625">
        <f t="shared" si="237"/>
        <v>0</v>
      </c>
      <c r="BM106" s="625">
        <f t="shared" si="237"/>
        <v>0</v>
      </c>
      <c r="BN106" s="625">
        <f t="shared" si="237"/>
        <v>0</v>
      </c>
      <c r="BO106" s="625">
        <f t="shared" si="237"/>
        <v>0</v>
      </c>
      <c r="BP106" s="625">
        <f t="shared" si="237"/>
        <v>0</v>
      </c>
      <c r="BQ106" s="625">
        <f t="shared" si="237"/>
        <v>0</v>
      </c>
      <c r="BR106" s="625">
        <f t="shared" si="237"/>
        <v>0</v>
      </c>
      <c r="BS106" s="625">
        <f t="shared" si="237"/>
        <v>0</v>
      </c>
      <c r="BT106" s="625">
        <f t="shared" si="237"/>
        <v>0</v>
      </c>
      <c r="BU106" s="625">
        <f t="shared" si="237"/>
        <v>0</v>
      </c>
      <c r="BV106" s="625">
        <f t="shared" si="237"/>
        <v>0</v>
      </c>
      <c r="BW106" s="625">
        <f t="shared" si="237"/>
        <v>0</v>
      </c>
      <c r="BX106" s="625">
        <f t="shared" si="237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1245</v>
      </c>
      <c r="K107" s="103" t="s">
        <v>1195</v>
      </c>
      <c r="L107" s="614" t="s">
        <v>1475</v>
      </c>
      <c r="M107" s="103"/>
      <c r="N107" s="616">
        <f t="shared" ref="N107:V107" si="238">+SUMIFS(N$67:N$86,$I$67:$I$86,$J107,$M$67:$M$86,$K107)</f>
        <v>0</v>
      </c>
      <c r="O107" s="616">
        <f t="shared" si="238"/>
        <v>0</v>
      </c>
      <c r="P107" s="618">
        <f t="shared" si="238"/>
        <v>0</v>
      </c>
      <c r="Q107" s="618">
        <f t="shared" si="238"/>
        <v>0</v>
      </c>
      <c r="R107" s="619">
        <f t="shared" si="238"/>
        <v>0</v>
      </c>
      <c r="S107" s="619">
        <f t="shared" si="238"/>
        <v>0</v>
      </c>
      <c r="T107" s="619">
        <f t="shared" si="238"/>
        <v>0</v>
      </c>
      <c r="U107" s="619">
        <f t="shared" si="238"/>
        <v>0</v>
      </c>
      <c r="V107" s="619">
        <f t="shared" si="238"/>
        <v>0</v>
      </c>
      <c r="W107" s="559" t="str">
        <f t="shared" ref="W107:Y107" si="239">+IF($O107=0,"-",R107/$O107)</f>
        <v>-</v>
      </c>
      <c r="X107" s="559" t="str">
        <f t="shared" si="239"/>
        <v>-</v>
      </c>
      <c r="Y107" s="559" t="str">
        <f t="shared" si="239"/>
        <v>-</v>
      </c>
      <c r="Z107" s="559" t="str">
        <f t="shared" si="180"/>
        <v>-</v>
      </c>
      <c r="AA107" s="560" t="str">
        <f t="shared" si="231"/>
        <v>-</v>
      </c>
      <c r="AB107" s="622">
        <f t="shared" ref="AB107:AC107" si="240">+SUMIFS(AB$67:AB$86,$I$67:$I$86,$J107,$M$67:$M$86,$K107)</f>
        <v>0</v>
      </c>
      <c r="AC107" s="622">
        <f t="shared" si="240"/>
        <v>0</v>
      </c>
      <c r="AD107" s="627">
        <f t="shared" si="184"/>
        <v>0</v>
      </c>
      <c r="AE107" s="628" t="str">
        <f t="shared" si="185"/>
        <v>-</v>
      </c>
      <c r="AF107" s="627">
        <f t="shared" si="186"/>
        <v>0</v>
      </c>
      <c r="AG107" s="628" t="str">
        <f t="shared" si="233"/>
        <v>-</v>
      </c>
      <c r="AH107" s="616">
        <f t="shared" si="234"/>
        <v>0</v>
      </c>
      <c r="AI107" s="616">
        <f t="shared" ref="AI107:AV107" si="241">+SUMIFS(BK$67:BK$86,$I$67:$I$86,$J107,$M$67:$M$86,$K107)</f>
        <v>0</v>
      </c>
      <c r="AJ107" s="616">
        <f t="shared" si="241"/>
        <v>0</v>
      </c>
      <c r="AK107" s="616">
        <f t="shared" si="241"/>
        <v>0</v>
      </c>
      <c r="AL107" s="616">
        <f t="shared" si="241"/>
        <v>0</v>
      </c>
      <c r="AM107" s="616">
        <f t="shared" si="241"/>
        <v>0</v>
      </c>
      <c r="AN107" s="616">
        <f t="shared" si="241"/>
        <v>0</v>
      </c>
      <c r="AO107" s="616">
        <f t="shared" si="241"/>
        <v>0</v>
      </c>
      <c r="AP107" s="616">
        <f t="shared" si="241"/>
        <v>0</v>
      </c>
      <c r="AQ107" s="616">
        <f t="shared" si="241"/>
        <v>0</v>
      </c>
      <c r="AR107" s="616">
        <f t="shared" si="241"/>
        <v>0</v>
      </c>
      <c r="AS107" s="616">
        <f t="shared" si="241"/>
        <v>0</v>
      </c>
      <c r="AT107" s="616">
        <f t="shared" si="241"/>
        <v>0</v>
      </c>
      <c r="AU107" s="616">
        <f t="shared" si="241"/>
        <v>0</v>
      </c>
      <c r="AV107" s="616">
        <f t="shared" si="241"/>
        <v>0</v>
      </c>
      <c r="AW107" s="625">
        <f t="shared" ref="AW107:BJ107" si="242">+AI107*(100%-$P107)</f>
        <v>0</v>
      </c>
      <c r="AX107" s="625">
        <f t="shared" si="242"/>
        <v>0</v>
      </c>
      <c r="AY107" s="625">
        <f t="shared" si="242"/>
        <v>0</v>
      </c>
      <c r="AZ107" s="625">
        <f t="shared" si="242"/>
        <v>0</v>
      </c>
      <c r="BA107" s="625">
        <f t="shared" si="242"/>
        <v>0</v>
      </c>
      <c r="BB107" s="625">
        <f t="shared" si="242"/>
        <v>0</v>
      </c>
      <c r="BC107" s="625">
        <f t="shared" si="242"/>
        <v>0</v>
      </c>
      <c r="BD107" s="625">
        <f t="shared" si="242"/>
        <v>0</v>
      </c>
      <c r="BE107" s="625">
        <f t="shared" si="242"/>
        <v>0</v>
      </c>
      <c r="BF107" s="625">
        <f t="shared" si="242"/>
        <v>0</v>
      </c>
      <c r="BG107" s="625">
        <f t="shared" si="242"/>
        <v>0</v>
      </c>
      <c r="BH107" s="625">
        <f t="shared" si="242"/>
        <v>0</v>
      </c>
      <c r="BI107" s="625">
        <f t="shared" si="242"/>
        <v>0</v>
      </c>
      <c r="BJ107" s="625">
        <f t="shared" si="242"/>
        <v>0</v>
      </c>
      <c r="BK107" s="625">
        <f t="shared" ref="BK107:BX107" si="243">+AI107*($P107)</f>
        <v>0</v>
      </c>
      <c r="BL107" s="625">
        <f t="shared" si="243"/>
        <v>0</v>
      </c>
      <c r="BM107" s="625">
        <f t="shared" si="243"/>
        <v>0</v>
      </c>
      <c r="BN107" s="625">
        <f t="shared" si="243"/>
        <v>0</v>
      </c>
      <c r="BO107" s="625">
        <f t="shared" si="243"/>
        <v>0</v>
      </c>
      <c r="BP107" s="625">
        <f t="shared" si="243"/>
        <v>0</v>
      </c>
      <c r="BQ107" s="625">
        <f t="shared" si="243"/>
        <v>0</v>
      </c>
      <c r="BR107" s="625">
        <f t="shared" si="243"/>
        <v>0</v>
      </c>
      <c r="BS107" s="625">
        <f t="shared" si="243"/>
        <v>0</v>
      </c>
      <c r="BT107" s="625">
        <f t="shared" si="243"/>
        <v>0</v>
      </c>
      <c r="BU107" s="625">
        <f t="shared" si="243"/>
        <v>0</v>
      </c>
      <c r="BV107" s="625">
        <f t="shared" si="243"/>
        <v>0</v>
      </c>
      <c r="BW107" s="625">
        <f t="shared" si="243"/>
        <v>0</v>
      </c>
      <c r="BX107" s="625">
        <f t="shared" si="243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1245</v>
      </c>
      <c r="K108" s="103" t="s">
        <v>1194</v>
      </c>
      <c r="L108" s="614" t="s">
        <v>1475</v>
      </c>
      <c r="M108" s="103"/>
      <c r="N108" s="616">
        <f t="shared" ref="N108:V108" si="244">+SUMIFS(N$67:N$86,$I$67:$I$86,$J108,$M$67:$M$86,$K108)</f>
        <v>0</v>
      </c>
      <c r="O108" s="616">
        <f t="shared" si="244"/>
        <v>0</v>
      </c>
      <c r="P108" s="618">
        <f t="shared" si="244"/>
        <v>0</v>
      </c>
      <c r="Q108" s="618">
        <f t="shared" si="244"/>
        <v>0</v>
      </c>
      <c r="R108" s="619">
        <f t="shared" si="244"/>
        <v>0</v>
      </c>
      <c r="S108" s="619">
        <f t="shared" si="244"/>
        <v>0</v>
      </c>
      <c r="T108" s="619">
        <f t="shared" si="244"/>
        <v>0</v>
      </c>
      <c r="U108" s="619">
        <f t="shared" si="244"/>
        <v>0</v>
      </c>
      <c r="V108" s="619">
        <f t="shared" si="244"/>
        <v>0</v>
      </c>
      <c r="W108" s="559" t="str">
        <f t="shared" ref="W108:Y108" si="245">+IF($O108=0,"-",R108/$O108)</f>
        <v>-</v>
      </c>
      <c r="X108" s="559" t="str">
        <f t="shared" si="245"/>
        <v>-</v>
      </c>
      <c r="Y108" s="559" t="str">
        <f t="shared" si="245"/>
        <v>-</v>
      </c>
      <c r="Z108" s="559" t="str">
        <f t="shared" si="180"/>
        <v>-</v>
      </c>
      <c r="AA108" s="560" t="str">
        <f t="shared" si="231"/>
        <v>-</v>
      </c>
      <c r="AB108" s="622">
        <f t="shared" ref="AB108:AC108" si="246">+SUMIFS(AB$67:AB$86,$I$67:$I$86,$J108,$M$67:$M$86,$K108)</f>
        <v>0</v>
      </c>
      <c r="AC108" s="622">
        <f t="shared" si="246"/>
        <v>0</v>
      </c>
      <c r="AD108" s="627">
        <f t="shared" si="184"/>
        <v>0</v>
      </c>
      <c r="AE108" s="628" t="str">
        <f t="shared" si="185"/>
        <v>-</v>
      </c>
      <c r="AF108" s="627">
        <f t="shared" si="186"/>
        <v>0</v>
      </c>
      <c r="AG108" s="628" t="str">
        <f t="shared" si="233"/>
        <v>-</v>
      </c>
      <c r="AH108" s="616">
        <f t="shared" si="234"/>
        <v>0</v>
      </c>
      <c r="AI108" s="616">
        <f t="shared" ref="AI108:AV108" si="247">+SUMIFS(BK$67:BK$86,$I$67:$I$86,$J108,$M$67:$M$86,$K108)</f>
        <v>0</v>
      </c>
      <c r="AJ108" s="616">
        <f t="shared" si="247"/>
        <v>0</v>
      </c>
      <c r="AK108" s="616">
        <f t="shared" si="247"/>
        <v>0</v>
      </c>
      <c r="AL108" s="616">
        <f t="shared" si="247"/>
        <v>0</v>
      </c>
      <c r="AM108" s="616">
        <f t="shared" si="247"/>
        <v>0</v>
      </c>
      <c r="AN108" s="616">
        <f t="shared" si="247"/>
        <v>0</v>
      </c>
      <c r="AO108" s="616">
        <f t="shared" si="247"/>
        <v>0</v>
      </c>
      <c r="AP108" s="616">
        <f t="shared" si="247"/>
        <v>0</v>
      </c>
      <c r="AQ108" s="616">
        <f t="shared" si="247"/>
        <v>0</v>
      </c>
      <c r="AR108" s="616">
        <f t="shared" si="247"/>
        <v>0</v>
      </c>
      <c r="AS108" s="616">
        <f t="shared" si="247"/>
        <v>0</v>
      </c>
      <c r="AT108" s="616">
        <f t="shared" si="247"/>
        <v>0</v>
      </c>
      <c r="AU108" s="616">
        <f t="shared" si="247"/>
        <v>0</v>
      </c>
      <c r="AV108" s="616">
        <f t="shared" si="247"/>
        <v>0</v>
      </c>
      <c r="AW108" s="625">
        <f t="shared" ref="AW108:BJ108" si="248">+AI108*(100%-$P108)</f>
        <v>0</v>
      </c>
      <c r="AX108" s="625">
        <f t="shared" si="248"/>
        <v>0</v>
      </c>
      <c r="AY108" s="625">
        <f t="shared" si="248"/>
        <v>0</v>
      </c>
      <c r="AZ108" s="625">
        <f t="shared" si="248"/>
        <v>0</v>
      </c>
      <c r="BA108" s="625">
        <f t="shared" si="248"/>
        <v>0</v>
      </c>
      <c r="BB108" s="625">
        <f t="shared" si="248"/>
        <v>0</v>
      </c>
      <c r="BC108" s="625">
        <f t="shared" si="248"/>
        <v>0</v>
      </c>
      <c r="BD108" s="625">
        <f t="shared" si="248"/>
        <v>0</v>
      </c>
      <c r="BE108" s="625">
        <f t="shared" si="248"/>
        <v>0</v>
      </c>
      <c r="BF108" s="625">
        <f t="shared" si="248"/>
        <v>0</v>
      </c>
      <c r="BG108" s="625">
        <f t="shared" si="248"/>
        <v>0</v>
      </c>
      <c r="BH108" s="625">
        <f t="shared" si="248"/>
        <v>0</v>
      </c>
      <c r="BI108" s="625">
        <f t="shared" si="248"/>
        <v>0</v>
      </c>
      <c r="BJ108" s="625">
        <f t="shared" si="248"/>
        <v>0</v>
      </c>
      <c r="BK108" s="625">
        <f t="shared" ref="BK108:BX108" si="249">+AI108*($P108)</f>
        <v>0</v>
      </c>
      <c r="BL108" s="625">
        <f t="shared" si="249"/>
        <v>0</v>
      </c>
      <c r="BM108" s="625">
        <f t="shared" si="249"/>
        <v>0</v>
      </c>
      <c r="BN108" s="625">
        <f t="shared" si="249"/>
        <v>0</v>
      </c>
      <c r="BO108" s="625">
        <f t="shared" si="249"/>
        <v>0</v>
      </c>
      <c r="BP108" s="625">
        <f t="shared" si="249"/>
        <v>0</v>
      </c>
      <c r="BQ108" s="625">
        <f t="shared" si="249"/>
        <v>0</v>
      </c>
      <c r="BR108" s="625">
        <f t="shared" si="249"/>
        <v>0</v>
      </c>
      <c r="BS108" s="625">
        <f t="shared" si="249"/>
        <v>0</v>
      </c>
      <c r="BT108" s="625">
        <f t="shared" si="249"/>
        <v>0</v>
      </c>
      <c r="BU108" s="625">
        <f t="shared" si="249"/>
        <v>0</v>
      </c>
      <c r="BV108" s="625">
        <f t="shared" si="249"/>
        <v>0</v>
      </c>
      <c r="BW108" s="625">
        <f t="shared" si="249"/>
        <v>0</v>
      </c>
      <c r="BX108" s="625">
        <f t="shared" si="249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1247</v>
      </c>
      <c r="K109" s="103" t="s">
        <v>1196</v>
      </c>
      <c r="L109" s="614" t="s">
        <v>1475</v>
      </c>
      <c r="M109" s="103"/>
      <c r="N109" s="616">
        <f t="shared" ref="N109:V109" si="250">+SUMIFS(N$67:N$86,$I$67:$I$86,$J109,$M$67:$M$86,$K109)</f>
        <v>0</v>
      </c>
      <c r="O109" s="616">
        <f t="shared" si="250"/>
        <v>0</v>
      </c>
      <c r="P109" s="618">
        <f t="shared" si="250"/>
        <v>0</v>
      </c>
      <c r="Q109" s="618">
        <f t="shared" si="250"/>
        <v>0</v>
      </c>
      <c r="R109" s="619">
        <f t="shared" si="250"/>
        <v>0</v>
      </c>
      <c r="S109" s="619">
        <f t="shared" si="250"/>
        <v>0</v>
      </c>
      <c r="T109" s="619">
        <f t="shared" si="250"/>
        <v>0</v>
      </c>
      <c r="U109" s="619">
        <f t="shared" si="250"/>
        <v>0</v>
      </c>
      <c r="V109" s="619">
        <f t="shared" si="250"/>
        <v>0</v>
      </c>
      <c r="W109" s="559" t="str">
        <f t="shared" ref="W109:Y109" si="251">+IF($O109=0,"-",R109/$O109)</f>
        <v>-</v>
      </c>
      <c r="X109" s="559" t="str">
        <f t="shared" si="251"/>
        <v>-</v>
      </c>
      <c r="Y109" s="559" t="str">
        <f t="shared" si="251"/>
        <v>-</v>
      </c>
      <c r="Z109" s="559" t="str">
        <f t="shared" si="180"/>
        <v>-</v>
      </c>
      <c r="AA109" s="560" t="str">
        <f t="shared" si="231"/>
        <v>-</v>
      </c>
      <c r="AB109" s="622">
        <f t="shared" ref="AB109:AC109" si="252">+SUMIFS(AB$67:AB$86,$I$67:$I$86,$J109,$M$67:$M$86,$K109)</f>
        <v>0</v>
      </c>
      <c r="AC109" s="622">
        <f t="shared" si="252"/>
        <v>0</v>
      </c>
      <c r="AD109" s="627">
        <f t="shared" si="184"/>
        <v>0</v>
      </c>
      <c r="AE109" s="628" t="str">
        <f t="shared" si="185"/>
        <v>-</v>
      </c>
      <c r="AF109" s="627">
        <f t="shared" si="186"/>
        <v>0</v>
      </c>
      <c r="AG109" s="628" t="str">
        <f t="shared" si="233"/>
        <v>-</v>
      </c>
      <c r="AH109" s="616">
        <f t="shared" si="234"/>
        <v>0</v>
      </c>
      <c r="AI109" s="616">
        <f t="shared" ref="AI109:AV109" si="253">+SUMIFS(BK$67:BK$86,$I$67:$I$86,$J109,$M$67:$M$86,$K109)</f>
        <v>0</v>
      </c>
      <c r="AJ109" s="616">
        <f t="shared" si="253"/>
        <v>0</v>
      </c>
      <c r="AK109" s="616">
        <f t="shared" si="253"/>
        <v>0</v>
      </c>
      <c r="AL109" s="616">
        <f t="shared" si="253"/>
        <v>0</v>
      </c>
      <c r="AM109" s="616">
        <f t="shared" si="253"/>
        <v>0</v>
      </c>
      <c r="AN109" s="616">
        <f t="shared" si="253"/>
        <v>0</v>
      </c>
      <c r="AO109" s="616">
        <f t="shared" si="253"/>
        <v>0</v>
      </c>
      <c r="AP109" s="616">
        <f t="shared" si="253"/>
        <v>0</v>
      </c>
      <c r="AQ109" s="616">
        <f t="shared" si="253"/>
        <v>0</v>
      </c>
      <c r="AR109" s="616">
        <f t="shared" si="253"/>
        <v>0</v>
      </c>
      <c r="AS109" s="616">
        <f t="shared" si="253"/>
        <v>0</v>
      </c>
      <c r="AT109" s="616">
        <f t="shared" si="253"/>
        <v>0</v>
      </c>
      <c r="AU109" s="616">
        <f t="shared" si="253"/>
        <v>0</v>
      </c>
      <c r="AV109" s="616">
        <f t="shared" si="253"/>
        <v>0</v>
      </c>
      <c r="AW109" s="625">
        <f t="shared" ref="AW109:BJ109" si="254">+AI109*(100%-$P109)</f>
        <v>0</v>
      </c>
      <c r="AX109" s="625">
        <f t="shared" si="254"/>
        <v>0</v>
      </c>
      <c r="AY109" s="625">
        <f t="shared" si="254"/>
        <v>0</v>
      </c>
      <c r="AZ109" s="625">
        <f t="shared" si="254"/>
        <v>0</v>
      </c>
      <c r="BA109" s="625">
        <f t="shared" si="254"/>
        <v>0</v>
      </c>
      <c r="BB109" s="625">
        <f t="shared" si="254"/>
        <v>0</v>
      </c>
      <c r="BC109" s="625">
        <f t="shared" si="254"/>
        <v>0</v>
      </c>
      <c r="BD109" s="625">
        <f t="shared" si="254"/>
        <v>0</v>
      </c>
      <c r="BE109" s="625">
        <f t="shared" si="254"/>
        <v>0</v>
      </c>
      <c r="BF109" s="625">
        <f t="shared" si="254"/>
        <v>0</v>
      </c>
      <c r="BG109" s="625">
        <f t="shared" si="254"/>
        <v>0</v>
      </c>
      <c r="BH109" s="625">
        <f t="shared" si="254"/>
        <v>0</v>
      </c>
      <c r="BI109" s="625">
        <f t="shared" si="254"/>
        <v>0</v>
      </c>
      <c r="BJ109" s="625">
        <f t="shared" si="254"/>
        <v>0</v>
      </c>
      <c r="BK109" s="625">
        <f t="shared" ref="BK109:BX109" si="255">+AI109*($P109)</f>
        <v>0</v>
      </c>
      <c r="BL109" s="625">
        <f t="shared" si="255"/>
        <v>0</v>
      </c>
      <c r="BM109" s="625">
        <f t="shared" si="255"/>
        <v>0</v>
      </c>
      <c r="BN109" s="625">
        <f t="shared" si="255"/>
        <v>0</v>
      </c>
      <c r="BO109" s="625">
        <f t="shared" si="255"/>
        <v>0</v>
      </c>
      <c r="BP109" s="625">
        <f t="shared" si="255"/>
        <v>0</v>
      </c>
      <c r="BQ109" s="625">
        <f t="shared" si="255"/>
        <v>0</v>
      </c>
      <c r="BR109" s="625">
        <f t="shared" si="255"/>
        <v>0</v>
      </c>
      <c r="BS109" s="625">
        <f t="shared" si="255"/>
        <v>0</v>
      </c>
      <c r="BT109" s="625">
        <f t="shared" si="255"/>
        <v>0</v>
      </c>
      <c r="BU109" s="625">
        <f t="shared" si="255"/>
        <v>0</v>
      </c>
      <c r="BV109" s="625">
        <f t="shared" si="255"/>
        <v>0</v>
      </c>
      <c r="BW109" s="625">
        <f t="shared" si="255"/>
        <v>0</v>
      </c>
      <c r="BX109" s="625">
        <f t="shared" si="255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1247</v>
      </c>
      <c r="K110" s="103" t="s">
        <v>1194</v>
      </c>
      <c r="L110" s="614" t="s">
        <v>1475</v>
      </c>
      <c r="M110" s="103"/>
      <c r="N110" s="616">
        <f t="shared" ref="N110:V110" si="256">+SUMIFS(N$67:N$86,$I$67:$I$86,$J110,$M$67:$M$86,$K110)</f>
        <v>3.2805677744000978</v>
      </c>
      <c r="O110" s="616">
        <f t="shared" si="256"/>
        <v>8.7791106651863626E-2</v>
      </c>
      <c r="P110" s="618">
        <f t="shared" si="256"/>
        <v>2.6063465845553212E-2</v>
      </c>
      <c r="Q110" s="618">
        <f t="shared" si="256"/>
        <v>0</v>
      </c>
      <c r="R110" s="619">
        <f t="shared" si="256"/>
        <v>3.6990181091585597E-2</v>
      </c>
      <c r="S110" s="619">
        <f t="shared" si="256"/>
        <v>5.0800925560278022E-2</v>
      </c>
      <c r="T110" s="619">
        <f t="shared" si="256"/>
        <v>0</v>
      </c>
      <c r="U110" s="619">
        <f t="shared" si="256"/>
        <v>0</v>
      </c>
      <c r="V110" s="619">
        <f t="shared" si="256"/>
        <v>0</v>
      </c>
      <c r="W110" s="559">
        <f t="shared" ref="W110:Y110" si="257">+IF($O110=0,"-",R110/$O110)</f>
        <v>0.42134314627414909</v>
      </c>
      <c r="X110" s="559">
        <f t="shared" si="257"/>
        <v>0.57865685372585085</v>
      </c>
      <c r="Y110" s="559">
        <f t="shared" si="257"/>
        <v>0</v>
      </c>
      <c r="Z110" s="559">
        <f t="shared" si="180"/>
        <v>0</v>
      </c>
      <c r="AA110" s="560" t="str">
        <f t="shared" si="231"/>
        <v>-</v>
      </c>
      <c r="AB110" s="622">
        <f t="shared" ref="AB110:AC110" si="258">+SUMIFS(AB$67:AB$86,$I$67:$I$86,$J110,$M$67:$M$86,$K110)</f>
        <v>34.198855287999997</v>
      </c>
      <c r="AC110" s="622">
        <f t="shared" si="258"/>
        <v>10.42467573902014</v>
      </c>
      <c r="AD110" s="627">
        <f t="shared" si="184"/>
        <v>33.307514591244193</v>
      </c>
      <c r="AE110" s="627">
        <f t="shared" si="185"/>
        <v>10.152972558945223</v>
      </c>
      <c r="AF110" s="627">
        <f t="shared" si="186"/>
        <v>0.89134069675580474</v>
      </c>
      <c r="AG110" s="627">
        <f t="shared" si="233"/>
        <v>34.198855287999997</v>
      </c>
      <c r="AH110" s="616">
        <f t="shared" si="234"/>
        <v>3.3683588810519614</v>
      </c>
      <c r="AI110" s="616">
        <f t="shared" ref="AI110:AV110" si="259">+SUMIFS(BK$67:BK$86,$I$67:$I$86,$J110,$M$67:$M$86,$K110)</f>
        <v>3.3683588810519614</v>
      </c>
      <c r="AJ110" s="616">
        <f t="shared" si="259"/>
        <v>3.0751987685605915</v>
      </c>
      <c r="AK110" s="616">
        <f t="shared" si="259"/>
        <v>3.4930679115729726</v>
      </c>
      <c r="AL110" s="616">
        <f t="shared" si="259"/>
        <v>2.7288246831254654</v>
      </c>
      <c r="AM110" s="616">
        <f t="shared" si="259"/>
        <v>0</v>
      </c>
      <c r="AN110" s="616">
        <f t="shared" si="259"/>
        <v>0</v>
      </c>
      <c r="AO110" s="616">
        <f t="shared" si="259"/>
        <v>1.6467059785204439</v>
      </c>
      <c r="AP110" s="616">
        <f t="shared" si="259"/>
        <v>0.98038529706751343</v>
      </c>
      <c r="AQ110" s="616">
        <f t="shared" si="259"/>
        <v>0.82911070247183327</v>
      </c>
      <c r="AR110" s="616">
        <f t="shared" si="259"/>
        <v>0.60219881057831304</v>
      </c>
      <c r="AS110" s="616">
        <f t="shared" si="259"/>
        <v>0.4903086312459346</v>
      </c>
      <c r="AT110" s="616">
        <f t="shared" si="259"/>
        <v>0.41571517835768235</v>
      </c>
      <c r="AU110" s="616">
        <f t="shared" si="259"/>
        <v>0.34112172546943498</v>
      </c>
      <c r="AV110" s="616">
        <f t="shared" si="259"/>
        <v>0.22923154613705787</v>
      </c>
      <c r="AW110" s="625">
        <f t="shared" ref="AW110:BJ110" si="260">+AI110*(100%-$P110)</f>
        <v>3.2805677744000978</v>
      </c>
      <c r="AX110" s="625">
        <f t="shared" si="260"/>
        <v>2.9950484304879255</v>
      </c>
      <c r="AY110" s="625">
        <f t="shared" si="260"/>
        <v>3.4020264553634925</v>
      </c>
      <c r="AZ110" s="625">
        <f t="shared" si="260"/>
        <v>2.6577020541983223</v>
      </c>
      <c r="BA110" s="625">
        <f t="shared" si="260"/>
        <v>0</v>
      </c>
      <c r="BB110" s="625">
        <f t="shared" si="260"/>
        <v>0</v>
      </c>
      <c r="BC110" s="625">
        <f t="shared" si="260"/>
        <v>1.603787113491608</v>
      </c>
      <c r="BD110" s="625">
        <f t="shared" si="260"/>
        <v>0.95483305836191179</v>
      </c>
      <c r="BE110" s="625">
        <f t="shared" si="260"/>
        <v>0.80750120399577607</v>
      </c>
      <c r="BF110" s="625">
        <f t="shared" si="260"/>
        <v>0.58650342244657239</v>
      </c>
      <c r="BG110" s="625">
        <f t="shared" si="260"/>
        <v>0.47752948898167624</v>
      </c>
      <c r="BH110" s="625">
        <f t="shared" si="260"/>
        <v>0.40488020000507885</v>
      </c>
      <c r="BI110" s="625">
        <f t="shared" si="260"/>
        <v>0.33223091102848618</v>
      </c>
      <c r="BJ110" s="625">
        <f t="shared" si="260"/>
        <v>0.22325697756359131</v>
      </c>
      <c r="BK110" s="625">
        <f t="shared" ref="BK110:BX110" si="261">+AI110*($P110)</f>
        <v>8.7791106651863626E-2</v>
      </c>
      <c r="BL110" s="625">
        <f t="shared" si="261"/>
        <v>8.0150338072666277E-2</v>
      </c>
      <c r="BM110" s="625">
        <f t="shared" si="261"/>
        <v>9.1041456209480051E-2</v>
      </c>
      <c r="BN110" s="625">
        <f t="shared" si="261"/>
        <v>7.1122628927143133E-2</v>
      </c>
      <c r="BO110" s="625">
        <f t="shared" si="261"/>
        <v>0</v>
      </c>
      <c r="BP110" s="625">
        <f t="shared" si="261"/>
        <v>0</v>
      </c>
      <c r="BQ110" s="625">
        <f t="shared" si="261"/>
        <v>4.2918865028835872E-2</v>
      </c>
      <c r="BR110" s="625">
        <f t="shared" si="261"/>
        <v>2.5552238705601676E-2</v>
      </c>
      <c r="BS110" s="625">
        <f t="shared" si="261"/>
        <v>2.1609498476057257E-2</v>
      </c>
      <c r="BT110" s="625">
        <f t="shared" si="261"/>
        <v>1.569538813174063E-2</v>
      </c>
      <c r="BU110" s="625">
        <f t="shared" si="261"/>
        <v>1.277914226425836E-2</v>
      </c>
      <c r="BV110" s="625">
        <f t="shared" si="261"/>
        <v>1.0834978352603516E-2</v>
      </c>
      <c r="BW110" s="625">
        <f t="shared" si="261"/>
        <v>8.8908144409487969E-3</v>
      </c>
      <c r="BX110" s="625">
        <f t="shared" si="261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1256</v>
      </c>
      <c r="K111" s="103" t="s">
        <v>1196</v>
      </c>
      <c r="L111" s="614" t="s">
        <v>1475</v>
      </c>
      <c r="M111" s="103"/>
      <c r="N111" s="616">
        <f t="shared" ref="N111:V111" si="262">+SUMIFS(N$67:N$86,$I$67:$I$86,$J111,$M$67:$M$86,$K111)</f>
        <v>0</v>
      </c>
      <c r="O111" s="616">
        <f t="shared" si="262"/>
        <v>0</v>
      </c>
      <c r="P111" s="618">
        <f t="shared" si="262"/>
        <v>0</v>
      </c>
      <c r="Q111" s="618">
        <f t="shared" si="262"/>
        <v>0</v>
      </c>
      <c r="R111" s="619">
        <f t="shared" si="262"/>
        <v>0</v>
      </c>
      <c r="S111" s="619">
        <f t="shared" si="262"/>
        <v>0</v>
      </c>
      <c r="T111" s="619">
        <f t="shared" si="262"/>
        <v>0</v>
      </c>
      <c r="U111" s="619">
        <f t="shared" si="262"/>
        <v>0</v>
      </c>
      <c r="V111" s="619">
        <f t="shared" si="262"/>
        <v>0</v>
      </c>
      <c r="W111" s="559" t="str">
        <f t="shared" ref="W111:Y111" si="263">+IF($O111=0,"-",R111/$O111)</f>
        <v>-</v>
      </c>
      <c r="X111" s="559" t="str">
        <f t="shared" si="263"/>
        <v>-</v>
      </c>
      <c r="Y111" s="559" t="str">
        <f t="shared" si="263"/>
        <v>-</v>
      </c>
      <c r="Z111" s="559" t="str">
        <f t="shared" si="180"/>
        <v>-</v>
      </c>
      <c r="AA111" s="560" t="str">
        <f t="shared" si="231"/>
        <v>-</v>
      </c>
      <c r="AB111" s="622">
        <f t="shared" ref="AB111:AC111" si="264">+SUMIFS(AB$67:AB$86,$I$67:$I$86,$J111,$M$67:$M$86,$K111)</f>
        <v>0</v>
      </c>
      <c r="AC111" s="622">
        <f t="shared" si="264"/>
        <v>0</v>
      </c>
      <c r="AD111" s="627">
        <f t="shared" si="184"/>
        <v>0</v>
      </c>
      <c r="AE111" s="628" t="str">
        <f t="shared" si="185"/>
        <v>-</v>
      </c>
      <c r="AF111" s="627">
        <f t="shared" si="186"/>
        <v>0</v>
      </c>
      <c r="AG111" s="628" t="str">
        <f t="shared" si="233"/>
        <v>-</v>
      </c>
      <c r="AH111" s="616">
        <f t="shared" si="234"/>
        <v>0</v>
      </c>
      <c r="AI111" s="616">
        <f t="shared" ref="AI111:AV111" si="265">+SUMIFS(BK$67:BK$86,$I$67:$I$86,$J111,$M$67:$M$86,$K111)</f>
        <v>0</v>
      </c>
      <c r="AJ111" s="616">
        <f t="shared" si="265"/>
        <v>0</v>
      </c>
      <c r="AK111" s="616">
        <f t="shared" si="265"/>
        <v>0</v>
      </c>
      <c r="AL111" s="616">
        <f t="shared" si="265"/>
        <v>0</v>
      </c>
      <c r="AM111" s="616">
        <f t="shared" si="265"/>
        <v>0</v>
      </c>
      <c r="AN111" s="616">
        <f t="shared" si="265"/>
        <v>0</v>
      </c>
      <c r="AO111" s="616">
        <f t="shared" si="265"/>
        <v>0</v>
      </c>
      <c r="AP111" s="616">
        <f t="shared" si="265"/>
        <v>0</v>
      </c>
      <c r="AQ111" s="616">
        <f t="shared" si="265"/>
        <v>0</v>
      </c>
      <c r="AR111" s="616">
        <f t="shared" si="265"/>
        <v>0</v>
      </c>
      <c r="AS111" s="616">
        <f t="shared" si="265"/>
        <v>0</v>
      </c>
      <c r="AT111" s="616">
        <f t="shared" si="265"/>
        <v>0</v>
      </c>
      <c r="AU111" s="616">
        <f t="shared" si="265"/>
        <v>0</v>
      </c>
      <c r="AV111" s="616">
        <f t="shared" si="265"/>
        <v>0</v>
      </c>
      <c r="AW111" s="625">
        <f t="shared" ref="AW111:BJ111" si="266">+AI111*(100%-$P111)</f>
        <v>0</v>
      </c>
      <c r="AX111" s="625">
        <f t="shared" si="266"/>
        <v>0</v>
      </c>
      <c r="AY111" s="625">
        <f t="shared" si="266"/>
        <v>0</v>
      </c>
      <c r="AZ111" s="625">
        <f t="shared" si="266"/>
        <v>0</v>
      </c>
      <c r="BA111" s="625">
        <f t="shared" si="266"/>
        <v>0</v>
      </c>
      <c r="BB111" s="625">
        <f t="shared" si="266"/>
        <v>0</v>
      </c>
      <c r="BC111" s="625">
        <f t="shared" si="266"/>
        <v>0</v>
      </c>
      <c r="BD111" s="625">
        <f t="shared" si="266"/>
        <v>0</v>
      </c>
      <c r="BE111" s="625">
        <f t="shared" si="266"/>
        <v>0</v>
      </c>
      <c r="BF111" s="625">
        <f t="shared" si="266"/>
        <v>0</v>
      </c>
      <c r="BG111" s="625">
        <f t="shared" si="266"/>
        <v>0</v>
      </c>
      <c r="BH111" s="625">
        <f t="shared" si="266"/>
        <v>0</v>
      </c>
      <c r="BI111" s="625">
        <f t="shared" si="266"/>
        <v>0</v>
      </c>
      <c r="BJ111" s="625">
        <f t="shared" si="266"/>
        <v>0</v>
      </c>
      <c r="BK111" s="625">
        <f t="shared" ref="BK111:BX111" si="267">+AI111*($P111)</f>
        <v>0</v>
      </c>
      <c r="BL111" s="625">
        <f t="shared" si="267"/>
        <v>0</v>
      </c>
      <c r="BM111" s="625">
        <f t="shared" si="267"/>
        <v>0</v>
      </c>
      <c r="BN111" s="625">
        <f t="shared" si="267"/>
        <v>0</v>
      </c>
      <c r="BO111" s="625">
        <f t="shared" si="267"/>
        <v>0</v>
      </c>
      <c r="BP111" s="625">
        <f t="shared" si="267"/>
        <v>0</v>
      </c>
      <c r="BQ111" s="625">
        <f t="shared" si="267"/>
        <v>0</v>
      </c>
      <c r="BR111" s="625">
        <f t="shared" si="267"/>
        <v>0</v>
      </c>
      <c r="BS111" s="625">
        <f t="shared" si="267"/>
        <v>0</v>
      </c>
      <c r="BT111" s="625">
        <f t="shared" si="267"/>
        <v>0</v>
      </c>
      <c r="BU111" s="625">
        <f t="shared" si="267"/>
        <v>0</v>
      </c>
      <c r="BV111" s="625">
        <f t="shared" si="267"/>
        <v>0</v>
      </c>
      <c r="BW111" s="625">
        <f t="shared" si="267"/>
        <v>0</v>
      </c>
      <c r="BX111" s="625">
        <f t="shared" si="267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1256</v>
      </c>
      <c r="K112" s="103" t="s">
        <v>1194</v>
      </c>
      <c r="L112" s="614" t="s">
        <v>1475</v>
      </c>
      <c r="M112" s="103"/>
      <c r="N112" s="616">
        <f t="shared" ref="N112:V112" si="268">+SUMIFS(N$67:N$86,$I$67:$I$86,$J112,$M$67:$M$86,$K112)</f>
        <v>0</v>
      </c>
      <c r="O112" s="616">
        <f t="shared" si="268"/>
        <v>0</v>
      </c>
      <c r="P112" s="618">
        <f t="shared" si="268"/>
        <v>0</v>
      </c>
      <c r="Q112" s="618">
        <f t="shared" si="268"/>
        <v>0</v>
      </c>
      <c r="R112" s="619">
        <f t="shared" si="268"/>
        <v>0</v>
      </c>
      <c r="S112" s="619">
        <f t="shared" si="268"/>
        <v>0</v>
      </c>
      <c r="T112" s="619">
        <f t="shared" si="268"/>
        <v>0</v>
      </c>
      <c r="U112" s="619">
        <f t="shared" si="268"/>
        <v>0</v>
      </c>
      <c r="V112" s="619">
        <f t="shared" si="268"/>
        <v>0</v>
      </c>
      <c r="W112" s="629" t="str">
        <f t="shared" ref="W112:Y112" si="269">+IF($O112=0,"-",R112/$O112)</f>
        <v>-</v>
      </c>
      <c r="X112" s="629" t="str">
        <f t="shared" si="269"/>
        <v>-</v>
      </c>
      <c r="Y112" s="629" t="str">
        <f t="shared" si="269"/>
        <v>-</v>
      </c>
      <c r="Z112" s="629" t="str">
        <f t="shared" si="180"/>
        <v>-</v>
      </c>
      <c r="AA112" s="630" t="str">
        <f t="shared" si="231"/>
        <v>-</v>
      </c>
      <c r="AB112" s="622">
        <f t="shared" ref="AB112:AC112" si="270">+SUMIFS(AB$67:AB$86,$I$67:$I$86,$J112,$M$67:$M$86,$K112)</f>
        <v>0</v>
      </c>
      <c r="AC112" s="622">
        <f t="shared" si="270"/>
        <v>0</v>
      </c>
      <c r="AD112" s="627">
        <f t="shared" si="184"/>
        <v>0</v>
      </c>
      <c r="AE112" s="628" t="str">
        <f t="shared" si="185"/>
        <v>-</v>
      </c>
      <c r="AF112" s="627">
        <f t="shared" si="186"/>
        <v>0</v>
      </c>
      <c r="AG112" s="628" t="str">
        <f t="shared" si="233"/>
        <v>-</v>
      </c>
      <c r="AH112" s="616">
        <f t="shared" si="234"/>
        <v>0</v>
      </c>
      <c r="AI112" s="616">
        <f t="shared" ref="AI112:AV112" si="271">+SUMIFS(BK$67:BK$86,$I$67:$I$86,$J112,$M$67:$M$86,$K112)</f>
        <v>0</v>
      </c>
      <c r="AJ112" s="616">
        <f t="shared" si="271"/>
        <v>0</v>
      </c>
      <c r="AK112" s="616">
        <f t="shared" si="271"/>
        <v>0</v>
      </c>
      <c r="AL112" s="616">
        <f t="shared" si="271"/>
        <v>0</v>
      </c>
      <c r="AM112" s="616">
        <f t="shared" si="271"/>
        <v>0</v>
      </c>
      <c r="AN112" s="616">
        <f t="shared" si="271"/>
        <v>0</v>
      </c>
      <c r="AO112" s="616">
        <f t="shared" si="271"/>
        <v>0</v>
      </c>
      <c r="AP112" s="616">
        <f t="shared" si="271"/>
        <v>0</v>
      </c>
      <c r="AQ112" s="616">
        <f t="shared" si="271"/>
        <v>0</v>
      </c>
      <c r="AR112" s="616">
        <f t="shared" si="271"/>
        <v>0</v>
      </c>
      <c r="AS112" s="616">
        <f t="shared" si="271"/>
        <v>0</v>
      </c>
      <c r="AT112" s="616">
        <f t="shared" si="271"/>
        <v>0</v>
      </c>
      <c r="AU112" s="616">
        <f t="shared" si="271"/>
        <v>0</v>
      </c>
      <c r="AV112" s="616">
        <f t="shared" si="271"/>
        <v>0</v>
      </c>
      <c r="AW112" s="625">
        <f t="shared" ref="AW112:BJ112" si="272">+AI112*(100%-$P112)</f>
        <v>0</v>
      </c>
      <c r="AX112" s="625">
        <f t="shared" si="272"/>
        <v>0</v>
      </c>
      <c r="AY112" s="625">
        <f t="shared" si="272"/>
        <v>0</v>
      </c>
      <c r="AZ112" s="625">
        <f t="shared" si="272"/>
        <v>0</v>
      </c>
      <c r="BA112" s="625">
        <f t="shared" si="272"/>
        <v>0</v>
      </c>
      <c r="BB112" s="625">
        <f t="shared" si="272"/>
        <v>0</v>
      </c>
      <c r="BC112" s="625">
        <f t="shared" si="272"/>
        <v>0</v>
      </c>
      <c r="BD112" s="625">
        <f t="shared" si="272"/>
        <v>0</v>
      </c>
      <c r="BE112" s="625">
        <f t="shared" si="272"/>
        <v>0</v>
      </c>
      <c r="BF112" s="625">
        <f t="shared" si="272"/>
        <v>0</v>
      </c>
      <c r="BG112" s="625">
        <f t="shared" si="272"/>
        <v>0</v>
      </c>
      <c r="BH112" s="625">
        <f t="shared" si="272"/>
        <v>0</v>
      </c>
      <c r="BI112" s="625">
        <f t="shared" si="272"/>
        <v>0</v>
      </c>
      <c r="BJ112" s="625">
        <f t="shared" si="272"/>
        <v>0</v>
      </c>
      <c r="BK112" s="625">
        <f t="shared" ref="BK112:BX112" si="273">+AI112*($P112)</f>
        <v>0</v>
      </c>
      <c r="BL112" s="625">
        <f t="shared" si="273"/>
        <v>0</v>
      </c>
      <c r="BM112" s="625">
        <f t="shared" si="273"/>
        <v>0</v>
      </c>
      <c r="BN112" s="625">
        <f t="shared" si="273"/>
        <v>0</v>
      </c>
      <c r="BO112" s="625">
        <f t="shared" si="273"/>
        <v>0</v>
      </c>
      <c r="BP112" s="625">
        <f t="shared" si="273"/>
        <v>0</v>
      </c>
      <c r="BQ112" s="625">
        <f t="shared" si="273"/>
        <v>0</v>
      </c>
      <c r="BR112" s="625">
        <f t="shared" si="273"/>
        <v>0</v>
      </c>
      <c r="BS112" s="625">
        <f t="shared" si="273"/>
        <v>0</v>
      </c>
      <c r="BT112" s="625">
        <f t="shared" si="273"/>
        <v>0</v>
      </c>
      <c r="BU112" s="625">
        <f t="shared" si="273"/>
        <v>0</v>
      </c>
      <c r="BV112" s="625">
        <f t="shared" si="273"/>
        <v>0</v>
      </c>
      <c r="BW112" s="625">
        <f t="shared" si="273"/>
        <v>0</v>
      </c>
      <c r="BX112" s="625">
        <f t="shared" si="273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955" t="s">
        <v>1476</v>
      </c>
      <c r="K116" s="956"/>
      <c r="L116" s="956"/>
      <c r="M116" s="956"/>
      <c r="N116" s="956"/>
      <c r="O116" s="956"/>
      <c r="P116" s="956"/>
      <c r="Q116" s="956"/>
      <c r="R116" s="956"/>
      <c r="S116" s="956"/>
      <c r="T116" s="956"/>
      <c r="U116" s="956"/>
      <c r="V116" s="956"/>
      <c r="W116" s="956"/>
      <c r="X116" s="956"/>
      <c r="Y116" s="956"/>
      <c r="Z116" s="956"/>
      <c r="AA116" s="956"/>
      <c r="AB116" s="956"/>
      <c r="AC116" s="956"/>
      <c r="AD116" s="956"/>
      <c r="AE116" s="956"/>
      <c r="AF116" s="956"/>
      <c r="AG116" s="957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4">+SUM(AW99:AW104)</f>
        <v>1025.6624631771094</v>
      </c>
      <c r="AX117" s="632">
        <f t="shared" si="274"/>
        <v>971.57652717500991</v>
      </c>
      <c r="AY117" s="632">
        <f t="shared" si="274"/>
        <v>812.5441838645703</v>
      </c>
      <c r="AZ117" s="632">
        <f t="shared" si="274"/>
        <v>668.92360361378201</v>
      </c>
      <c r="BA117" s="632">
        <f t="shared" si="274"/>
        <v>559.86485266250133</v>
      </c>
      <c r="BB117" s="632">
        <f t="shared" si="274"/>
        <v>400.90866544257676</v>
      </c>
      <c r="BC117" s="632">
        <f t="shared" si="274"/>
        <v>323.95216648114376</v>
      </c>
      <c r="BD117" s="632">
        <f t="shared" si="274"/>
        <v>269.97511844019584</v>
      </c>
      <c r="BE117" s="632">
        <f t="shared" si="274"/>
        <v>224.31431091820514</v>
      </c>
      <c r="BF117" s="632">
        <f t="shared" si="274"/>
        <v>157.10067813612787</v>
      </c>
      <c r="BG117" s="632">
        <f t="shared" si="274"/>
        <v>103.64564921068032</v>
      </c>
      <c r="BH117" s="632">
        <f t="shared" si="274"/>
        <v>88.388980286709</v>
      </c>
      <c r="BI117" s="632">
        <f t="shared" si="274"/>
        <v>79.012481549996423</v>
      </c>
      <c r="BJ117" s="632">
        <f t="shared" si="274"/>
        <v>66.383024371710619</v>
      </c>
      <c r="BK117" s="633">
        <f t="shared" si="274"/>
        <v>334.25667316952502</v>
      </c>
      <c r="BL117" s="632">
        <f t="shared" si="274"/>
        <v>315.79957710288363</v>
      </c>
      <c r="BM117" s="632">
        <f t="shared" si="274"/>
        <v>260.98945875521662</v>
      </c>
      <c r="BN117" s="632">
        <f t="shared" si="274"/>
        <v>199.14856077668688</v>
      </c>
      <c r="BO117" s="632">
        <f t="shared" si="274"/>
        <v>155.93802583631739</v>
      </c>
      <c r="BP117" s="632">
        <f t="shared" si="274"/>
        <v>102.33865688836053</v>
      </c>
      <c r="BQ117" s="632">
        <f t="shared" si="274"/>
        <v>61.685268979559218</v>
      </c>
      <c r="BR117" s="632">
        <f t="shared" si="274"/>
        <v>41.883982717553593</v>
      </c>
      <c r="BS117" s="632">
        <f t="shared" si="274"/>
        <v>31.756161426473941</v>
      </c>
      <c r="BT117" s="632">
        <f t="shared" si="274"/>
        <v>19.422450620785838</v>
      </c>
      <c r="BU117" s="632">
        <f t="shared" si="274"/>
        <v>14.015670611044998</v>
      </c>
      <c r="BV117" s="632">
        <f t="shared" si="274"/>
        <v>10.50143029698169</v>
      </c>
      <c r="BW117" s="632">
        <f t="shared" si="274"/>
        <v>7.8547503912342362</v>
      </c>
      <c r="BX117" s="634">
        <f t="shared" si="274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1477</v>
      </c>
      <c r="AC118" s="12" t="s">
        <v>1478</v>
      </c>
      <c r="AF118" s="12">
        <f>+AF117*(1000/D8)/1000</f>
        <v>302.87191322450025</v>
      </c>
      <c r="AV118" s="47" t="s">
        <v>662</v>
      </c>
      <c r="AW118" s="635">
        <f t="shared" ref="AW118:BJ118" si="275">+AW117*1000/($D$8*365)</f>
        <v>461.63196063013703</v>
      </c>
      <c r="AX118" s="635">
        <f t="shared" si="275"/>
        <v>437.28886767748605</v>
      </c>
      <c r="AY118" s="635">
        <f t="shared" si="275"/>
        <v>365.71131162791244</v>
      </c>
      <c r="AZ118" s="635">
        <f t="shared" si="275"/>
        <v>301.07030893133543</v>
      </c>
      <c r="BA118" s="635">
        <f t="shared" si="275"/>
        <v>251.98495499377984</v>
      </c>
      <c r="BB118" s="635">
        <f t="shared" si="275"/>
        <v>180.4416754110172</v>
      </c>
      <c r="BC118" s="635">
        <f t="shared" si="275"/>
        <v>145.80495936239356</v>
      </c>
      <c r="BD118" s="635">
        <f t="shared" si="275"/>
        <v>121.51087489430755</v>
      </c>
      <c r="BE118" s="635">
        <f t="shared" si="275"/>
        <v>100.95977854723172</v>
      </c>
      <c r="BF118" s="635">
        <f t="shared" si="275"/>
        <v>70.708148799418154</v>
      </c>
      <c r="BG118" s="635">
        <f t="shared" si="275"/>
        <v>46.64901561055548</v>
      </c>
      <c r="BH118" s="635">
        <f t="shared" si="275"/>
        <v>39.782267298209774</v>
      </c>
      <c r="BI118" s="635">
        <f t="shared" si="275"/>
        <v>35.562076298661417</v>
      </c>
      <c r="BJ118" s="635">
        <f t="shared" si="275"/>
        <v>29.877788057433573</v>
      </c>
      <c r="BK118" s="636">
        <f t="shared" ref="BK118:BX118" si="276">+BK117*1000/($D$7*365)</f>
        <v>907.10221917808201</v>
      </c>
      <c r="BL118" s="635">
        <f t="shared" si="276"/>
        <v>857.01354737124529</v>
      </c>
      <c r="BM118" s="635">
        <f t="shared" si="276"/>
        <v>708.27042875184122</v>
      </c>
      <c r="BN118" s="635">
        <f t="shared" si="276"/>
        <v>540.44725484069693</v>
      </c>
      <c r="BO118" s="635">
        <f t="shared" si="276"/>
        <v>423.18296280844186</v>
      </c>
      <c r="BP118" s="635">
        <f t="shared" si="276"/>
        <v>277.72556308563128</v>
      </c>
      <c r="BQ118" s="635">
        <f t="shared" si="276"/>
        <v>167.40082958217096</v>
      </c>
      <c r="BR118" s="635">
        <f t="shared" si="276"/>
        <v>113.66430866090849</v>
      </c>
      <c r="BS118" s="635">
        <f t="shared" si="276"/>
        <v>86.179534515747221</v>
      </c>
      <c r="BT118" s="635">
        <f t="shared" si="276"/>
        <v>52.708440770773045</v>
      </c>
      <c r="BU118" s="635">
        <f t="shared" si="276"/>
        <v>38.035578449319281</v>
      </c>
      <c r="BV118" s="635">
        <f t="shared" si="276"/>
        <v>28.498670308086265</v>
      </c>
      <c r="BW118" s="635">
        <f t="shared" si="276"/>
        <v>21.316138413682069</v>
      </c>
      <c r="BX118" s="637">
        <f t="shared" si="276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1479</v>
      </c>
      <c r="AC119" s="12" t="s">
        <v>1480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7">J98</f>
        <v>Basin</v>
      </c>
      <c r="K120" s="608" t="str">
        <f t="shared" si="277"/>
        <v>Type Fluid</v>
      </c>
      <c r="L120" s="608" t="str">
        <f t="shared" si="277"/>
        <v>CAM</v>
      </c>
      <c r="M120" s="608" t="str">
        <f t="shared" si="277"/>
        <v>Type of Oil producing</v>
      </c>
      <c r="N120" s="638" t="s">
        <v>1481</v>
      </c>
      <c r="Y120" s="639" t="s">
        <v>1422</v>
      </c>
      <c r="Z120" s="639" t="s">
        <v>1482</v>
      </c>
      <c r="AA120" s="640" t="s">
        <v>1483</v>
      </c>
      <c r="AB120" s="640" t="s">
        <v>1484</v>
      </c>
      <c r="AC120" s="640" t="s">
        <v>1485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8">J99</f>
        <v>Guajira</v>
      </c>
      <c r="K121" s="103" t="str">
        <f t="shared" si="278"/>
        <v>Doesn't Apply</v>
      </c>
      <c r="L121" s="614" t="str">
        <f t="shared" si="278"/>
        <v>CAM1</v>
      </c>
      <c r="M121" s="615" t="str">
        <f t="shared" si="278"/>
        <v>GU - Gas</v>
      </c>
      <c r="N121" s="379">
        <f t="shared" ref="N121:N122" si="279">+$T$133/1000</f>
        <v>1.0582000000000001E-2</v>
      </c>
      <c r="O121" s="379" t="s">
        <v>1486</v>
      </c>
      <c r="S121" s="12">
        <v>11.07</v>
      </c>
      <c r="U121" s="12">
        <f t="shared" ref="U121:U127" si="280">+S121*N121</f>
        <v>0.11714274000000001</v>
      </c>
      <c r="X121" s="615" t="s">
        <v>1468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1302</v>
      </c>
      <c r="AB121" s="12" t="s">
        <v>1302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1">J100</f>
        <v>Llanos Orientales</v>
      </c>
      <c r="K122" s="103" t="str">
        <f t="shared" si="281"/>
        <v>Light Oil</v>
      </c>
      <c r="L122" s="614" t="str">
        <f t="shared" si="281"/>
        <v>CAM2</v>
      </c>
      <c r="M122" s="626" t="str">
        <f t="shared" si="281"/>
        <v>LLO - Ligth</v>
      </c>
      <c r="N122" s="379">
        <f t="shared" si="279"/>
        <v>1.0582000000000001E-2</v>
      </c>
      <c r="O122" s="379" t="s">
        <v>1486</v>
      </c>
      <c r="S122" s="12">
        <v>363.69</v>
      </c>
      <c r="U122" s="12">
        <f t="shared" si="280"/>
        <v>3.8485675800000005</v>
      </c>
      <c r="X122" s="626" t="s">
        <v>1469</v>
      </c>
      <c r="Y122" s="400">
        <v>0.70411500249785086</v>
      </c>
      <c r="Z122" s="641">
        <v>209.74608813235034</v>
      </c>
      <c r="AA122" s="12" t="s">
        <v>1302</v>
      </c>
      <c r="AB122" s="12" t="s">
        <v>1302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2">J101</f>
        <v>Llanos Orientales</v>
      </c>
      <c r="K123" s="103" t="str">
        <f t="shared" si="282"/>
        <v>Heavy Oil</v>
      </c>
      <c r="L123" s="614" t="str">
        <f t="shared" si="282"/>
        <v>CAM3</v>
      </c>
      <c r="M123" s="34" t="str">
        <f t="shared" si="282"/>
        <v>LLO - Heavy</v>
      </c>
      <c r="N123" s="379">
        <f>+(T135+$T$133)/1000</f>
        <v>1.4998000000000001E-2</v>
      </c>
      <c r="O123" s="379" t="s">
        <v>1486</v>
      </c>
      <c r="S123" s="12">
        <v>726.7</v>
      </c>
      <c r="U123" s="12">
        <f t="shared" si="280"/>
        <v>10.899046600000002</v>
      </c>
      <c r="X123" s="34" t="s">
        <v>1470</v>
      </c>
      <c r="Y123" s="400">
        <v>2.8224919834781799E-3</v>
      </c>
      <c r="Z123" s="641">
        <v>0.23786180586758954</v>
      </c>
      <c r="AA123" s="12" t="s">
        <v>1302</v>
      </c>
      <c r="AB123" s="12" t="s">
        <v>607</v>
      </c>
      <c r="AC123" s="12" t="s">
        <v>1302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3">J102</f>
        <v>Putumayo</v>
      </c>
      <c r="K124" s="103" t="str">
        <f t="shared" si="283"/>
        <v>Light Oil</v>
      </c>
      <c r="L124" s="614" t="str">
        <f t="shared" si="283"/>
        <v>CAM4</v>
      </c>
      <c r="M124" s="34" t="str">
        <f t="shared" si="283"/>
        <v>PU - Ligth</v>
      </c>
      <c r="N124" s="379">
        <f t="shared" ref="N124:N127" si="284">+$T$133/1000</f>
        <v>1.0582000000000001E-2</v>
      </c>
      <c r="O124" s="379" t="s">
        <v>1486</v>
      </c>
      <c r="P124" s="1"/>
      <c r="S124" s="12">
        <v>5.64</v>
      </c>
      <c r="U124" s="12">
        <f t="shared" si="280"/>
        <v>5.9682480000000003E-2</v>
      </c>
      <c r="X124" s="34" t="s">
        <v>1471</v>
      </c>
      <c r="Y124" s="400">
        <v>0.2264193930205074</v>
      </c>
      <c r="Z124" s="641">
        <v>0</v>
      </c>
      <c r="AA124" s="12" t="s">
        <v>1302</v>
      </c>
      <c r="AB124" s="12" t="s">
        <v>607</v>
      </c>
      <c r="AC124" s="12" t="s">
        <v>1302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5">J103</f>
        <v>VMM</v>
      </c>
      <c r="K125" s="103" t="str">
        <f t="shared" si="285"/>
        <v>Medium Oil</v>
      </c>
      <c r="L125" s="614" t="str">
        <f t="shared" si="285"/>
        <v>CAM5</v>
      </c>
      <c r="M125" s="34" t="str">
        <f t="shared" si="285"/>
        <v>VMM - Medium</v>
      </c>
      <c r="N125" s="379">
        <f t="shared" si="284"/>
        <v>1.0582000000000001E-2</v>
      </c>
      <c r="O125" s="379" t="s">
        <v>1486</v>
      </c>
      <c r="P125" s="1"/>
      <c r="S125" s="12">
        <v>165.44</v>
      </c>
      <c r="U125" s="12">
        <f t="shared" si="280"/>
        <v>1.7506860800000001</v>
      </c>
      <c r="X125" s="34" t="s">
        <v>1472</v>
      </c>
      <c r="Y125" s="400">
        <v>2.9005932398423979E-2</v>
      </c>
      <c r="Z125" s="641">
        <v>2.2768748695271519</v>
      </c>
      <c r="AA125" s="12" t="s">
        <v>1302</v>
      </c>
      <c r="AB125" s="12" t="s">
        <v>607</v>
      </c>
      <c r="AC125" s="12" t="s">
        <v>1302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6">J104</f>
        <v>VSM</v>
      </c>
      <c r="K126" s="103" t="str">
        <f t="shared" si="286"/>
        <v>Medium Oil</v>
      </c>
      <c r="L126" s="614" t="str">
        <f t="shared" si="286"/>
        <v>CAM6</v>
      </c>
      <c r="M126" s="626" t="str">
        <f t="shared" si="286"/>
        <v>VSM - Medium</v>
      </c>
      <c r="N126" s="379">
        <f t="shared" si="284"/>
        <v>1.0582000000000001E-2</v>
      </c>
      <c r="O126" s="379" t="s">
        <v>1486</v>
      </c>
      <c r="P126" s="1"/>
      <c r="S126" s="12">
        <v>29.86</v>
      </c>
      <c r="U126" s="12">
        <f t="shared" si="280"/>
        <v>0.31597852000000004</v>
      </c>
      <c r="X126" s="626" t="s">
        <v>1473</v>
      </c>
      <c r="Y126" s="400">
        <v>4.9174002504380532E-2</v>
      </c>
      <c r="Z126" s="641">
        <v>0.61987830491387741</v>
      </c>
      <c r="AA126" s="12" t="s">
        <v>1302</v>
      </c>
      <c r="AB126" s="12" t="s">
        <v>607</v>
      </c>
      <c r="AC126" s="12" t="s">
        <v>1302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1264</v>
      </c>
      <c r="K127" s="103" t="str">
        <f t="shared" ref="K127:M127" si="287">+K105</f>
        <v>Doesn't Apply</v>
      </c>
      <c r="L127" s="614" t="str">
        <f t="shared" si="287"/>
        <v>CAM7</v>
      </c>
      <c r="M127" s="626" t="str">
        <f t="shared" si="287"/>
        <v>VIM - GAS</v>
      </c>
      <c r="N127" s="379">
        <f t="shared" si="284"/>
        <v>1.0582000000000001E-2</v>
      </c>
      <c r="O127" s="379" t="s">
        <v>1486</v>
      </c>
      <c r="P127" s="1"/>
      <c r="S127" s="12">
        <v>11.13</v>
      </c>
      <c r="U127" s="12">
        <f t="shared" si="280"/>
        <v>0.11777766000000002</v>
      </c>
      <c r="X127" s="626" t="s">
        <v>1474</v>
      </c>
      <c r="Y127" s="400">
        <v>0.99457310605335914</v>
      </c>
      <c r="Z127" s="641">
        <v>13.465657577297089</v>
      </c>
      <c r="AA127" s="12" t="s">
        <v>1302</v>
      </c>
      <c r="AB127" s="12" t="s">
        <v>1302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8">J106</f>
        <v>Llanos Orientales</v>
      </c>
      <c r="K128" s="103" t="str">
        <f t="shared" si="288"/>
        <v>Medium Oil</v>
      </c>
      <c r="L128" s="614" t="str">
        <f t="shared" si="288"/>
        <v>P</v>
      </c>
      <c r="M128" s="103">
        <f t="shared" si="288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9">J107</f>
        <v>Putumayo</v>
      </c>
      <c r="K129" s="103" t="str">
        <f t="shared" si="289"/>
        <v>Medium Oil</v>
      </c>
      <c r="L129" s="614" t="str">
        <f t="shared" si="289"/>
        <v>P</v>
      </c>
      <c r="M129" s="103">
        <f t="shared" si="289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90">J108</f>
        <v>Putumayo</v>
      </c>
      <c r="K130" s="103" t="str">
        <f t="shared" si="290"/>
        <v>Heavy Oil</v>
      </c>
      <c r="L130" s="614" t="str">
        <f t="shared" si="290"/>
        <v>P</v>
      </c>
      <c r="M130" s="103">
        <f t="shared" si="290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1">J109</f>
        <v>VMM</v>
      </c>
      <c r="K131" s="103" t="str">
        <f t="shared" si="291"/>
        <v>Light Oil</v>
      </c>
      <c r="L131" s="614" t="str">
        <f t="shared" si="291"/>
        <v>P</v>
      </c>
      <c r="M131" s="103">
        <f t="shared" si="291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2">J110</f>
        <v>VMM</v>
      </c>
      <c r="K132" s="103" t="str">
        <f t="shared" si="292"/>
        <v>Heavy Oil</v>
      </c>
      <c r="L132" s="614" t="str">
        <f t="shared" si="292"/>
        <v>P</v>
      </c>
      <c r="M132" s="103">
        <f t="shared" si="292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1487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3">J111</f>
        <v>VSM</v>
      </c>
      <c r="K133" s="103" t="str">
        <f t="shared" si="293"/>
        <v>Light Oil</v>
      </c>
      <c r="L133" s="614" t="str">
        <f t="shared" si="293"/>
        <v>P</v>
      </c>
      <c r="M133" s="103">
        <f t="shared" si="293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1487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4">J112</f>
        <v>VSM</v>
      </c>
      <c r="K134" s="103" t="str">
        <f t="shared" si="294"/>
        <v>Heavy Oil</v>
      </c>
      <c r="L134" s="614" t="str">
        <f t="shared" si="294"/>
        <v>P</v>
      </c>
      <c r="M134" s="103">
        <f t="shared" si="294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1487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1487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1487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958" t="s">
        <v>1488</v>
      </c>
      <c r="K138" s="956"/>
      <c r="L138" s="956"/>
      <c r="M138" s="956"/>
      <c r="N138" s="956"/>
      <c r="O138" s="956"/>
      <c r="P138" s="956"/>
      <c r="Q138" s="956"/>
      <c r="R138" s="956"/>
      <c r="S138" s="956"/>
      <c r="T138" s="956"/>
      <c r="U138" s="956"/>
      <c r="V138" s="956"/>
      <c r="W138" s="956"/>
      <c r="X138" s="956"/>
      <c r="Y138" s="956"/>
      <c r="Z138" s="956"/>
      <c r="AA138" s="956"/>
      <c r="AB138" s="956"/>
      <c r="AC138" s="956"/>
      <c r="AD138" s="956"/>
      <c r="AE138" s="956"/>
      <c r="AF138" s="956"/>
      <c r="AG138" s="957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5">J120</f>
        <v>Basin</v>
      </c>
      <c r="K140" s="608" t="str">
        <f t="shared" si="295"/>
        <v>Type Fluid</v>
      </c>
      <c r="L140" s="608" t="str">
        <f t="shared" si="295"/>
        <v>CAM</v>
      </c>
      <c r="M140" s="608" t="str">
        <f t="shared" si="295"/>
        <v>Type of Oil producing</v>
      </c>
      <c r="N140" s="426" t="s">
        <v>1489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6">J121</f>
        <v>Guajira</v>
      </c>
      <c r="K141" s="103" t="str">
        <f t="shared" si="296"/>
        <v>Doesn't Apply</v>
      </c>
      <c r="L141" s="614" t="str">
        <f t="shared" si="296"/>
        <v>CAM1</v>
      </c>
      <c r="M141" s="615" t="str">
        <f t="shared" si="296"/>
        <v>GU - Gas</v>
      </c>
      <c r="N141" s="1">
        <f>+T144</f>
        <v>0.4</v>
      </c>
      <c r="O141" s="1"/>
      <c r="P141" s="1"/>
      <c r="Q141" s="1"/>
      <c r="R141" s="1"/>
      <c r="T141" s="805" t="s">
        <v>1640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7">J122</f>
        <v>Llanos Orientales</v>
      </c>
      <c r="K142" s="103" t="str">
        <f t="shared" si="297"/>
        <v>Light Oil</v>
      </c>
      <c r="L142" s="614" t="str">
        <f t="shared" si="297"/>
        <v>CAM2</v>
      </c>
      <c r="M142" s="626" t="str">
        <f t="shared" si="297"/>
        <v>LLO - Ligth</v>
      </c>
      <c r="N142" s="1">
        <f>+T144+0.5</f>
        <v>0.9</v>
      </c>
      <c r="O142" s="1"/>
      <c r="P142" s="1"/>
      <c r="Q142" s="1"/>
      <c r="R142" s="1"/>
      <c r="S142" s="12" t="s">
        <v>1491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8">J123</f>
        <v>Llanos Orientales</v>
      </c>
      <c r="K143" s="103" t="str">
        <f t="shared" si="298"/>
        <v>Heavy Oil</v>
      </c>
      <c r="L143" s="614" t="str">
        <f t="shared" si="298"/>
        <v>CAM3</v>
      </c>
      <c r="M143" s="34" t="str">
        <f t="shared" si="298"/>
        <v>LLO - Heavy</v>
      </c>
      <c r="N143" s="1">
        <f>+T145</f>
        <v>0.5</v>
      </c>
      <c r="O143" s="1"/>
      <c r="P143" s="1"/>
      <c r="Q143" s="1"/>
      <c r="R143" s="1"/>
      <c r="S143" s="12" t="s">
        <v>1483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9">J124</f>
        <v>Putumayo</v>
      </c>
      <c r="K144" s="103" t="str">
        <f t="shared" si="299"/>
        <v>Light Oil</v>
      </c>
      <c r="L144" s="614" t="str">
        <f t="shared" si="299"/>
        <v>CAM4</v>
      </c>
      <c r="M144" s="34" t="str">
        <f t="shared" si="299"/>
        <v>PU - Ligth</v>
      </c>
      <c r="N144" s="1">
        <f>+T145</f>
        <v>0.5</v>
      </c>
      <c r="O144" s="1"/>
      <c r="P144" s="1"/>
      <c r="Q144" s="1"/>
      <c r="R144" s="1"/>
      <c r="S144" s="12" t="s">
        <v>1492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300">J125</f>
        <v>VMM</v>
      </c>
      <c r="K145" s="103" t="str">
        <f t="shared" si="300"/>
        <v>Medium Oil</v>
      </c>
      <c r="L145" s="614" t="str">
        <f t="shared" si="300"/>
        <v>CAM5</v>
      </c>
      <c r="M145" s="34" t="str">
        <f t="shared" si="300"/>
        <v>VMM - Medium</v>
      </c>
      <c r="N145" s="1">
        <f>+T145</f>
        <v>0.5</v>
      </c>
      <c r="O145" s="1"/>
      <c r="P145" s="1"/>
      <c r="Q145" s="1"/>
      <c r="R145" s="1"/>
      <c r="S145" s="12" t="s">
        <v>1485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1">J126</f>
        <v>VSM</v>
      </c>
      <c r="K146" s="103" t="str">
        <f t="shared" si="301"/>
        <v>Medium Oil</v>
      </c>
      <c r="L146" s="614" t="str">
        <f t="shared" si="301"/>
        <v>CAM6</v>
      </c>
      <c r="M146" s="626" t="str">
        <f t="shared" si="301"/>
        <v>VSM - Medium</v>
      </c>
      <c r="N146" s="1">
        <f>+T145</f>
        <v>0.5</v>
      </c>
      <c r="O146" s="1"/>
      <c r="P146" s="1"/>
      <c r="Q146" s="1"/>
      <c r="R146" s="1"/>
      <c r="S146" s="12" t="s">
        <v>1493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2">J127</f>
        <v>VIM</v>
      </c>
      <c r="K147" s="103" t="str">
        <f t="shared" si="302"/>
        <v>Doesn't Apply</v>
      </c>
      <c r="L147" s="614" t="str">
        <f t="shared" si="302"/>
        <v>CAM7</v>
      </c>
      <c r="M147" s="626" t="str">
        <f t="shared" si="302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958" t="s">
        <v>1494</v>
      </c>
      <c r="K152" s="956"/>
      <c r="L152" s="956"/>
      <c r="M152" s="956"/>
      <c r="N152" s="956"/>
      <c r="O152" s="956"/>
      <c r="P152" s="956"/>
      <c r="Q152" s="956"/>
      <c r="R152" s="956"/>
      <c r="S152" s="956"/>
      <c r="T152" s="956"/>
      <c r="U152" s="956"/>
      <c r="V152" s="956"/>
      <c r="W152" s="956"/>
      <c r="X152" s="956"/>
      <c r="Y152" s="956"/>
      <c r="Z152" s="956"/>
      <c r="AA152" s="956"/>
      <c r="AB152" s="956"/>
      <c r="AC152" s="956"/>
      <c r="AD152" s="956"/>
      <c r="AE152" s="956"/>
      <c r="AF152" s="956"/>
      <c r="AG152" s="957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1495</v>
      </c>
      <c r="W154" s="282" t="s">
        <v>1496</v>
      </c>
      <c r="X154" s="282"/>
      <c r="Y154" s="282"/>
      <c r="Z154" s="282"/>
      <c r="AA154" s="282"/>
      <c r="AB154" s="282"/>
      <c r="AC154" s="282"/>
      <c r="AF154" s="282" t="s">
        <v>1497</v>
      </c>
      <c r="AG154" s="282"/>
      <c r="AH154" s="282"/>
      <c r="AI154" s="282"/>
      <c r="AJ154" s="282"/>
      <c r="AK154" s="282"/>
      <c r="AL154" s="282"/>
      <c r="AY154" s="282" t="s">
        <v>1498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3">J120</f>
        <v>Basin</v>
      </c>
      <c r="K155" s="608" t="str">
        <f t="shared" si="303"/>
        <v>Type Fluid</v>
      </c>
      <c r="L155" s="608" t="str">
        <f t="shared" si="303"/>
        <v>CAM</v>
      </c>
      <c r="M155" s="608" t="str">
        <f t="shared" si="303"/>
        <v>Type of Oil producing</v>
      </c>
      <c r="N155" s="952" t="s">
        <v>1499</v>
      </c>
      <c r="O155" s="908"/>
      <c r="P155" s="952" t="s">
        <v>1499</v>
      </c>
      <c r="Q155" s="908"/>
      <c r="R155" s="643" t="s">
        <v>1500</v>
      </c>
      <c r="S155" s="643" t="s">
        <v>1501</v>
      </c>
      <c r="W155" s="12" t="s">
        <v>1502</v>
      </c>
      <c r="X155" s="12" t="s">
        <v>1503</v>
      </c>
      <c r="Y155" s="12" t="s">
        <v>1243</v>
      </c>
      <c r="Z155" s="12" t="s">
        <v>1352</v>
      </c>
      <c r="AA155" s="12" t="s">
        <v>1356</v>
      </c>
      <c r="AB155" s="12" t="s">
        <v>1257</v>
      </c>
      <c r="AC155" s="12" t="s">
        <v>1504</v>
      </c>
      <c r="AF155" s="12" t="s">
        <v>1502</v>
      </c>
      <c r="AG155" s="12" t="s">
        <v>1503</v>
      </c>
      <c r="AH155" s="12" t="s">
        <v>1243</v>
      </c>
      <c r="AI155" s="12" t="s">
        <v>1352</v>
      </c>
      <c r="AJ155" s="12" t="s">
        <v>1356</v>
      </c>
      <c r="AK155" s="12" t="s">
        <v>1257</v>
      </c>
      <c r="AL155" s="12" t="s">
        <v>1504</v>
      </c>
      <c r="AO155" s="12" t="s">
        <v>1502</v>
      </c>
      <c r="AP155" s="12" t="s">
        <v>1503</v>
      </c>
      <c r="AQ155" s="12" t="s">
        <v>1243</v>
      </c>
      <c r="AR155" s="12" t="s">
        <v>1352</v>
      </c>
      <c r="AS155" s="12" t="s">
        <v>1356</v>
      </c>
      <c r="AT155" s="12" t="s">
        <v>1257</v>
      </c>
      <c r="AU155" s="12" t="s">
        <v>1504</v>
      </c>
      <c r="AY155" s="12" t="s">
        <v>1502</v>
      </c>
      <c r="AZ155" s="12" t="s">
        <v>1503</v>
      </c>
      <c r="BA155" s="12" t="s">
        <v>1243</v>
      </c>
      <c r="BB155" s="12" t="s">
        <v>1352</v>
      </c>
      <c r="BC155" s="12" t="s">
        <v>1356</v>
      </c>
      <c r="BD155" s="12" t="s">
        <v>1257</v>
      </c>
      <c r="BE155" s="12" t="s">
        <v>1504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4">J121</f>
        <v>Guajira</v>
      </c>
      <c r="K156" s="103" t="str">
        <f t="shared" si="304"/>
        <v>Doesn't Apply</v>
      </c>
      <c r="L156" s="614" t="str">
        <f t="shared" si="304"/>
        <v>CAM1</v>
      </c>
      <c r="M156" s="615" t="str">
        <f t="shared" si="304"/>
        <v>GU - Gas</v>
      </c>
      <c r="N156" s="644">
        <v>0</v>
      </c>
      <c r="O156" s="645" t="s">
        <v>585</v>
      </c>
      <c r="P156" s="346">
        <f t="shared" ref="P156:P162" si="305">+N156*(365/1000)*$D$14/1000</f>
        <v>0</v>
      </c>
      <c r="Q156" s="12" t="s">
        <v>59</v>
      </c>
      <c r="R156" s="295">
        <f t="shared" ref="R156:R162" si="306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7">+AF156/W156</f>
        <v>0.15405477025270101</v>
      </c>
      <c r="AP156" s="228">
        <f t="shared" si="307"/>
        <v>0.16313036838542497</v>
      </c>
      <c r="AQ156" s="228">
        <f t="shared" si="307"/>
        <v>0</v>
      </c>
      <c r="AR156" s="228">
        <f t="shared" si="307"/>
        <v>0</v>
      </c>
      <c r="AS156" s="228">
        <f t="shared" si="307"/>
        <v>0.20013123783141773</v>
      </c>
      <c r="AT156" s="228">
        <f t="shared" si="307"/>
        <v>0</v>
      </c>
      <c r="AU156" s="228"/>
      <c r="AX156" s="12">
        <v>2019</v>
      </c>
      <c r="AY156" s="231">
        <f t="shared" ref="AY156:BE156" si="308">+W156-AF156</f>
        <v>1906.70037611931</v>
      </c>
      <c r="AZ156" s="231">
        <f t="shared" si="308"/>
        <v>3340.8684145499046</v>
      </c>
      <c r="BA156" s="231">
        <f t="shared" si="308"/>
        <v>469.74801054894476</v>
      </c>
      <c r="BB156" s="231">
        <f t="shared" si="308"/>
        <v>1938.6301241137664</v>
      </c>
      <c r="BC156" s="231">
        <f t="shared" si="308"/>
        <v>5877.8520308516045</v>
      </c>
      <c r="BD156" s="231">
        <f t="shared" si="308"/>
        <v>162.27952651346473</v>
      </c>
      <c r="BE156" s="231">
        <f t="shared" si="308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9">J122</f>
        <v>Llanos Orientales</v>
      </c>
      <c r="K157" s="103" t="str">
        <f t="shared" si="309"/>
        <v>Light Oil</v>
      </c>
      <c r="L157" s="614" t="str">
        <f t="shared" si="309"/>
        <v>CAM2</v>
      </c>
      <c r="M157" s="626" t="str">
        <f t="shared" si="309"/>
        <v>LLO - Ligth</v>
      </c>
      <c r="N157" s="644">
        <f>+Z164+AA164</f>
        <v>14800</v>
      </c>
      <c r="O157" s="645" t="s">
        <v>585</v>
      </c>
      <c r="P157" s="222">
        <f t="shared" si="305"/>
        <v>21.91194918242925</v>
      </c>
      <c r="Q157" s="12" t="s">
        <v>59</v>
      </c>
      <c r="R157" s="295">
        <f t="shared" si="306"/>
        <v>0.20433496451438232</v>
      </c>
      <c r="S157" s="205">
        <f t="shared" ref="S157:S158" si="310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1">+AF157/W157</f>
        <v>0.1159077129814239</v>
      </c>
      <c r="AP157" s="228">
        <f t="shared" si="311"/>
        <v>0.13677951758401249</v>
      </c>
      <c r="AQ157" s="228">
        <f t="shared" si="311"/>
        <v>0</v>
      </c>
      <c r="AR157" s="228">
        <f t="shared" si="311"/>
        <v>8.2187866631770315E-2</v>
      </c>
      <c r="AS157" s="228">
        <f t="shared" si="311"/>
        <v>0.88546042212861831</v>
      </c>
      <c r="AT157" s="228">
        <f t="shared" si="311"/>
        <v>0</v>
      </c>
      <c r="AU157" s="228">
        <f t="shared" si="311"/>
        <v>0</v>
      </c>
      <c r="AX157" s="12">
        <v>2020</v>
      </c>
      <c r="AY157" s="231">
        <f t="shared" ref="AY157:BE157" si="312">+W157-AF157</f>
        <v>2676.9587365888206</v>
      </c>
      <c r="AZ157" s="231">
        <f t="shared" si="312"/>
        <v>2862.9972848497969</v>
      </c>
      <c r="BA157" s="231">
        <f t="shared" si="312"/>
        <v>347.53424063269131</v>
      </c>
      <c r="BB157" s="231">
        <f t="shared" si="312"/>
        <v>6553.4300639990279</v>
      </c>
      <c r="BC157" s="231">
        <f t="shared" si="312"/>
        <v>849.91505735840656</v>
      </c>
      <c r="BD157" s="231">
        <f t="shared" si="312"/>
        <v>176.72627372066282</v>
      </c>
      <c r="BE157" s="231">
        <f t="shared" si="312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3">J123</f>
        <v>Llanos Orientales</v>
      </c>
      <c r="K158" s="103" t="str">
        <f t="shared" si="313"/>
        <v>Heavy Oil</v>
      </c>
      <c r="L158" s="614" t="str">
        <f t="shared" si="313"/>
        <v>CAM3</v>
      </c>
      <c r="M158" s="34" t="str">
        <f t="shared" si="313"/>
        <v>LLO - Heavy</v>
      </c>
      <c r="N158" s="644">
        <f>+Y164</f>
        <v>800</v>
      </c>
      <c r="O158" s="645" t="s">
        <v>585</v>
      </c>
      <c r="P158" s="222">
        <f t="shared" si="305"/>
        <v>1.1844296855367162</v>
      </c>
      <c r="Q158" s="12" t="s">
        <v>59</v>
      </c>
      <c r="R158" s="295">
        <f t="shared" si="306"/>
        <v>0.4507029118970462</v>
      </c>
      <c r="S158" s="205">
        <f t="shared" si="310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4">+AF158/W158</f>
        <v>0.1407527708968016</v>
      </c>
      <c r="AP158" s="228">
        <f t="shared" si="314"/>
        <v>0.13242258931901152</v>
      </c>
      <c r="AQ158" s="228">
        <f t="shared" si="314"/>
        <v>0</v>
      </c>
      <c r="AR158" s="228">
        <f t="shared" si="314"/>
        <v>0.11199254112697508</v>
      </c>
      <c r="AS158" s="228">
        <f t="shared" si="314"/>
        <v>1</v>
      </c>
      <c r="AT158" s="228">
        <f t="shared" si="314"/>
        <v>0</v>
      </c>
      <c r="AU158" s="228">
        <f t="shared" si="314"/>
        <v>0</v>
      </c>
      <c r="AX158" s="12">
        <v>2021</v>
      </c>
      <c r="AY158" s="231">
        <f t="shared" ref="AY158:BE158" si="315">+W158-AF158</f>
        <v>2819.0135734125929</v>
      </c>
      <c r="AZ158" s="231">
        <f t="shared" si="315"/>
        <v>2620.6328693276228</v>
      </c>
      <c r="BA158" s="231">
        <f t="shared" si="315"/>
        <v>267.12599398671159</v>
      </c>
      <c r="BB158" s="231">
        <f t="shared" si="315"/>
        <v>6260.0876104745112</v>
      </c>
      <c r="BC158" s="231">
        <f t="shared" si="315"/>
        <v>0</v>
      </c>
      <c r="BD158" s="231">
        <f t="shared" si="315"/>
        <v>169.26612475518095</v>
      </c>
      <c r="BE158" s="231">
        <f t="shared" si="315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6">J124</f>
        <v>Putumayo</v>
      </c>
      <c r="K159" s="103" t="str">
        <f t="shared" si="316"/>
        <v>Light Oil</v>
      </c>
      <c r="L159" s="614" t="str">
        <f t="shared" si="316"/>
        <v>CAM4</v>
      </c>
      <c r="M159" s="34" t="str">
        <f t="shared" si="316"/>
        <v>PU - Ligth</v>
      </c>
      <c r="N159" s="644">
        <f>+T102</f>
        <v>0</v>
      </c>
      <c r="O159" s="645" t="s">
        <v>585</v>
      </c>
      <c r="P159" s="346">
        <f t="shared" si="305"/>
        <v>0</v>
      </c>
      <c r="Q159" s="12" t="s">
        <v>59</v>
      </c>
      <c r="R159" s="295">
        <f t="shared" si="306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7">+AF159/W159</f>
        <v>0.12152481352242414</v>
      </c>
      <c r="AP159" s="228">
        <f t="shared" si="317"/>
        <v>0.31368170130091166</v>
      </c>
      <c r="AQ159" s="228">
        <f t="shared" si="317"/>
        <v>1</v>
      </c>
      <c r="AR159" s="228">
        <f t="shared" si="317"/>
        <v>7.2943751298862075E-2</v>
      </c>
      <c r="AS159" s="228">
        <f t="shared" si="317"/>
        <v>0.28868562382529195</v>
      </c>
      <c r="AT159" s="228">
        <f t="shared" si="317"/>
        <v>0</v>
      </c>
      <c r="AU159" s="228"/>
      <c r="AX159" s="12">
        <v>2022</v>
      </c>
      <c r="AY159" s="231">
        <f t="shared" ref="AY159:BE159" si="318">+W159-AF159</f>
        <v>2623.1530688385824</v>
      </c>
      <c r="AZ159" s="231">
        <f t="shared" si="318"/>
        <v>3118.5927400944838</v>
      </c>
      <c r="BA159" s="231">
        <f t="shared" si="318"/>
        <v>0</v>
      </c>
      <c r="BB159" s="231">
        <f t="shared" si="318"/>
        <v>7406.3260273972601</v>
      </c>
      <c r="BC159" s="231">
        <f t="shared" si="318"/>
        <v>5405.9892589277824</v>
      </c>
      <c r="BD159" s="231">
        <f t="shared" si="318"/>
        <v>162.77808219178081</v>
      </c>
      <c r="BE159" s="231">
        <f t="shared" si="318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9">J125</f>
        <v>VMM</v>
      </c>
      <c r="K160" s="103" t="str">
        <f t="shared" si="319"/>
        <v>Medium Oil</v>
      </c>
      <c r="L160" s="614" t="str">
        <f t="shared" si="319"/>
        <v>CAM5</v>
      </c>
      <c r="M160" s="34" t="str">
        <f t="shared" si="319"/>
        <v>VMM - Medium</v>
      </c>
      <c r="N160" s="644">
        <v>0</v>
      </c>
      <c r="O160" s="645" t="s">
        <v>585</v>
      </c>
      <c r="P160" s="346">
        <f t="shared" si="305"/>
        <v>0</v>
      </c>
      <c r="Q160" s="12" t="s">
        <v>59</v>
      </c>
      <c r="R160" s="295">
        <f t="shared" si="306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20">+AF160/W160</f>
        <v>0.12698412698412698</v>
      </c>
      <c r="AP160" s="228">
        <f t="shared" si="320"/>
        <v>0.3537521850207993</v>
      </c>
      <c r="AQ160" s="228">
        <f t="shared" si="320"/>
        <v>1</v>
      </c>
      <c r="AR160" s="228">
        <f t="shared" si="320"/>
        <v>0</v>
      </c>
      <c r="AS160" s="228">
        <f t="shared" si="320"/>
        <v>0.42318994608237315</v>
      </c>
      <c r="AT160" s="228">
        <f t="shared" si="320"/>
        <v>0</v>
      </c>
      <c r="AU160" s="228"/>
      <c r="AX160" s="12">
        <v>2023</v>
      </c>
      <c r="AY160" s="231">
        <f t="shared" ref="AY160:BE160" si="321">+W160-AF160</f>
        <v>2750</v>
      </c>
      <c r="AZ160" s="231">
        <f t="shared" si="321"/>
        <v>2740.2564945621634</v>
      </c>
      <c r="BA160" s="231">
        <f t="shared" si="321"/>
        <v>0</v>
      </c>
      <c r="BB160" s="231">
        <f t="shared" si="321"/>
        <v>8100</v>
      </c>
      <c r="BC160" s="231">
        <f t="shared" si="321"/>
        <v>4197.9034694971524</v>
      </c>
      <c r="BD160" s="231">
        <f t="shared" si="321"/>
        <v>151.73424657534247</v>
      </c>
      <c r="BE160" s="231">
        <f t="shared" si="321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2">J126</f>
        <v>VSM</v>
      </c>
      <c r="K161" s="103" t="str">
        <f t="shared" si="322"/>
        <v>Medium Oil</v>
      </c>
      <c r="L161" s="614" t="str">
        <f t="shared" si="322"/>
        <v>CAM6</v>
      </c>
      <c r="M161" s="626" t="str">
        <f t="shared" si="322"/>
        <v>VSM - Medium</v>
      </c>
      <c r="N161" s="644">
        <f>+AB164</f>
        <v>176.72627372066282</v>
      </c>
      <c r="O161" s="645" t="s">
        <v>585</v>
      </c>
      <c r="P161" s="222">
        <f t="shared" si="305"/>
        <v>0.26164980601130039</v>
      </c>
      <c r="Q161" s="12" t="s">
        <v>59</v>
      </c>
      <c r="R161" s="295">
        <f t="shared" si="306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3">+AF161/W161</f>
        <v>0.126984126984127</v>
      </c>
      <c r="AP161" s="228">
        <f t="shared" si="323"/>
        <v>0.3454379894036303</v>
      </c>
      <c r="AQ161" s="228">
        <f t="shared" si="323"/>
        <v>1</v>
      </c>
      <c r="AR161" s="228">
        <f t="shared" si="323"/>
        <v>0</v>
      </c>
      <c r="AS161" s="228">
        <f t="shared" si="323"/>
        <v>0.53901258557495457</v>
      </c>
      <c r="AT161" s="228">
        <f t="shared" si="323"/>
        <v>0</v>
      </c>
      <c r="AU161" s="228"/>
      <c r="AX161" s="12">
        <v>2024</v>
      </c>
      <c r="AY161" s="231">
        <f t="shared" ref="AY161:BE161" si="324">+W161-AF161</f>
        <v>2757.5342465753424</v>
      </c>
      <c r="AZ161" s="231">
        <f t="shared" si="324"/>
        <v>2850.1005302275316</v>
      </c>
      <c r="BA161" s="231">
        <f t="shared" si="324"/>
        <v>0</v>
      </c>
      <c r="BB161" s="231">
        <f t="shared" si="324"/>
        <v>7666.2742499653305</v>
      </c>
      <c r="BC161" s="231">
        <f t="shared" si="324"/>
        <v>2671.9676736151432</v>
      </c>
      <c r="BD161" s="231">
        <f t="shared" si="324"/>
        <v>137.61095890410959</v>
      </c>
      <c r="BE161" s="231">
        <f t="shared" si="324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5">J127</f>
        <v>VIM</v>
      </c>
      <c r="K162" s="112" t="str">
        <f t="shared" si="325"/>
        <v>Doesn't Apply</v>
      </c>
      <c r="L162" s="646" t="str">
        <f t="shared" si="325"/>
        <v>CAM7</v>
      </c>
      <c r="M162" s="647" t="str">
        <f t="shared" si="325"/>
        <v>VIM - GAS</v>
      </c>
      <c r="N162" s="644">
        <v>0</v>
      </c>
      <c r="O162" s="645" t="s">
        <v>585</v>
      </c>
      <c r="P162" s="346">
        <f t="shared" si="305"/>
        <v>0</v>
      </c>
      <c r="Q162" s="12" t="s">
        <v>59</v>
      </c>
      <c r="R162" s="295">
        <f t="shared" si="306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6">+AF162/W162</f>
        <v>0.12881626914429631</v>
      </c>
      <c r="AP162" s="228">
        <f t="shared" si="326"/>
        <v>0.34536516079758606</v>
      </c>
      <c r="AQ162" s="228"/>
      <c r="AR162" s="228">
        <f t="shared" ref="AR162:AT162" si="327">+AI162/Z162</f>
        <v>0</v>
      </c>
      <c r="AS162" s="228">
        <f t="shared" si="327"/>
        <v>0.6602314418703793</v>
      </c>
      <c r="AT162" s="228">
        <f t="shared" si="327"/>
        <v>0</v>
      </c>
      <c r="AU162" s="228"/>
      <c r="AX162" s="12">
        <v>2025</v>
      </c>
      <c r="AY162" s="231">
        <f t="shared" ref="AY162:BE162" si="328">+W162-AF162</f>
        <v>2705.1978345369666</v>
      </c>
      <c r="AZ162" s="231">
        <f t="shared" si="328"/>
        <v>2843.2290522179519</v>
      </c>
      <c r="BA162" s="231">
        <f t="shared" si="328"/>
        <v>0</v>
      </c>
      <c r="BB162" s="231">
        <f t="shared" si="328"/>
        <v>6475.9477325608286</v>
      </c>
      <c r="BC162" s="231">
        <f t="shared" si="328"/>
        <v>1625.4799448326125</v>
      </c>
      <c r="BD162" s="231">
        <f t="shared" si="328"/>
        <v>122.13972602739726</v>
      </c>
      <c r="BE162" s="231">
        <f t="shared" si="328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9">+AF163/W163</f>
        <v>0.12698412698412698</v>
      </c>
      <c r="AP163" s="228">
        <f t="shared" si="329"/>
        <v>0.33873043815515769</v>
      </c>
      <c r="AQ163" s="228"/>
      <c r="AR163" s="228">
        <f t="shared" ref="AR163:AT163" si="330">+AI163/Z163</f>
        <v>0</v>
      </c>
      <c r="AS163" s="228">
        <f t="shared" si="330"/>
        <v>0.73346577560228654</v>
      </c>
      <c r="AT163" s="228">
        <f t="shared" si="330"/>
        <v>0</v>
      </c>
      <c r="AU163" s="228"/>
      <c r="AX163" s="12">
        <v>2026</v>
      </c>
      <c r="AY163" s="231">
        <f t="shared" ref="AY163:BE163" si="331">+W163-AF163</f>
        <v>2750</v>
      </c>
      <c r="AZ163" s="231">
        <f t="shared" si="331"/>
        <v>2928.3000021182488</v>
      </c>
      <c r="BA163" s="231">
        <f t="shared" si="331"/>
        <v>0</v>
      </c>
      <c r="BB163" s="231">
        <f t="shared" si="331"/>
        <v>5586.0490445797504</v>
      </c>
      <c r="BC163" s="231">
        <f t="shared" si="331"/>
        <v>1147.8040682829555</v>
      </c>
      <c r="BD163" s="231">
        <f t="shared" si="331"/>
        <v>109.89315068493151</v>
      </c>
      <c r="BE163" s="231">
        <f t="shared" si="331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1505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955" t="s">
        <v>1506</v>
      </c>
      <c r="K169" s="956"/>
      <c r="L169" s="956"/>
      <c r="M169" s="956"/>
      <c r="N169" s="956"/>
      <c r="O169" s="956"/>
      <c r="P169" s="956"/>
      <c r="Q169" s="956"/>
      <c r="R169" s="956"/>
      <c r="S169" s="956"/>
      <c r="T169" s="956"/>
      <c r="U169" s="956"/>
      <c r="V169" s="956"/>
      <c r="W169" s="956"/>
      <c r="X169" s="956"/>
      <c r="Y169" s="956"/>
      <c r="Z169" s="956"/>
      <c r="AA169" s="956"/>
      <c r="AB169" s="956"/>
      <c r="AC169" s="956"/>
      <c r="AD169" s="956"/>
      <c r="AE169" s="956"/>
      <c r="AF169" s="956"/>
      <c r="AG169" s="957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942" t="s">
        <v>1507</v>
      </c>
      <c r="K174" s="908"/>
      <c r="L174" s="908"/>
      <c r="M174" s="908"/>
      <c r="N174" s="908"/>
      <c r="O174" s="908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1508</v>
      </c>
      <c r="K176" s="12">
        <v>4.9000000000000004</v>
      </c>
      <c r="L176" s="12" t="s">
        <v>1509</v>
      </c>
      <c r="M176" s="12">
        <f>+K176/1000</f>
        <v>4.9000000000000007E-3</v>
      </c>
      <c r="N176" s="12" t="s">
        <v>1510</v>
      </c>
      <c r="P176" s="12" t="s">
        <v>1511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1512</v>
      </c>
      <c r="P177" s="12" t="s">
        <v>1513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1514</v>
      </c>
      <c r="P178" s="12" t="s">
        <v>1515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1516</v>
      </c>
      <c r="P179" s="12" t="s">
        <v>996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1517</v>
      </c>
      <c r="U181" s="14" t="s">
        <v>1518</v>
      </c>
      <c r="V181" s="12" t="s">
        <v>1519</v>
      </c>
      <c r="Y181" s="215" t="s">
        <v>1520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2">J155</f>
        <v>Basin</v>
      </c>
      <c r="K182" s="608" t="str">
        <f t="shared" si="332"/>
        <v>Type Fluid</v>
      </c>
      <c r="L182" s="608" t="str">
        <f t="shared" si="332"/>
        <v>CAM</v>
      </c>
      <c r="M182" s="608" t="str">
        <f t="shared" si="332"/>
        <v>Type of Oil producing</v>
      </c>
      <c r="N182" s="494" t="s">
        <v>1521</v>
      </c>
      <c r="U182" s="446" t="s">
        <v>1522</v>
      </c>
      <c r="V182" s="12" t="s">
        <v>63</v>
      </c>
      <c r="W182" s="12" t="s">
        <v>1523</v>
      </c>
      <c r="X182" s="12" t="s">
        <v>921</v>
      </c>
      <c r="Y182" s="215" t="s">
        <v>1524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1.2465999999999999</v>
      </c>
      <c r="H183" s="12" t="s">
        <v>1525</v>
      </c>
      <c r="J183" s="103" t="str">
        <f t="shared" ref="J183:M183" si="333">J156</f>
        <v>Guajira</v>
      </c>
      <c r="K183" s="103" t="str">
        <f t="shared" si="333"/>
        <v>Doesn't Apply</v>
      </c>
      <c r="L183" s="614" t="str">
        <f t="shared" si="333"/>
        <v>CAM1</v>
      </c>
      <c r="M183" s="615" t="str">
        <f t="shared" si="333"/>
        <v>GU - Gas</v>
      </c>
      <c r="N183" s="815">
        <v>2.0999999999999999E-3</v>
      </c>
      <c r="O183" s="12" t="s">
        <v>7</v>
      </c>
      <c r="P183" s="810"/>
      <c r="R183" s="807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7.604259999999999E-3</v>
      </c>
      <c r="J184" s="103" t="str">
        <f t="shared" ref="J184:M184" si="334">J157</f>
        <v>Llanos Orientales</v>
      </c>
      <c r="K184" s="103" t="str">
        <f t="shared" si="334"/>
        <v>Light Oil</v>
      </c>
      <c r="L184" s="614" t="str">
        <f t="shared" si="334"/>
        <v>CAM2</v>
      </c>
      <c r="M184" s="626" t="str">
        <f t="shared" si="334"/>
        <v>LLO - Ligth</v>
      </c>
      <c r="N184" s="815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5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7.6042599999999991E-6</v>
      </c>
      <c r="J185" s="103" t="str">
        <f t="shared" ref="J185:M185" si="336">J158</f>
        <v>Llanos Orientales</v>
      </c>
      <c r="K185" s="103" t="str">
        <f t="shared" si="336"/>
        <v>Heavy Oil</v>
      </c>
      <c r="L185" s="614" t="str">
        <f t="shared" si="336"/>
        <v>CAM3</v>
      </c>
      <c r="M185" s="34" t="str">
        <f t="shared" si="336"/>
        <v>LLO - Heavy</v>
      </c>
      <c r="N185" s="815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5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49">
        <f>+G185/0.0036</f>
        <v>2.1122944444444442E-3</v>
      </c>
      <c r="H186" s="12" t="s">
        <v>609</v>
      </c>
      <c r="J186" s="103" t="str">
        <f t="shared" ref="J186:M186" si="337">J159</f>
        <v>Putumayo</v>
      </c>
      <c r="K186" s="103" t="str">
        <f t="shared" si="337"/>
        <v>Light Oil</v>
      </c>
      <c r="L186" s="614" t="str">
        <f t="shared" si="337"/>
        <v>CAM4</v>
      </c>
      <c r="M186" s="34" t="str">
        <f t="shared" si="337"/>
        <v>PU - Ligth</v>
      </c>
      <c r="N186" s="815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5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8">J160</f>
        <v>VMM</v>
      </c>
      <c r="K187" s="103" t="str">
        <f t="shared" si="338"/>
        <v>Medium Oil</v>
      </c>
      <c r="L187" s="614" t="str">
        <f t="shared" si="338"/>
        <v>CAM5</v>
      </c>
      <c r="M187" s="34" t="str">
        <f t="shared" si="338"/>
        <v>VMM - Medium</v>
      </c>
      <c r="N187" s="815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5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9">J161</f>
        <v>VSM</v>
      </c>
      <c r="K188" s="103" t="str">
        <f t="shared" si="339"/>
        <v>Medium Oil</v>
      </c>
      <c r="L188" s="614" t="str">
        <f t="shared" si="339"/>
        <v>CAM6</v>
      </c>
      <c r="M188" s="626" t="str">
        <f t="shared" si="339"/>
        <v>VSM - Medium</v>
      </c>
      <c r="N188" s="815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5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40">J162</f>
        <v>VIM</v>
      </c>
      <c r="K189" s="103" t="str">
        <f t="shared" si="340"/>
        <v>Doesn't Apply</v>
      </c>
      <c r="L189" s="614" t="str">
        <f t="shared" si="340"/>
        <v>CAM7</v>
      </c>
      <c r="M189" s="626" t="str">
        <f t="shared" si="340"/>
        <v>VIM - GAS</v>
      </c>
      <c r="N189" s="815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1">J182</f>
        <v>Basin</v>
      </c>
      <c r="K192" s="608" t="str">
        <f t="shared" si="341"/>
        <v>Type Fluid</v>
      </c>
      <c r="L192" s="608" t="str">
        <f t="shared" si="341"/>
        <v>CAM</v>
      </c>
      <c r="M192" s="608" t="str">
        <f t="shared" si="341"/>
        <v>Type of Oil producing</v>
      </c>
      <c r="N192" s="650" t="s">
        <v>1526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2">J183</f>
        <v>Guajira</v>
      </c>
      <c r="K193" s="103" t="str">
        <f t="shared" si="342"/>
        <v>Doesn't Apply</v>
      </c>
      <c r="L193" s="614" t="str">
        <f t="shared" si="342"/>
        <v>CAM1</v>
      </c>
      <c r="M193" s="615" t="str">
        <f t="shared" si="342"/>
        <v>GU - Gas</v>
      </c>
      <c r="N193" s="12" t="s">
        <v>1527</v>
      </c>
      <c r="Q193" s="330" t="s">
        <v>1528</v>
      </c>
      <c r="R193" s="12">
        <v>3.33</v>
      </c>
      <c r="S193" s="12" t="s">
        <v>1529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3">J184</f>
        <v>Llanos Orientales</v>
      </c>
      <c r="K194" s="103" t="str">
        <f t="shared" si="343"/>
        <v>Light Oil</v>
      </c>
      <c r="L194" s="614" t="str">
        <f t="shared" si="343"/>
        <v>CAM2</v>
      </c>
      <c r="M194" s="626" t="str">
        <f t="shared" si="343"/>
        <v>LLO - Ligth</v>
      </c>
      <c r="N194" s="286">
        <f>+T193</f>
        <v>0.4052236060193658</v>
      </c>
      <c r="Q194" s="330" t="s">
        <v>1530</v>
      </c>
      <c r="R194" s="12">
        <v>4.5</v>
      </c>
      <c r="S194" s="12" t="s">
        <v>1529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4">J185</f>
        <v>Llanos Orientales</v>
      </c>
      <c r="K195" s="103" t="str">
        <f t="shared" si="344"/>
        <v>Heavy Oil</v>
      </c>
      <c r="L195" s="614" t="str">
        <f t="shared" si="344"/>
        <v>CAM3</v>
      </c>
      <c r="M195" s="34" t="str">
        <f t="shared" si="344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5">J186</f>
        <v>Putumayo</v>
      </c>
      <c r="K196" s="103" t="str">
        <f t="shared" si="345"/>
        <v>Light Oil</v>
      </c>
      <c r="L196" s="614" t="str">
        <f t="shared" si="345"/>
        <v>CAM4</v>
      </c>
      <c r="M196" s="34" t="str">
        <f t="shared" si="345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6">J187</f>
        <v>VMM</v>
      </c>
      <c r="K197" s="103" t="str">
        <f t="shared" si="346"/>
        <v>Medium Oil</v>
      </c>
      <c r="L197" s="614" t="str">
        <f t="shared" si="346"/>
        <v>CAM5</v>
      </c>
      <c r="M197" s="34" t="str">
        <f t="shared" si="346"/>
        <v>VMM - Medium</v>
      </c>
      <c r="N197" s="286">
        <f>+T193</f>
        <v>0.4052236060193658</v>
      </c>
      <c r="S197" s="12" t="s">
        <v>1531</v>
      </c>
      <c r="T197" s="12">
        <v>8.2176851262728707</v>
      </c>
      <c r="U197" s="12" t="s">
        <v>1529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7">J188</f>
        <v>VSM</v>
      </c>
      <c r="K198" s="103" t="str">
        <f t="shared" si="347"/>
        <v>Medium Oil</v>
      </c>
      <c r="L198" s="614" t="str">
        <f t="shared" si="347"/>
        <v>CAM6</v>
      </c>
      <c r="M198" s="626" t="str">
        <f t="shared" si="347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8">J189</f>
        <v>VIM</v>
      </c>
      <c r="K199" s="103" t="str">
        <f t="shared" si="348"/>
        <v>Doesn't Apply</v>
      </c>
      <c r="L199" s="614" t="str">
        <f t="shared" si="348"/>
        <v>CAM7</v>
      </c>
      <c r="M199" s="626" t="str">
        <f t="shared" si="348"/>
        <v>VIM - GAS</v>
      </c>
      <c r="N199" s="12" t="s">
        <v>1527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955" t="s">
        <v>1532</v>
      </c>
      <c r="K203" s="956"/>
      <c r="L203" s="956"/>
      <c r="M203" s="956"/>
      <c r="N203" s="956"/>
      <c r="O203" s="956"/>
      <c r="P203" s="956"/>
      <c r="Q203" s="956"/>
      <c r="R203" s="956"/>
      <c r="S203" s="956"/>
      <c r="T203" s="956"/>
      <c r="U203" s="956"/>
      <c r="V203" s="956"/>
      <c r="W203" s="956"/>
      <c r="X203" s="956"/>
      <c r="Y203" s="956"/>
      <c r="Z203" s="956"/>
      <c r="AA203" s="956"/>
      <c r="AB203" s="956"/>
      <c r="AC203" s="956"/>
      <c r="AD203" s="956"/>
      <c r="AE203" s="956"/>
      <c r="AF203" s="956"/>
      <c r="AG203" s="957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952" t="s">
        <v>1533</v>
      </c>
      <c r="P206" s="908"/>
      <c r="Q206" s="908"/>
      <c r="R206" s="908"/>
      <c r="T206" s="907" t="s">
        <v>1534</v>
      </c>
      <c r="U206" s="908"/>
      <c r="V206" s="908"/>
      <c r="W206" s="908"/>
      <c r="Z206" s="959" t="s">
        <v>1535</v>
      </c>
      <c r="AA206" s="905"/>
      <c r="AB206" s="905"/>
      <c r="AC206" s="906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9">J192</f>
        <v>Basin</v>
      </c>
      <c r="K207" s="608" t="str">
        <f t="shared" si="349"/>
        <v>Type Fluid</v>
      </c>
      <c r="L207" s="608" t="str">
        <f t="shared" si="349"/>
        <v>CAM</v>
      </c>
      <c r="M207" s="608" t="str">
        <f t="shared" si="349"/>
        <v>Type of Oil producing</v>
      </c>
      <c r="N207" s="446"/>
      <c r="O207" s="446" t="s">
        <v>22</v>
      </c>
      <c r="P207" s="446" t="s">
        <v>921</v>
      </c>
      <c r="Q207" s="446" t="s">
        <v>1536</v>
      </c>
      <c r="R207" s="446" t="s">
        <v>1096</v>
      </c>
      <c r="T207" s="446" t="s">
        <v>22</v>
      </c>
      <c r="U207" s="446" t="s">
        <v>921</v>
      </c>
      <c r="V207" s="446" t="s">
        <v>1536</v>
      </c>
      <c r="W207" s="446" t="s">
        <v>1096</v>
      </c>
      <c r="Z207" s="499" t="s">
        <v>22</v>
      </c>
      <c r="AA207" s="499" t="s">
        <v>921</v>
      </c>
      <c r="AB207" s="499" t="s">
        <v>1536</v>
      </c>
      <c r="AC207" s="499" t="s">
        <v>1096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50">J193</f>
        <v>Guajira</v>
      </c>
      <c r="K208" s="103" t="str">
        <f t="shared" si="350"/>
        <v>Doesn't Apply</v>
      </c>
      <c r="L208" s="614" t="str">
        <f t="shared" si="350"/>
        <v>CAM1</v>
      </c>
      <c r="M208" s="615" t="str">
        <f t="shared" si="350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1">+(O208*24*365/1000)*0.0036</f>
        <v>0</v>
      </c>
      <c r="AA208" s="535"/>
      <c r="AB208" s="471">
        <f t="shared" ref="AB208:AC208" si="352">+(Q208*24*365/1000)*0.0036</f>
        <v>0</v>
      </c>
      <c r="AC208" s="471">
        <f t="shared" si="352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3">J194</f>
        <v>Llanos Orientales</v>
      </c>
      <c r="K209" s="103" t="str">
        <f t="shared" si="353"/>
        <v>Light Oil</v>
      </c>
      <c r="L209" s="614" t="str">
        <f t="shared" si="353"/>
        <v>CAM2</v>
      </c>
      <c r="M209" s="626" t="str">
        <f t="shared" si="353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1"/>
        <v>0.63071999999999984</v>
      </c>
      <c r="AA209" s="471">
        <f t="shared" ref="AA209:AC209" si="354">+(P209*24*365/1000)*0.0036</f>
        <v>4.7328116359723582</v>
      </c>
      <c r="AB209" s="471">
        <f t="shared" si="354"/>
        <v>1.5220623656853185</v>
      </c>
      <c r="AC209" s="471">
        <f t="shared" si="354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5">J195</f>
        <v>Llanos Orientales</v>
      </c>
      <c r="K210" s="103" t="str">
        <f t="shared" si="355"/>
        <v>Heavy Oil</v>
      </c>
      <c r="L210" s="614" t="str">
        <f t="shared" si="355"/>
        <v>CAM3</v>
      </c>
      <c r="M210" s="34" t="str">
        <f t="shared" si="355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6">J196</f>
        <v>Putumayo</v>
      </c>
      <c r="K211" s="103" t="str">
        <f t="shared" si="356"/>
        <v>Light Oil</v>
      </c>
      <c r="L211" s="614" t="str">
        <f t="shared" si="356"/>
        <v>CAM4</v>
      </c>
      <c r="M211" s="34" t="str">
        <f t="shared" si="356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7">+(O211*24*365/1000)*0.0036</f>
        <v>0</v>
      </c>
      <c r="AA211" s="471">
        <f t="shared" si="357"/>
        <v>0</v>
      </c>
      <c r="AB211" s="471">
        <f t="shared" si="357"/>
        <v>0.66944714800759952</v>
      </c>
      <c r="AC211" s="471">
        <f t="shared" si="357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8">J197</f>
        <v>VMM</v>
      </c>
      <c r="K212" s="103" t="str">
        <f t="shared" si="358"/>
        <v>Medium Oil</v>
      </c>
      <c r="L212" s="614" t="str">
        <f t="shared" si="358"/>
        <v>CAM5</v>
      </c>
      <c r="M212" s="34" t="str">
        <f t="shared" si="358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9">+(O212*24*365/1000)*0.0036</f>
        <v>0</v>
      </c>
      <c r="AA212" s="471">
        <f t="shared" si="359"/>
        <v>0.61324097015441748</v>
      </c>
      <c r="AB212" s="471">
        <f t="shared" si="359"/>
        <v>1.3049984589915189</v>
      </c>
      <c r="AC212" s="471">
        <f t="shared" si="359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60">J198</f>
        <v>VSM</v>
      </c>
      <c r="K213" s="103" t="str">
        <f t="shared" si="360"/>
        <v>Medium Oil</v>
      </c>
      <c r="L213" s="614" t="str">
        <f t="shared" si="360"/>
        <v>CAM6</v>
      </c>
      <c r="M213" s="626" t="str">
        <f t="shared" si="360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1">+(O213*24*365/1000)*0.0036</f>
        <v>0</v>
      </c>
      <c r="AA213" s="471">
        <f t="shared" si="361"/>
        <v>7.2015258812680727E-2</v>
      </c>
      <c r="AB213" s="471">
        <f t="shared" si="361"/>
        <v>0.62054333297305764</v>
      </c>
      <c r="AC213" s="471">
        <f t="shared" si="361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2">J199</f>
        <v>VIM</v>
      </c>
      <c r="K214" s="103" t="str">
        <f t="shared" si="362"/>
        <v>Doesn't Apply</v>
      </c>
      <c r="L214" s="614" t="str">
        <f t="shared" si="362"/>
        <v>CAM7</v>
      </c>
      <c r="M214" s="626" t="str">
        <f t="shared" si="362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3">+(O214*24*365/1000)*0.0036</f>
        <v>0</v>
      </c>
      <c r="AA214" s="471">
        <f t="shared" si="363"/>
        <v>8.0173996489854554E-3</v>
      </c>
      <c r="AB214" s="471">
        <f t="shared" si="363"/>
        <v>0</v>
      </c>
      <c r="AC214" s="471">
        <f t="shared" si="363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904" t="s">
        <v>1537</v>
      </c>
      <c r="P218" s="905"/>
      <c r="Q218" s="906"/>
      <c r="T218" s="907" t="s">
        <v>1534</v>
      </c>
      <c r="U218" s="908"/>
      <c r="V218" s="908"/>
      <c r="W218" s="908"/>
      <c r="Z218" s="960" t="s">
        <v>1538</v>
      </c>
      <c r="AA218" s="905"/>
      <c r="AB218" s="906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4">J207</f>
        <v>Basin</v>
      </c>
      <c r="K219" s="608" t="str">
        <f t="shared" si="364"/>
        <v>Type Fluid</v>
      </c>
      <c r="L219" s="608" t="str">
        <f t="shared" si="364"/>
        <v>CAM</v>
      </c>
      <c r="M219" s="608" t="str">
        <f t="shared" si="364"/>
        <v>Type of Oil producing</v>
      </c>
      <c r="O219" s="429" t="s">
        <v>563</v>
      </c>
      <c r="P219" s="429" t="s">
        <v>1536</v>
      </c>
      <c r="Q219" s="429" t="s">
        <v>63</v>
      </c>
      <c r="T219" s="446" t="s">
        <v>22</v>
      </c>
      <c r="U219" s="446" t="s">
        <v>921</v>
      </c>
      <c r="V219" s="446" t="s">
        <v>1536</v>
      </c>
      <c r="W219" s="446" t="s">
        <v>1096</v>
      </c>
      <c r="Z219" s="652" t="s">
        <v>563</v>
      </c>
      <c r="AA219" s="652" t="s">
        <v>1536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5">J208</f>
        <v>Guajira</v>
      </c>
      <c r="K220" s="103" t="str">
        <f t="shared" si="365"/>
        <v>Doesn't Apply</v>
      </c>
      <c r="L220" s="614" t="str">
        <f t="shared" si="365"/>
        <v>CAM1</v>
      </c>
      <c r="M220" s="615" t="str">
        <f t="shared" si="365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6">+(P220*24*0.365)*0.0036</f>
        <v>0</v>
      </c>
      <c r="AB220" s="654">
        <f t="shared" si="366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7">J209</f>
        <v>Llanos Orientales</v>
      </c>
      <c r="K221" s="103" t="str">
        <f t="shared" si="367"/>
        <v>Light Oil</v>
      </c>
      <c r="L221" s="614" t="str">
        <f t="shared" si="367"/>
        <v>CAM2</v>
      </c>
      <c r="M221" s="626" t="str">
        <f t="shared" si="367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4">
        <f t="shared" ref="Z221:AB221" si="368">+(O221*24*0.365)*0.0036</f>
        <v>8.5591327795199984E-2</v>
      </c>
      <c r="AA221" s="654">
        <f t="shared" si="368"/>
        <v>0.34236531118079994</v>
      </c>
      <c r="AB221" s="654">
        <f t="shared" si="368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9">J210</f>
        <v>Llanos Orientales</v>
      </c>
      <c r="K222" s="103" t="str">
        <f t="shared" si="369"/>
        <v>Heavy Oil</v>
      </c>
      <c r="L222" s="614" t="str">
        <f t="shared" si="369"/>
        <v>CAM3</v>
      </c>
      <c r="M222" s="34" t="str">
        <f t="shared" si="369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70">J211</f>
        <v>Putumayo</v>
      </c>
      <c r="K223" s="103" t="str">
        <f t="shared" si="370"/>
        <v>Light Oil</v>
      </c>
      <c r="L223" s="614" t="str">
        <f t="shared" si="370"/>
        <v>CAM4</v>
      </c>
      <c r="M223" s="34" t="str">
        <f t="shared" si="370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1">+(O223*24*0.365)*0.0036</f>
        <v>1.1095172121600003E-2</v>
      </c>
      <c r="AA223" s="654">
        <f t="shared" si="371"/>
        <v>4.4380688486400012E-2</v>
      </c>
      <c r="AB223" s="654">
        <f t="shared" si="371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2">J212</f>
        <v>VMM</v>
      </c>
      <c r="K224" s="103" t="str">
        <f t="shared" si="372"/>
        <v>Medium Oil</v>
      </c>
      <c r="L224" s="614" t="str">
        <f t="shared" si="372"/>
        <v>CAM5</v>
      </c>
      <c r="M224" s="34" t="str">
        <f t="shared" si="372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3">+(O224*24*0.365)*0.0036</f>
        <v>2.8530442598399999E-2</v>
      </c>
      <c r="AA224" s="654">
        <f t="shared" si="373"/>
        <v>0.1141217703936</v>
      </c>
      <c r="AB224" s="654">
        <f t="shared" si="373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4">J213</f>
        <v>VSM</v>
      </c>
      <c r="K225" s="103" t="str">
        <f t="shared" si="374"/>
        <v>Medium Oil</v>
      </c>
      <c r="L225" s="614" t="str">
        <f t="shared" si="374"/>
        <v>CAM6</v>
      </c>
      <c r="M225" s="626" t="str">
        <f t="shared" si="374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5">+(O225*24*0.365)*0.0036</f>
        <v>1.1095172121600003E-2</v>
      </c>
      <c r="AA225" s="654">
        <f t="shared" si="375"/>
        <v>4.4380688486400012E-2</v>
      </c>
      <c r="AB225" s="654">
        <f t="shared" si="375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6">J214</f>
        <v>VIM</v>
      </c>
      <c r="K226" s="103" t="str">
        <f t="shared" si="376"/>
        <v>Doesn't Apply</v>
      </c>
      <c r="L226" s="614" t="str">
        <f t="shared" si="376"/>
        <v>CAM7</v>
      </c>
      <c r="M226" s="626" t="str">
        <f t="shared" si="376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7">+(O226*24*0.365)*0.0036</f>
        <v>3.1700491776000001E-3</v>
      </c>
      <c r="AA226" s="654">
        <f t="shared" si="377"/>
        <v>1.26801967104E-2</v>
      </c>
      <c r="AB226" s="654">
        <f t="shared" si="377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AB3:AF3"/>
    <mergeCell ref="AA33:AM33"/>
    <mergeCell ref="R64:V64"/>
    <mergeCell ref="W64:Z64"/>
    <mergeCell ref="AI65:AV65"/>
    <mergeCell ref="AW65:BJ65"/>
    <mergeCell ref="BK65:BX65"/>
    <mergeCell ref="R96:V96"/>
    <mergeCell ref="W96:Z96"/>
    <mergeCell ref="AI97:AV97"/>
    <mergeCell ref="AW97:BJ97"/>
    <mergeCell ref="BK97:BX97"/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opLeftCell="DK1" workbookViewId="0">
      <selection activeCell="DM36" sqref="DM36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4" width="7.425781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33.285156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5"/>
      <c r="BZ1" s="656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5"/>
      <c r="DJ1" s="116"/>
    </row>
    <row r="2" spans="1:128" x14ac:dyDescent="0.25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5"/>
      <c r="BZ2" s="656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5"/>
      <c r="DJ2" s="116"/>
    </row>
    <row r="3" spans="1:128" ht="21" x14ac:dyDescent="0.35">
      <c r="B3" s="116"/>
      <c r="C3" s="967" t="s">
        <v>1539</v>
      </c>
      <c r="D3" s="908"/>
      <c r="E3" s="908"/>
      <c r="F3" s="908"/>
      <c r="G3" s="908"/>
      <c r="H3" s="908"/>
      <c r="I3" s="657"/>
      <c r="K3" s="116"/>
      <c r="L3" s="967" t="s">
        <v>1540</v>
      </c>
      <c r="M3" s="908"/>
      <c r="N3" s="908"/>
      <c r="O3" s="908"/>
      <c r="P3" s="908"/>
      <c r="Q3" s="908"/>
      <c r="R3" s="908"/>
      <c r="S3" s="908"/>
      <c r="T3" s="908"/>
      <c r="U3" s="908"/>
      <c r="V3" s="908"/>
      <c r="W3" s="908"/>
      <c r="X3" s="658"/>
      <c r="Y3" s="658"/>
      <c r="Z3" s="658"/>
      <c r="AA3" s="658"/>
      <c r="AB3" s="657"/>
      <c r="AC3" s="380"/>
      <c r="AD3" s="116"/>
      <c r="AE3" s="967" t="s">
        <v>1541</v>
      </c>
      <c r="AF3" s="908"/>
      <c r="AG3" s="908"/>
      <c r="AH3" s="908"/>
      <c r="AI3" s="908"/>
      <c r="AJ3" s="908"/>
      <c r="AK3" s="908"/>
      <c r="AL3" s="655"/>
      <c r="AM3" s="1"/>
      <c r="AN3" s="971" t="s">
        <v>1542</v>
      </c>
      <c r="AO3" s="905"/>
      <c r="AP3" s="905"/>
      <c r="AQ3" s="905"/>
      <c r="AR3" s="905"/>
      <c r="AS3" s="905"/>
      <c r="AT3" s="905"/>
      <c r="AU3" s="905"/>
      <c r="AV3" s="905"/>
      <c r="AW3" s="905"/>
      <c r="AX3" s="905"/>
      <c r="AY3" s="905"/>
      <c r="AZ3" s="905"/>
      <c r="BA3" s="905"/>
      <c r="BB3" s="905"/>
      <c r="BC3" s="905"/>
      <c r="BD3" s="905"/>
      <c r="BE3" s="905"/>
      <c r="BF3" s="905"/>
      <c r="BG3" s="905"/>
      <c r="BH3" s="905"/>
      <c r="BI3" s="905"/>
      <c r="BJ3" s="906"/>
      <c r="BK3" s="43"/>
      <c r="BL3" s="116"/>
      <c r="BM3" s="967" t="s">
        <v>1543</v>
      </c>
      <c r="BN3" s="908"/>
      <c r="BO3" s="908"/>
      <c r="BP3" s="908"/>
      <c r="BQ3" s="908"/>
      <c r="BR3" s="908"/>
      <c r="BS3" s="908"/>
      <c r="BT3" s="908"/>
      <c r="BU3" s="658"/>
      <c r="BV3" s="658"/>
      <c r="BW3" s="658"/>
      <c r="BX3" s="655"/>
      <c r="BZ3" s="659"/>
      <c r="CA3" s="967" t="s">
        <v>1544</v>
      </c>
      <c r="CB3" s="908"/>
      <c r="CC3" s="908"/>
      <c r="CD3" s="908"/>
      <c r="CE3" s="908"/>
      <c r="CF3" s="908"/>
      <c r="CG3" s="908"/>
      <c r="CH3" s="908"/>
      <c r="CI3" s="908"/>
      <c r="CJ3" s="908"/>
      <c r="CK3" s="908"/>
      <c r="CL3" s="908"/>
      <c r="CM3" s="908"/>
      <c r="CN3" s="908"/>
      <c r="CO3" s="288"/>
      <c r="CP3" s="305"/>
      <c r="CR3" s="116"/>
      <c r="CS3" s="967" t="s">
        <v>1545</v>
      </c>
      <c r="CT3" s="908"/>
      <c r="CU3" s="908"/>
      <c r="CV3" s="908"/>
      <c r="CW3" s="908"/>
      <c r="CX3" s="908"/>
      <c r="CY3" s="908"/>
      <c r="CZ3" s="658"/>
      <c r="DA3" s="658"/>
      <c r="DB3" s="658"/>
      <c r="DC3" s="658"/>
      <c r="DD3" s="658"/>
      <c r="DE3" s="658"/>
      <c r="DF3" s="658"/>
      <c r="DG3" s="658"/>
      <c r="DH3" s="655"/>
      <c r="DJ3" s="116"/>
      <c r="DK3" s="288" t="s">
        <v>1546</v>
      </c>
    </row>
    <row r="4" spans="1:128" x14ac:dyDescent="0.25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5"/>
      <c r="BZ4" s="656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5"/>
      <c r="DJ4" s="116"/>
    </row>
    <row r="5" spans="1:128" ht="15.75" x14ac:dyDescent="0.25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966" t="s">
        <v>1547</v>
      </c>
      <c r="M5" s="908"/>
      <c r="N5" s="908"/>
      <c r="O5" s="908"/>
      <c r="P5" s="660"/>
      <c r="Q5" s="966" t="s">
        <v>1548</v>
      </c>
      <c r="R5" s="908"/>
      <c r="S5" s="908"/>
      <c r="T5" s="660"/>
      <c r="U5" s="966" t="s">
        <v>1549</v>
      </c>
      <c r="V5" s="908"/>
      <c r="W5" s="660"/>
      <c r="X5" s="664"/>
      <c r="Y5" s="965" t="s">
        <v>1550</v>
      </c>
      <c r="Z5" s="905"/>
      <c r="AA5" s="906"/>
      <c r="AB5" s="662"/>
      <c r="AC5" s="380"/>
      <c r="AD5" s="661"/>
      <c r="AE5" s="966" t="s">
        <v>1551</v>
      </c>
      <c r="AF5" s="908"/>
      <c r="AG5" s="908"/>
      <c r="AH5" s="660"/>
      <c r="AI5" s="966" t="s">
        <v>1552</v>
      </c>
      <c r="AJ5" s="908"/>
      <c r="AK5" s="908"/>
      <c r="AL5" s="662"/>
      <c r="AM5" s="665"/>
      <c r="AN5" s="966" t="s">
        <v>1553</v>
      </c>
      <c r="AO5" s="908"/>
      <c r="AP5" s="908"/>
      <c r="AQ5" s="908"/>
      <c r="AR5" s="665"/>
      <c r="AS5" s="965" t="s">
        <v>1554</v>
      </c>
      <c r="AT5" s="905"/>
      <c r="AU5" s="905"/>
      <c r="AV5" s="905"/>
      <c r="AW5" s="905"/>
      <c r="AX5" s="905"/>
      <c r="AY5" s="905"/>
      <c r="AZ5" s="906"/>
      <c r="BA5" s="665"/>
      <c r="BB5" s="666" t="s">
        <v>1555</v>
      </c>
      <c r="BC5" s="665"/>
      <c r="BD5" s="665"/>
      <c r="BE5" s="665"/>
      <c r="BF5" s="665"/>
      <c r="BG5" s="665"/>
      <c r="BH5" s="665"/>
      <c r="BI5" s="665"/>
      <c r="BJ5" s="665"/>
      <c r="BK5" s="667"/>
      <c r="BL5" s="661"/>
      <c r="BM5" s="966" t="s">
        <v>1556</v>
      </c>
      <c r="BN5" s="908"/>
      <c r="BO5" s="908"/>
      <c r="BP5" s="660"/>
      <c r="BQ5" s="668" t="s">
        <v>1557</v>
      </c>
      <c r="BR5" s="660"/>
      <c r="BS5" s="663"/>
      <c r="BT5" s="663"/>
      <c r="BU5" s="666" t="s">
        <v>1558</v>
      </c>
      <c r="BV5" s="664"/>
      <c r="BW5" s="664"/>
      <c r="BX5" s="662"/>
      <c r="BY5" s="660"/>
      <c r="BZ5" s="669"/>
      <c r="CA5" s="968" t="s">
        <v>1559</v>
      </c>
      <c r="CB5" s="969"/>
      <c r="CC5" s="969"/>
      <c r="CD5" s="969"/>
      <c r="CE5" s="969"/>
      <c r="CF5" s="969"/>
      <c r="CG5" s="970"/>
      <c r="CH5" s="665"/>
      <c r="CI5" s="966" t="s">
        <v>1560</v>
      </c>
      <c r="CJ5" s="908"/>
      <c r="CK5" s="908"/>
      <c r="CL5" s="908"/>
      <c r="CM5" s="908"/>
      <c r="CN5" s="908"/>
      <c r="CO5" s="908"/>
      <c r="CP5" s="670"/>
      <c r="CQ5" s="660"/>
      <c r="CR5" s="661"/>
      <c r="CS5" s="968" t="s">
        <v>1561</v>
      </c>
      <c r="CT5" s="969"/>
      <c r="CU5" s="969"/>
      <c r="CV5" s="969"/>
      <c r="CW5" s="969"/>
      <c r="CX5" s="969"/>
      <c r="CY5" s="969"/>
      <c r="CZ5" s="970"/>
      <c r="DA5" s="668" t="s">
        <v>1562</v>
      </c>
      <c r="DB5" s="664"/>
      <c r="DC5" s="664"/>
      <c r="DD5" s="965" t="s">
        <v>1563</v>
      </c>
      <c r="DE5" s="905"/>
      <c r="DF5" s="905"/>
      <c r="DG5" s="906"/>
      <c r="DH5" s="662"/>
      <c r="DI5" s="660"/>
      <c r="DJ5" s="661"/>
      <c r="DK5" s="660" t="s">
        <v>1564</v>
      </c>
      <c r="DL5" s="660"/>
      <c r="DM5" s="660"/>
      <c r="DN5" s="660"/>
      <c r="DO5" s="660"/>
      <c r="DP5" s="660" t="s">
        <v>1565</v>
      </c>
      <c r="DQ5" s="660"/>
      <c r="DR5" s="660"/>
      <c r="DS5" s="660"/>
      <c r="DT5" s="660"/>
      <c r="DU5" s="660" t="s">
        <v>1565</v>
      </c>
      <c r="DV5" s="660"/>
      <c r="DW5" s="660"/>
      <c r="DX5" s="660"/>
    </row>
    <row r="6" spans="1:128" x14ac:dyDescent="0.25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5"/>
      <c r="BZ6" s="656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5"/>
      <c r="DJ6" s="116"/>
    </row>
    <row r="7" spans="1:128" x14ac:dyDescent="0.25">
      <c r="B7" s="116"/>
      <c r="C7" s="381" t="s">
        <v>880</v>
      </c>
      <c r="I7" s="655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5"/>
      <c r="AC7" s="1"/>
      <c r="AD7" s="116"/>
      <c r="AE7" s="381" t="s">
        <v>880</v>
      </c>
      <c r="AI7" s="381" t="s">
        <v>880</v>
      </c>
      <c r="AL7" s="655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5"/>
      <c r="BZ7" s="656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5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1" t="s">
        <v>882</v>
      </c>
      <c r="E8" s="671" t="s">
        <v>46</v>
      </c>
      <c r="F8" s="671" t="s">
        <v>1566</v>
      </c>
      <c r="G8" s="671" t="s">
        <v>1567</v>
      </c>
      <c r="H8" s="671" t="s">
        <v>930</v>
      </c>
      <c r="I8" s="672"/>
      <c r="K8" s="116"/>
      <c r="L8" s="354" t="s">
        <v>312</v>
      </c>
      <c r="M8" s="355" t="s">
        <v>928</v>
      </c>
      <c r="N8" s="355" t="s">
        <v>1114</v>
      </c>
      <c r="O8" s="355" t="s">
        <v>973</v>
      </c>
      <c r="Q8" s="673" t="s">
        <v>312</v>
      </c>
      <c r="R8" s="671" t="s">
        <v>881</v>
      </c>
      <c r="S8" s="671" t="s">
        <v>943</v>
      </c>
      <c r="U8" s="354" t="s">
        <v>312</v>
      </c>
      <c r="V8" s="674" t="s">
        <v>882</v>
      </c>
      <c r="W8" s="674" t="s">
        <v>930</v>
      </c>
      <c r="X8" s="426"/>
      <c r="Y8" s="354" t="s">
        <v>312</v>
      </c>
      <c r="Z8" s="674" t="s">
        <v>1567</v>
      </c>
      <c r="AA8" s="426"/>
      <c r="AB8" s="675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1568</v>
      </c>
      <c r="AL8" s="676"/>
      <c r="AM8" s="677"/>
      <c r="AN8" s="371" t="s">
        <v>312</v>
      </c>
      <c r="AO8" s="371" t="s">
        <v>881</v>
      </c>
      <c r="AP8" s="678" t="s">
        <v>882</v>
      </c>
      <c r="AQ8" s="679" t="s">
        <v>930</v>
      </c>
      <c r="AR8" s="677"/>
      <c r="AS8" s="371" t="s">
        <v>312</v>
      </c>
      <c r="AT8" s="371" t="s">
        <v>881</v>
      </c>
      <c r="AU8" s="678" t="s">
        <v>882</v>
      </c>
      <c r="AV8" s="679" t="s">
        <v>930</v>
      </c>
      <c r="AW8" s="1"/>
      <c r="AX8" s="371" t="s">
        <v>312</v>
      </c>
      <c r="AY8" s="680" t="s">
        <v>1115</v>
      </c>
      <c r="AZ8" s="680" t="s">
        <v>46</v>
      </c>
      <c r="BA8" s="681"/>
      <c r="BB8" s="682" t="s">
        <v>312</v>
      </c>
      <c r="BC8" s="682" t="s">
        <v>881</v>
      </c>
      <c r="BD8" s="683" t="s">
        <v>882</v>
      </c>
      <c r="BE8" s="684" t="s">
        <v>930</v>
      </c>
      <c r="BF8" s="681"/>
      <c r="BG8" s="682" t="s">
        <v>312</v>
      </c>
      <c r="BH8" s="685" t="s">
        <v>1115</v>
      </c>
      <c r="BI8" s="685" t="s">
        <v>46</v>
      </c>
      <c r="BJ8" s="677"/>
      <c r="BK8" s="43"/>
      <c r="BL8" s="116"/>
      <c r="BM8" s="334" t="s">
        <v>312</v>
      </c>
      <c r="BN8" s="371" t="s">
        <v>46</v>
      </c>
      <c r="BO8" s="680" t="s">
        <v>1115</v>
      </c>
      <c r="BQ8" s="334" t="s">
        <v>312</v>
      </c>
      <c r="BR8" s="678" t="s">
        <v>881</v>
      </c>
      <c r="BS8" s="678" t="s">
        <v>930</v>
      </c>
      <c r="BU8" s="334" t="s">
        <v>312</v>
      </c>
      <c r="BV8" s="678" t="s">
        <v>882</v>
      </c>
      <c r="BW8" s="678" t="s">
        <v>1568</v>
      </c>
      <c r="BX8" s="686"/>
      <c r="BZ8" s="687"/>
      <c r="CA8" s="688" t="s">
        <v>312</v>
      </c>
      <c r="CB8" s="689" t="s">
        <v>881</v>
      </c>
      <c r="CC8" s="688" t="s">
        <v>1050</v>
      </c>
      <c r="CD8" s="677"/>
      <c r="CE8" s="690" t="s">
        <v>312</v>
      </c>
      <c r="CF8" s="689" t="s">
        <v>882</v>
      </c>
      <c r="CG8" s="691" t="s">
        <v>930</v>
      </c>
      <c r="CH8" s="677"/>
      <c r="CI8" s="371" t="s">
        <v>312</v>
      </c>
      <c r="CJ8" s="678" t="s">
        <v>881</v>
      </c>
      <c r="CK8" s="371" t="s">
        <v>1050</v>
      </c>
      <c r="CM8" s="334" t="s">
        <v>312</v>
      </c>
      <c r="CN8" s="678" t="s">
        <v>882</v>
      </c>
      <c r="CO8" s="372" t="s">
        <v>930</v>
      </c>
      <c r="CP8" s="305"/>
      <c r="CR8" s="116"/>
      <c r="CS8" s="692" t="s">
        <v>312</v>
      </c>
      <c r="CT8" s="683" t="s">
        <v>881</v>
      </c>
      <c r="CU8" s="677"/>
      <c r="CW8" s="692" t="s">
        <v>312</v>
      </c>
      <c r="CX8" s="683" t="s">
        <v>882</v>
      </c>
      <c r="CY8" s="684" t="s">
        <v>930</v>
      </c>
      <c r="CZ8" s="693"/>
      <c r="DA8" s="334" t="s">
        <v>312</v>
      </c>
      <c r="DB8" s="678" t="s">
        <v>881</v>
      </c>
      <c r="DC8" s="677"/>
      <c r="DE8" s="334" t="s">
        <v>312</v>
      </c>
      <c r="DF8" s="678" t="s">
        <v>882</v>
      </c>
      <c r="DG8" s="679" t="s">
        <v>930</v>
      </c>
      <c r="DH8" s="694"/>
      <c r="DJ8" s="116"/>
      <c r="DK8" s="334" t="s">
        <v>312</v>
      </c>
      <c r="DL8" s="678" t="s">
        <v>881</v>
      </c>
      <c r="DM8" s="678" t="s">
        <v>882</v>
      </c>
      <c r="DN8" s="371" t="s">
        <v>930</v>
      </c>
      <c r="DP8" s="334" t="s">
        <v>312</v>
      </c>
      <c r="DQ8" s="678" t="s">
        <v>881</v>
      </c>
      <c r="DR8" s="678" t="s">
        <v>882</v>
      </c>
      <c r="DS8" s="371" t="s">
        <v>930</v>
      </c>
      <c r="DU8" s="334" t="s">
        <v>312</v>
      </c>
      <c r="DV8" s="678" t="s">
        <v>881</v>
      </c>
      <c r="DW8" s="678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5">
        <f t="shared" ref="G9:G15" si="0">1/(1000000)</f>
        <v>9.9999999999999995E-7</v>
      </c>
      <c r="H9" s="295">
        <v>1</v>
      </c>
      <c r="I9" s="696"/>
      <c r="K9" s="116"/>
      <c r="L9" s="214" t="str">
        <f>+PROCESS!N24</f>
        <v>PROF-CAM1</v>
      </c>
      <c r="M9" s="214" t="s">
        <v>1115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1569</v>
      </c>
      <c r="AK9" s="11">
        <f>+('5. Data'!O99-'5. Data'!S99)/('5. Data'!AH99-'5. Data'!S99)</f>
        <v>1</v>
      </c>
      <c r="AL9" s="701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2" t="str">
        <f t="array" ref="AS9:AS11">+PROCESS!N157:N159</f>
        <v>AUTO-GAS-CAM1</v>
      </c>
      <c r="AT9" s="703" t="str">
        <f>+AP9</f>
        <v>FUEL-GAS-CAM1</v>
      </c>
      <c r="AU9" s="702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4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5"/>
      <c r="BZ9" s="706"/>
      <c r="CA9" s="12" t="str">
        <f>+PROCESS!N116</f>
        <v>COLELC-LOIL-CAM2</v>
      </c>
      <c r="CB9" s="12" t="s">
        <v>127</v>
      </c>
      <c r="CC9" s="707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8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7">
        <f>+CO9</f>
        <v>0.99790440075840736</v>
      </c>
      <c r="CM9" s="12" t="str">
        <f>+CI9</f>
        <v>COLFUEL-LOIL-CAM2</v>
      </c>
      <c r="CN9" s="12" t="s">
        <v>13</v>
      </c>
      <c r="CO9" s="266">
        <f>1/(1+'5. Data'!U184)</f>
        <v>0.99790440075840736</v>
      </c>
      <c r="CP9" s="305"/>
      <c r="CR9" s="116"/>
      <c r="CS9" s="12" t="str">
        <f>+CW9</f>
        <v>COLELC-GAS-CAM1</v>
      </c>
      <c r="CT9" s="12" t="s">
        <v>1569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8"/>
      <c r="DA9" s="12" t="str">
        <f>+DE9</f>
        <v>COLFUEL-GAS-CAM1</v>
      </c>
      <c r="DB9" s="12" t="s">
        <v>1569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0.99790440075840736</v>
      </c>
      <c r="DH9" s="709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5">
        <f t="shared" si="0"/>
        <v>9.9999999999999995E-7</v>
      </c>
      <c r="H10" s="295">
        <v>1</v>
      </c>
      <c r="I10" s="696"/>
      <c r="K10" s="116"/>
      <c r="L10" s="214"/>
      <c r="M10" s="214" t="s">
        <v>1115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1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2" t="str">
        <v>AUTO-OIL-CAM1</v>
      </c>
      <c r="AT10" s="703" t="str">
        <f>+AP23</f>
        <v>FUEL-OIL-CAM1</v>
      </c>
      <c r="AU10" s="702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5"/>
      <c r="BZ10" s="706"/>
      <c r="CB10" s="12" t="str">
        <f>+CB12</f>
        <v>ELC-O-COL-CAM2-CAM3</v>
      </c>
      <c r="CC10" s="707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8">
        <f>1/(1+'5. Data'!Y185)</f>
        <v>0.99789444272584837</v>
      </c>
      <c r="CH10" s="309"/>
      <c r="CJ10" s="12" t="str">
        <f>+BD29</f>
        <v>ELC-COL-CAM2-CAM3</v>
      </c>
      <c r="CK10" s="707">
        <f>100%-CK9</f>
        <v>2.0955992415926383E-3</v>
      </c>
      <c r="CM10" s="12" t="str">
        <f>+CI11</f>
        <v>COLFUEL-HOIL-CAM3</v>
      </c>
      <c r="CN10" s="12" t="s">
        <v>21</v>
      </c>
      <c r="CO10" s="266">
        <f>1/(1+'5. Data'!U185)</f>
        <v>0.99790440075840736</v>
      </c>
      <c r="CP10" s="305"/>
      <c r="CR10" s="116"/>
      <c r="CT10" s="11" t="s">
        <v>1570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8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>100%-DC27</f>
        <v>0.99790440075840736</v>
      </c>
      <c r="DH10" s="709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5">
        <f t="shared" si="0"/>
        <v>9.9999999999999995E-7</v>
      </c>
      <c r="H11" s="295">
        <v>1</v>
      </c>
      <c r="I11" s="696"/>
      <c r="K11" s="116"/>
      <c r="L11" s="214"/>
      <c r="M11" s="214" t="s">
        <v>1115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1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2" t="str">
        <v>AUTO-DSL-CAM1</v>
      </c>
      <c r="AT11" s="703" t="str">
        <f>+AP16</f>
        <v>FUEL-DSL-CAM1</v>
      </c>
      <c r="AU11" s="702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0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5"/>
      <c r="BZ11" s="706"/>
      <c r="CA11" s="12" t="str">
        <f>+PROCESS!N117</f>
        <v>COLELC-HOIL-CAM3</v>
      </c>
      <c r="CB11" s="12" t="s">
        <v>141</v>
      </c>
      <c r="CC11" s="707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8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7">
        <f>+CO10</f>
        <v>0.99790440075840736</v>
      </c>
      <c r="CM11" s="12" t="str">
        <f>+CI13</f>
        <v>COLFUEL-LOIL-CAM4</v>
      </c>
      <c r="CN11" s="12" t="s">
        <v>13</v>
      </c>
      <c r="CO11" s="266">
        <f>1/(1+'5. Data'!U186)</f>
        <v>0.99790440075840736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8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0.99790440075840736</v>
      </c>
      <c r="DH11" s="709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5">
        <f t="shared" si="0"/>
        <v>9.9999999999999995E-7</v>
      </c>
      <c r="H12" s="295">
        <v>1</v>
      </c>
      <c r="I12" s="696"/>
      <c r="K12" s="116"/>
      <c r="L12" s="214"/>
      <c r="M12" s="214" t="s">
        <v>1115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8"/>
      <c r="AS12" s="702" t="str">
        <f t="array" ref="AS12:AS23">+PROCESS!N164:N175</f>
        <v>AUTO-GAS-CAM4</v>
      </c>
      <c r="AT12" s="703" t="str">
        <f>+AP12</f>
        <v>FUEL-GAS-CAM4</v>
      </c>
      <c r="AU12" s="702" t="str">
        <f>+COMM!D93</f>
        <v>ELC-CAM4</v>
      </c>
      <c r="AV12" s="322">
        <f t="array" ref="AV12:AV14">+TRANSPOSE('5. Data'!U211:W211)</f>
        <v>0.35</v>
      </c>
      <c r="AW12" s="370"/>
      <c r="AX12" s="698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8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8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5"/>
      <c r="BZ12" s="706"/>
      <c r="CB12" s="12" t="str">
        <f>+DR10</f>
        <v>ELC-O-COL-CAM2-CAM3</v>
      </c>
      <c r="CC12" s="707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8">
        <f>1/(1+'5. Data'!Y187)</f>
        <v>0.99789444272584837</v>
      </c>
      <c r="CH12" s="309"/>
      <c r="CJ12" s="12" t="str">
        <f>+CJ10</f>
        <v>ELC-COL-CAM2-CAM3</v>
      </c>
      <c r="CK12" s="707">
        <f>100%-CK11</f>
        <v>2.0955992415926383E-3</v>
      </c>
      <c r="CM12" s="12" t="str">
        <f>+CI15</f>
        <v>COLFUEL-MOIL-CAM5</v>
      </c>
      <c r="CN12" s="12" t="s">
        <v>17</v>
      </c>
      <c r="CO12" s="266">
        <f>1/(1+'5. Data'!U187)</f>
        <v>0.99790440075840736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8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0.99790440075840736</v>
      </c>
      <c r="DH12" s="709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5">
        <f t="shared" si="0"/>
        <v>9.9999999999999995E-7</v>
      </c>
      <c r="H13" s="295">
        <v>1</v>
      </c>
      <c r="I13" s="696"/>
      <c r="K13" s="116"/>
      <c r="L13" s="214"/>
      <c r="M13" s="214" t="s">
        <v>1115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2" t="str">
        <v>AUTO-OIL-CAM4</v>
      </c>
      <c r="AT13" s="703" t="str">
        <f>+AP26</f>
        <v>FUEL-OIL-CAM4</v>
      </c>
      <c r="AU13" s="702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0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5"/>
      <c r="BZ13" s="706"/>
      <c r="CA13" s="12" t="str">
        <f>+PROCESS!N118</f>
        <v>COLELC-LOIL-CAM4</v>
      </c>
      <c r="CB13" s="12" t="s">
        <v>132</v>
      </c>
      <c r="CC13" s="707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8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7">
        <f>+CO11</f>
        <v>0.99790440075840736</v>
      </c>
      <c r="CM13" s="12" t="str">
        <f>+CI17</f>
        <v>COLFUEL-MOIL-CAM6</v>
      </c>
      <c r="CN13" s="12" t="s">
        <v>17</v>
      </c>
      <c r="CO13" s="266">
        <f>1/(1+'5. Data'!U188)</f>
        <v>0.99790440075840736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8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0.99790440075840736</v>
      </c>
      <c r="DH13" s="709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5">
        <f t="shared" si="0"/>
        <v>9.9999999999999995E-7</v>
      </c>
      <c r="H14" s="295">
        <v>1</v>
      </c>
      <c r="I14" s="696"/>
      <c r="K14" s="116"/>
      <c r="L14" s="214"/>
      <c r="M14" s="214" t="s">
        <v>1115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5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2" t="str">
        <v>AUTO-DSL-CAM4</v>
      </c>
      <c r="AT14" s="2" t="str">
        <f>+AP19</f>
        <v>FUEL-DSL-CAM4</v>
      </c>
      <c r="AU14" s="702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5"/>
      <c r="BZ14" s="706"/>
      <c r="CB14" s="11" t="str">
        <f>+DR11</f>
        <v>ELC-O-COL-CAM4</v>
      </c>
      <c r="CC14" s="707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7">
        <f>100%-CK13</f>
        <v>2.0955992415926383E-3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8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0.99790440075840736</v>
      </c>
      <c r="DH14" s="709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5">
        <f t="shared" si="0"/>
        <v>9.9999999999999995E-7</v>
      </c>
      <c r="H15" s="295">
        <v>1</v>
      </c>
      <c r="I15" s="655"/>
      <c r="K15" s="116"/>
      <c r="L15" s="214"/>
      <c r="M15" s="214" t="s">
        <v>1115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2" t="str">
        <v>AUTO-GAS-CAM5</v>
      </c>
      <c r="AT15" s="2" t="str">
        <f>+AP13</f>
        <v>FUEL-GAS-CAM5</v>
      </c>
      <c r="AU15" s="702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5"/>
      <c r="BZ15" s="711"/>
      <c r="CA15" s="12" t="str">
        <f>+PROCESS!N119</f>
        <v>COLELC-MOIL-CAM5</v>
      </c>
      <c r="CB15" s="12" t="s">
        <v>139</v>
      </c>
      <c r="CC15" s="707">
        <f>+CG12</f>
        <v>0.99789444272584837</v>
      </c>
      <c r="CD15" s="712"/>
      <c r="CE15" s="712"/>
      <c r="CF15" s="712"/>
      <c r="CG15" s="712"/>
      <c r="CH15" s="712"/>
      <c r="CI15" s="12" t="str">
        <f>+PROCESS!N114</f>
        <v>COLFUEL-MOIL-CAM5</v>
      </c>
      <c r="CJ15" s="12" t="s">
        <v>139</v>
      </c>
      <c r="CK15" s="707">
        <f>+CO12</f>
        <v>0.99790440075840736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7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0.99790440075840736</v>
      </c>
      <c r="DH15" s="655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5"/>
      <c r="K16" s="116"/>
      <c r="L16" s="214"/>
      <c r="M16" s="214" t="s">
        <v>1115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2" t="str">
        <v>AUTO-OIL-CAM5</v>
      </c>
      <c r="AT16" s="2" t="str">
        <f>+AP27</f>
        <v>FUEL-OIL-CAM5</v>
      </c>
      <c r="AU16" s="702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5"/>
      <c r="BZ16" s="706"/>
      <c r="CB16" s="11" t="str">
        <f>+DR13</f>
        <v>ELC-O-COL-CAM6</v>
      </c>
      <c r="CC16" s="707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7">
        <f>100%-CK15</f>
        <v>2.0955992415926383E-3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5"/>
      <c r="DJ16" s="116"/>
    </row>
    <row r="17" spans="2:127" x14ac:dyDescent="0.25">
      <c r="B17" s="116"/>
      <c r="F17" s="231"/>
      <c r="I17" s="655"/>
      <c r="K17" s="116"/>
      <c r="L17" s="214"/>
      <c r="M17" s="214" t="s">
        <v>1115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2" t="str">
        <v>AUTO-DSL-CAM5</v>
      </c>
      <c r="AT17" s="2" t="str">
        <f>+AP20</f>
        <v>FUEL-DSL-CAM5</v>
      </c>
      <c r="AU17" s="702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5"/>
      <c r="BZ17" s="706"/>
      <c r="CA17" s="12" t="str">
        <f>+PROCESS!N120</f>
        <v>COLELC-MOIL-CAM6</v>
      </c>
      <c r="CB17" s="12" t="s">
        <v>140</v>
      </c>
      <c r="CC17" s="707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7">
        <f>+CO13</f>
        <v>0.99790440075840736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5"/>
      <c r="DJ17" s="116"/>
    </row>
    <row r="18" spans="2:127" x14ac:dyDescent="0.25">
      <c r="B18" s="116"/>
      <c r="I18" s="655"/>
      <c r="K18" s="116"/>
      <c r="L18" s="214"/>
      <c r="M18" s="214" t="s">
        <v>1115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7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2" t="str">
        <v>AUTO-GAS-CAM6</v>
      </c>
      <c r="AT18" s="2" t="str">
        <f>+AP14</f>
        <v>FUEL-GAS-CAM6</v>
      </c>
      <c r="AU18" s="702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5"/>
      <c r="BZ18" s="706"/>
      <c r="CB18" s="11" t="str">
        <f>+DR13</f>
        <v>ELC-O-COL-CAM6</v>
      </c>
      <c r="CC18" s="707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7">
        <f>100%-CK17</f>
        <v>2.0955992415926383E-3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5"/>
      <c r="DJ18" s="116"/>
      <c r="DM18" s="12" t="s">
        <v>556</v>
      </c>
    </row>
    <row r="19" spans="2:127" x14ac:dyDescent="0.25">
      <c r="B19" s="116"/>
      <c r="I19" s="655"/>
      <c r="K19" s="116"/>
      <c r="L19" s="214"/>
      <c r="M19" s="214" t="s">
        <v>1115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1571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2" t="str">
        <v>AUTO-OIL-CAM6</v>
      </c>
      <c r="AT19" s="2" t="str">
        <f>+AP28</f>
        <v>FUEL-OIL-CAM6</v>
      </c>
      <c r="AU19" s="702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0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5"/>
      <c r="BZ19" s="706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5"/>
      <c r="DJ19" s="116"/>
    </row>
    <row r="20" spans="2:127" x14ac:dyDescent="0.25">
      <c r="B20" s="116"/>
      <c r="I20" s="655"/>
      <c r="K20" s="116"/>
      <c r="L20" s="214"/>
      <c r="M20" s="214" t="s">
        <v>1115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2" t="str">
        <v>AUTO-DSL-CAM6</v>
      </c>
      <c r="AT20" s="2" t="str">
        <f>+AP21</f>
        <v>FUEL-DSL-CAM6</v>
      </c>
      <c r="AU20" s="702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5"/>
      <c r="BZ20" s="706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5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5"/>
      <c r="K21" s="116"/>
      <c r="L21" s="214"/>
      <c r="M21" s="214" t="s">
        <v>1115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+COMM!D46</f>
        <v>LOIL-CAM7</v>
      </c>
      <c r="AK21" s="11">
        <f>100%-AK20</f>
        <v>5.5238705439885072E-3</v>
      </c>
      <c r="AL21" s="655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2" t="str">
        <v>AUTO-GAS-CAM7</v>
      </c>
      <c r="AT21" s="2" t="str">
        <f>+AP15</f>
        <v>FUEL-GAS-CAM7</v>
      </c>
      <c r="AU21" s="702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5"/>
      <c r="BZ21" s="706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5"/>
      <c r="DJ21" s="116"/>
      <c r="DK21" s="337" t="s">
        <v>312</v>
      </c>
      <c r="DL21" s="337" t="s">
        <v>882</v>
      </c>
      <c r="DM21" s="337" t="s">
        <v>1054</v>
      </c>
      <c r="DP21" s="337" t="s">
        <v>312</v>
      </c>
      <c r="DQ21" s="337" t="s">
        <v>882</v>
      </c>
      <c r="DR21" s="337" t="s">
        <v>1054</v>
      </c>
      <c r="DU21" s="337" t="s">
        <v>312</v>
      </c>
      <c r="DV21" s="337" t="s">
        <v>882</v>
      </c>
      <c r="DW21" s="337" t="s">
        <v>1054</v>
      </c>
    </row>
    <row r="22" spans="2:127" ht="15.75" customHeight="1" x14ac:dyDescent="0.25">
      <c r="B22" s="116"/>
      <c r="I22" s="655"/>
      <c r="K22" s="116"/>
      <c r="L22" s="214"/>
      <c r="M22" s="214" t="s">
        <v>1115</v>
      </c>
      <c r="N22" s="214">
        <v>2050</v>
      </c>
      <c r="O22" s="287">
        <v>0</v>
      </c>
      <c r="R22" s="18" t="str">
        <f>+COMM!D96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2" t="str">
        <v>AUTO-OIL-CAM7</v>
      </c>
      <c r="AT22" s="2" t="str">
        <f>+AP29</f>
        <v>FUEL-OIL-CAM7</v>
      </c>
      <c r="AU22" s="702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5"/>
      <c r="BZ22" s="706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5"/>
      <c r="DJ22" s="116"/>
      <c r="DK22" s="12" t="str">
        <f>+(DK9)</f>
        <v>COMPRA-ELC-CAM1</v>
      </c>
      <c r="DL22" s="12" t="s">
        <v>1572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1572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1572</v>
      </c>
      <c r="DW22" s="222">
        <f>+'3. Scope3'!$G$19</f>
        <v>46.111111111111114</v>
      </c>
    </row>
    <row r="23" spans="2:127" ht="15.75" customHeight="1" x14ac:dyDescent="0.25">
      <c r="B23" s="116"/>
      <c r="I23" s="655"/>
      <c r="K23" s="116"/>
      <c r="L23" s="214" t="str">
        <f>+PROCESS!N25</f>
        <v>PROF-CAM2</v>
      </c>
      <c r="M23" s="214" t="s">
        <v>1115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2" t="str">
        <v>AUTO-DSL-CAM7</v>
      </c>
      <c r="AT23" s="2" t="str">
        <f>+AP22</f>
        <v>FUEL-DSL-CAM7</v>
      </c>
      <c r="AU23" s="702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5"/>
      <c r="BZ23" s="706"/>
      <c r="CC23" s="222"/>
      <c r="CE23" s="309"/>
      <c r="CF23" s="309"/>
      <c r="CG23" s="309"/>
      <c r="CH23" s="309"/>
      <c r="CL23" s="99"/>
      <c r="CM23" s="334" t="s">
        <v>312</v>
      </c>
      <c r="CN23" s="713" t="s">
        <v>1567</v>
      </c>
      <c r="CP23" s="305"/>
      <c r="CR23" s="116"/>
      <c r="CZ23" s="1"/>
      <c r="DH23" s="655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5"/>
      <c r="K24" s="116"/>
      <c r="M24" s="214" t="s">
        <v>1115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1054</v>
      </c>
      <c r="X24" s="677"/>
      <c r="Y24" s="677"/>
      <c r="Z24" s="677"/>
      <c r="AA24" s="677"/>
      <c r="AB24" s="676"/>
      <c r="AC24" s="1"/>
      <c r="AD24" s="116"/>
      <c r="AE24" s="381" t="s">
        <v>880</v>
      </c>
      <c r="AL24" s="655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5"/>
      <c r="BZ24" s="656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5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5"/>
      <c r="K25" s="116"/>
      <c r="M25" s="214" t="s">
        <v>1115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4"/>
      <c r="AC25" s="390"/>
      <c r="AD25" s="116"/>
      <c r="AE25" s="337" t="s">
        <v>312</v>
      </c>
      <c r="AF25" s="337" t="s">
        <v>882</v>
      </c>
      <c r="AG25" s="337" t="s">
        <v>1054</v>
      </c>
      <c r="AL25" s="655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5"/>
      <c r="BZ25" s="656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2" t="s">
        <v>312</v>
      </c>
      <c r="CT25" s="683" t="s">
        <v>881</v>
      </c>
      <c r="CU25" s="715" t="s">
        <v>1050</v>
      </c>
      <c r="CZ25" s="1"/>
      <c r="DA25" s="334" t="s">
        <v>312</v>
      </c>
      <c r="DB25" s="678" t="s">
        <v>881</v>
      </c>
      <c r="DC25" s="371" t="s">
        <v>1050</v>
      </c>
      <c r="DH25" s="655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5"/>
      <c r="K26" s="116"/>
      <c r="M26" s="214" t="s">
        <v>1115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0"/>
      <c r="Z26" s="1"/>
      <c r="AA26" s="700"/>
      <c r="AB26" s="714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5"/>
      <c r="BZ26" s="687"/>
      <c r="CA26" s="1"/>
      <c r="CB26" s="1"/>
      <c r="CC26" s="1"/>
      <c r="CD26" s="1"/>
      <c r="CE26" s="677"/>
      <c r="CF26" s="677"/>
      <c r="CG26" s="677"/>
      <c r="CH26" s="677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2.0955992415926552E-3</v>
      </c>
      <c r="DH26" s="655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5"/>
      <c r="K27" s="116"/>
      <c r="M27" s="214" t="s">
        <v>1115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4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5"/>
      <c r="BZ27" s="716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2.0955992415926552E-3</v>
      </c>
      <c r="DF27" s="14"/>
      <c r="DG27" s="14" t="str">
        <f>V18</f>
        <v>kt/PJ</v>
      </c>
      <c r="DH27" s="655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5"/>
      <c r="K28" s="116"/>
      <c r="M28" s="214" t="s">
        <v>1115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4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8" t="s">
        <v>882</v>
      </c>
      <c r="AV28" s="679" t="s">
        <v>930</v>
      </c>
      <c r="AW28" s="1"/>
      <c r="AX28" s="1"/>
      <c r="AY28" s="1"/>
      <c r="AZ28" s="1"/>
      <c r="BA28" s="1"/>
      <c r="BB28" s="682" t="s">
        <v>312</v>
      </c>
      <c r="BC28" s="682" t="s">
        <v>881</v>
      </c>
      <c r="BD28" s="683" t="s">
        <v>882</v>
      </c>
      <c r="BE28" s="684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5"/>
      <c r="BZ28" s="716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1571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2.0955992415926552E-3</v>
      </c>
      <c r="DF28" s="14" t="str">
        <f t="shared" ref="DF28:DG28" si="18">U19</f>
        <v>F.E. GAS</v>
      </c>
      <c r="DG28" s="365">
        <f t="shared" si="18"/>
        <v>55.539114956987063</v>
      </c>
      <c r="DH28" s="655"/>
      <c r="DJ28" s="116"/>
      <c r="DM28" s="222"/>
    </row>
    <row r="29" spans="2:127" ht="15.75" customHeight="1" x14ac:dyDescent="0.25">
      <c r="B29" s="116"/>
      <c r="I29" s="655"/>
      <c r="K29" s="116"/>
      <c r="M29" s="214" t="s">
        <v>1115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4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5"/>
      <c r="BZ29" s="716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2.0955992415926552E-3</v>
      </c>
      <c r="DH29" s="655"/>
      <c r="DJ29" s="116"/>
    </row>
    <row r="30" spans="2:127" ht="15.75" customHeight="1" x14ac:dyDescent="0.25">
      <c r="B30" s="116"/>
      <c r="I30" s="655"/>
      <c r="K30" s="116"/>
      <c r="M30" s="214" t="s">
        <v>1115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4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7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7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5"/>
      <c r="BZ30" s="716"/>
      <c r="CA30" s="1"/>
      <c r="CB30" s="1"/>
      <c r="CC30" s="1"/>
      <c r="CD30" s="1"/>
      <c r="CE30" s="390"/>
      <c r="CF30" s="390"/>
      <c r="CG30" s="390"/>
      <c r="CH30" s="390"/>
      <c r="CM30" s="718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2.0955992415926552E-3</v>
      </c>
      <c r="DH30" s="655"/>
      <c r="DJ30" s="116"/>
    </row>
    <row r="31" spans="2:127" ht="15.75" customHeight="1" x14ac:dyDescent="0.25">
      <c r="B31" s="116"/>
      <c r="I31" s="655"/>
      <c r="K31" s="116"/>
      <c r="M31" s="214" t="s">
        <v>1115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7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7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5"/>
      <c r="BZ31" s="716"/>
      <c r="CA31" s="1"/>
      <c r="CB31" s="1"/>
      <c r="CC31" s="1"/>
      <c r="CD31" s="1"/>
      <c r="CE31" s="390"/>
      <c r="CF31" s="390"/>
      <c r="CG31" s="390"/>
      <c r="CH31" s="390"/>
      <c r="CM31" s="718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2.0955992415926552E-3</v>
      </c>
      <c r="DH31" s="655"/>
      <c r="DJ31" s="116"/>
      <c r="DK31">
        <v>2019</v>
      </c>
    </row>
    <row r="32" spans="2:127" ht="15.75" customHeight="1" x14ac:dyDescent="0.25">
      <c r="B32" s="116"/>
      <c r="I32" s="655"/>
      <c r="K32" s="116"/>
      <c r="M32" s="214" t="s">
        <v>1115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"/>
      <c r="AO32" s="1"/>
      <c r="AP32" s="1"/>
      <c r="AQ32" s="1"/>
      <c r="AR32" s="1"/>
      <c r="AS32" s="1"/>
      <c r="AT32" s="717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7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5"/>
      <c r="BZ32" s="716"/>
      <c r="CA32" s="1"/>
      <c r="CB32" s="1"/>
      <c r="CC32" s="1"/>
      <c r="CD32" s="1"/>
      <c r="CE32" s="390"/>
      <c r="CF32" s="390"/>
      <c r="CG32" s="390"/>
      <c r="CH32" s="390"/>
      <c r="CM32" s="718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2.0955992415926552E-3</v>
      </c>
      <c r="DH32" s="655"/>
      <c r="DJ32" s="116"/>
      <c r="DK32" t="s">
        <v>1643</v>
      </c>
      <c r="DL32">
        <v>1646</v>
      </c>
      <c r="DM32" t="s">
        <v>599</v>
      </c>
      <c r="DN32">
        <f>+DL32*0.0036</f>
        <v>5.9256000000000002</v>
      </c>
      <c r="DO32" t="s">
        <v>59</v>
      </c>
      <c r="DP32" s="381" t="s">
        <v>880</v>
      </c>
    </row>
    <row r="33" spans="2:121" ht="15.75" customHeight="1" x14ac:dyDescent="0.25">
      <c r="B33" s="116"/>
      <c r="I33" s="655"/>
      <c r="K33" s="116"/>
      <c r="M33" s="214" t="s">
        <v>1115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19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19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5"/>
      <c r="BZ33" s="656"/>
      <c r="CA33" s="1"/>
      <c r="CB33" s="1"/>
      <c r="CC33" s="1"/>
      <c r="CD33" s="1"/>
      <c r="CE33" s="1"/>
      <c r="CF33" s="1"/>
      <c r="CG33" s="1"/>
      <c r="CH33" s="1"/>
      <c r="CM33" s="718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5"/>
      <c r="DJ33" s="116"/>
      <c r="DK33" t="s">
        <v>1644</v>
      </c>
      <c r="DL33">
        <v>509</v>
      </c>
      <c r="DM33" t="s">
        <v>599</v>
      </c>
      <c r="DN33">
        <f>+DL33*0.0036</f>
        <v>1.8324</v>
      </c>
      <c r="DO33" t="s">
        <v>59</v>
      </c>
      <c r="DP33" s="334" t="s">
        <v>312</v>
      </c>
      <c r="DQ33" s="334" t="s">
        <v>1115</v>
      </c>
    </row>
    <row r="34" spans="2:121" ht="15.75" customHeight="1" x14ac:dyDescent="0.25">
      <c r="B34" s="116"/>
      <c r="I34" s="655"/>
      <c r="K34" s="116"/>
      <c r="M34" s="214" t="s">
        <v>1115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"/>
      <c r="AO34" s="1"/>
      <c r="AP34" s="1"/>
      <c r="AQ34" s="1"/>
      <c r="AR34" s="1"/>
      <c r="AS34" s="1"/>
      <c r="AT34" s="717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7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5"/>
      <c r="BZ34" s="656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5"/>
      <c r="DJ34" s="116"/>
      <c r="DK34" t="s">
        <v>1645</v>
      </c>
      <c r="DL34" s="812">
        <f>3566038/1000000</f>
        <v>3.5660379999999998</v>
      </c>
      <c r="DM34" t="s">
        <v>599</v>
      </c>
      <c r="DN34" s="811">
        <f>+DL34*0.0036</f>
        <v>1.2837736799999999E-2</v>
      </c>
      <c r="DO34" t="s">
        <v>59</v>
      </c>
      <c r="DP34" s="813" t="str">
        <f>+'1. EXP_IMP'!I64</f>
        <v>IMP-SIN</v>
      </c>
      <c r="DQ34" s="814">
        <f>+DN35</f>
        <v>7.7708377368000008</v>
      </c>
    </row>
    <row r="35" spans="2:121" ht="15.75" customHeight="1" x14ac:dyDescent="0.25">
      <c r="B35" s="116"/>
      <c r="I35" s="655"/>
      <c r="K35" s="116"/>
      <c r="M35" s="214" t="s">
        <v>1115</v>
      </c>
      <c r="N35" s="214">
        <v>2047</v>
      </c>
      <c r="O35" s="287">
        <v>10.029486407153993</v>
      </c>
      <c r="Q35" s="421"/>
      <c r="U35" s="720"/>
      <c r="V35" s="720"/>
      <c r="X35" s="1"/>
      <c r="Y35" s="1"/>
      <c r="Z35" s="1"/>
      <c r="AA35" s="1"/>
      <c r="AB35" s="655"/>
      <c r="AC35" s="1"/>
      <c r="AD35" s="116"/>
      <c r="AL35" s="655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5"/>
      <c r="BZ35" s="656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5"/>
      <c r="DJ35" s="116"/>
      <c r="DL35">
        <f>+DN35/0.0036</f>
        <v>2158.5660380000004</v>
      </c>
      <c r="DM35" t="s">
        <v>599</v>
      </c>
      <c r="DN35" s="811">
        <f>+DN34+DN33+DN32</f>
        <v>7.7708377368000008</v>
      </c>
      <c r="DO35" t="s">
        <v>59</v>
      </c>
    </row>
    <row r="36" spans="2:121" ht="15.75" customHeight="1" x14ac:dyDescent="0.25">
      <c r="B36" s="116"/>
      <c r="I36" s="655"/>
      <c r="K36" s="116"/>
      <c r="M36" s="214" t="s">
        <v>1115</v>
      </c>
      <c r="N36" s="214">
        <v>2050</v>
      </c>
      <c r="O36" s="287">
        <v>6.6898601086639449</v>
      </c>
      <c r="Q36" s="421"/>
      <c r="U36" s="721"/>
      <c r="X36" s="1"/>
      <c r="Y36" s="1"/>
      <c r="Z36" s="1"/>
      <c r="AA36" s="1"/>
      <c r="AB36" s="655"/>
      <c r="AC36" s="1"/>
      <c r="AD36" s="116"/>
      <c r="AL36" s="655"/>
      <c r="AM36" s="1"/>
      <c r="AN36" s="1"/>
      <c r="AO36" s="1"/>
      <c r="AP36" s="1"/>
      <c r="AQ36" s="1"/>
      <c r="AR36" s="1"/>
      <c r="AS36" s="1"/>
      <c r="AT36" s="1"/>
      <c r="AU36" s="703"/>
      <c r="AV36" s="702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5"/>
      <c r="BZ36" s="656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5"/>
      <c r="DJ36" s="116"/>
    </row>
    <row r="37" spans="2:121" ht="15.75" customHeight="1" x14ac:dyDescent="0.25">
      <c r="B37" s="116"/>
      <c r="I37" s="655"/>
      <c r="K37" s="116"/>
      <c r="L37" s="214" t="str">
        <f>+PROCESS!N26</f>
        <v>PROF-CAM3</v>
      </c>
      <c r="M37" s="214" t="s">
        <v>1115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/>
      <c r="AP37" s="1"/>
      <c r="AQ37" s="1"/>
      <c r="AR37" s="1"/>
      <c r="AS37" s="1"/>
      <c r="AT37" s="1"/>
      <c r="AU37" s="703"/>
      <c r="AV37" s="702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5"/>
      <c r="BZ37" s="656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5"/>
      <c r="DJ37" s="116"/>
      <c r="DK37" t="s">
        <v>1646</v>
      </c>
      <c r="DL37">
        <v>725000</v>
      </c>
      <c r="DM37" t="s">
        <v>1649</v>
      </c>
    </row>
    <row r="38" spans="2:121" ht="15.75" customHeight="1" x14ac:dyDescent="0.25">
      <c r="B38" s="116"/>
      <c r="I38" s="655"/>
      <c r="K38" s="116"/>
      <c r="M38" s="214" t="s">
        <v>1115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1"/>
      <c r="AR38" s="1"/>
      <c r="AS38" s="1"/>
      <c r="AT38" s="1"/>
      <c r="AU38" s="703"/>
      <c r="AV38" s="702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5"/>
      <c r="BZ38" s="656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5"/>
      <c r="DJ38" s="116"/>
      <c r="DK38" t="s">
        <v>1647</v>
      </c>
    </row>
    <row r="39" spans="2:121" ht="15.75" customHeight="1" x14ac:dyDescent="0.25">
      <c r="B39" s="116"/>
      <c r="I39" s="655"/>
      <c r="K39" s="116"/>
      <c r="M39" s="214" t="s">
        <v>1115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1"/>
      <c r="AR39" s="1"/>
      <c r="AS39" s="1"/>
      <c r="AT39" s="1"/>
      <c r="AU39" s="19"/>
      <c r="AV39" s="702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5"/>
      <c r="BZ39" s="656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5"/>
      <c r="DJ39" s="116"/>
      <c r="DK39" t="s">
        <v>1648</v>
      </c>
      <c r="DL39">
        <v>168813</v>
      </c>
      <c r="DM39" t="s">
        <v>615</v>
      </c>
    </row>
    <row r="40" spans="2:121" ht="15.75" customHeight="1" x14ac:dyDescent="0.25">
      <c r="B40" s="116"/>
      <c r="I40" s="655"/>
      <c r="K40" s="116"/>
      <c r="M40" s="214" t="s">
        <v>1115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1"/>
      <c r="AR40" s="1"/>
      <c r="AS40" s="1"/>
      <c r="AT40" s="1"/>
      <c r="AU40" s="19"/>
      <c r="AV40" s="702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5"/>
      <c r="BZ40" s="656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5"/>
      <c r="DJ40" s="116"/>
    </row>
    <row r="41" spans="2:121" ht="15.75" customHeight="1" x14ac:dyDescent="0.25">
      <c r="B41" s="116"/>
      <c r="I41" s="655"/>
      <c r="K41" s="116"/>
      <c r="M41" s="214" t="s">
        <v>1115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5"/>
      <c r="BZ41" s="656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5"/>
      <c r="DJ41" s="116"/>
    </row>
    <row r="42" spans="2:121" ht="15.75" customHeight="1" x14ac:dyDescent="0.25">
      <c r="B42" s="116"/>
      <c r="I42" s="655"/>
      <c r="K42" s="116"/>
      <c r="M42" s="214" t="s">
        <v>1115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986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5"/>
      <c r="BZ42" s="656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5"/>
      <c r="DJ42" s="116"/>
    </row>
    <row r="43" spans="2:121" ht="15.75" customHeight="1" x14ac:dyDescent="0.25">
      <c r="B43" s="116"/>
      <c r="I43" s="655"/>
      <c r="K43" s="116"/>
      <c r="M43" s="214" t="s">
        <v>1115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2" t="str">
        <f>+AP9</f>
        <v>FUEL-GAS-CAM1</v>
      </c>
      <c r="AP43" s="337" t="str">
        <f>+AP16</f>
        <v>FUEL-DSL-CAM1</v>
      </c>
      <c r="AQ43" s="723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5"/>
      <c r="BZ43" s="656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5"/>
      <c r="DJ43" s="116"/>
    </row>
    <row r="44" spans="2:121" ht="15.75" customHeight="1" x14ac:dyDescent="0.25">
      <c r="B44" s="116"/>
      <c r="I44" s="655"/>
      <c r="K44" s="116"/>
      <c r="M44" s="214" t="s">
        <v>1115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5"/>
      <c r="BZ44" s="656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5"/>
      <c r="DJ44" s="116"/>
    </row>
    <row r="45" spans="2:121" ht="15.75" customHeight="1" x14ac:dyDescent="0.25">
      <c r="B45" s="116"/>
      <c r="I45" s="655"/>
      <c r="K45" s="116"/>
      <c r="M45" s="214" t="s">
        <v>1115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5"/>
      <c r="BZ45" s="656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5"/>
      <c r="DJ45" s="116"/>
    </row>
    <row r="46" spans="2:121" ht="15.75" customHeight="1" x14ac:dyDescent="0.25">
      <c r="B46" s="116"/>
      <c r="I46" s="655"/>
      <c r="K46" s="116"/>
      <c r="M46" s="214" t="s">
        <v>1115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5"/>
      <c r="BZ46" s="656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5"/>
      <c r="DJ46" s="116"/>
    </row>
    <row r="47" spans="2:121" ht="15.75" customHeight="1" x14ac:dyDescent="0.25">
      <c r="B47" s="116"/>
      <c r="I47" s="655"/>
      <c r="K47" s="116"/>
      <c r="M47" s="214" t="s">
        <v>1115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986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5"/>
      <c r="BZ47" s="656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5"/>
      <c r="DJ47" s="116"/>
    </row>
    <row r="48" spans="2:121" ht="15.75" customHeight="1" x14ac:dyDescent="0.25">
      <c r="B48" s="116"/>
      <c r="I48" s="655"/>
      <c r="K48" s="116"/>
      <c r="M48" s="214" t="s">
        <v>1115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2" t="str">
        <f>+AP10</f>
        <v>FUEL-GAS-CAM2</v>
      </c>
      <c r="AP48" s="337" t="str">
        <f>+AP17</f>
        <v>FUEL-DSL-CAM2</v>
      </c>
      <c r="AQ48" s="723" t="str">
        <f>+AP24</f>
        <v>FUEL-OIL-CAM2</v>
      </c>
      <c r="AR48" s="723" t="str">
        <f>+AP30</f>
        <v>FUEL-LPG-CAM2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5"/>
      <c r="BZ48" s="656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5"/>
      <c r="DJ48" s="116"/>
    </row>
    <row r="49" spans="2:114" ht="15.75" customHeight="1" x14ac:dyDescent="0.25">
      <c r="B49" s="116"/>
      <c r="I49" s="655"/>
      <c r="K49" s="116"/>
      <c r="M49" s="214" t="s">
        <v>1115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4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370">
        <f>+'3. Scope3'!H26</f>
        <v>47.28933824683137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5"/>
      <c r="BZ49" s="656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5"/>
      <c r="DJ49" s="116"/>
    </row>
    <row r="50" spans="2:114" ht="15.75" customHeight="1" x14ac:dyDescent="0.25">
      <c r="B50" s="116"/>
      <c r="I50" s="655"/>
      <c r="K50" s="116"/>
      <c r="M50" s="214" t="s">
        <v>1115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5"/>
      <c r="BZ50" s="656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5"/>
      <c r="DJ50" s="116"/>
    </row>
    <row r="51" spans="2:114" ht="15.75" customHeight="1" x14ac:dyDescent="0.25">
      <c r="B51" s="116"/>
      <c r="I51" s="655"/>
      <c r="K51" s="116"/>
      <c r="L51" s="214" t="str">
        <f>+PROCESS!N27</f>
        <v>PROF-CAM4</v>
      </c>
      <c r="M51" s="214" t="s">
        <v>1115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986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5"/>
      <c r="BZ51" s="656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5"/>
      <c r="DJ51" s="116"/>
    </row>
    <row r="52" spans="2:114" ht="15.75" customHeight="1" x14ac:dyDescent="0.25">
      <c r="B52" s="116"/>
      <c r="I52" s="655"/>
      <c r="K52" s="116"/>
      <c r="M52" s="214" t="s">
        <v>1115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2" t="str">
        <f>+AP11</f>
        <v>FUEL-GAS-CAM3</v>
      </c>
      <c r="AP52" s="337" t="str">
        <f>+AP18</f>
        <v>FUEL-DSL-CAM3</v>
      </c>
      <c r="AQ52" s="723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5"/>
      <c r="BZ52" s="656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5"/>
      <c r="DJ52" s="116"/>
    </row>
    <row r="53" spans="2:114" ht="15.75" customHeight="1" x14ac:dyDescent="0.25">
      <c r="B53" s="116"/>
      <c r="I53" s="655"/>
      <c r="K53" s="116"/>
      <c r="M53" s="214" t="s">
        <v>1115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4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5"/>
      <c r="BZ53" s="656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5"/>
      <c r="DJ53" s="116"/>
    </row>
    <row r="54" spans="2:114" ht="15.75" customHeight="1" x14ac:dyDescent="0.25">
      <c r="B54" s="116"/>
      <c r="I54" s="655"/>
      <c r="K54" s="116"/>
      <c r="M54" s="214" t="s">
        <v>1115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5"/>
      <c r="BZ54" s="656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5"/>
      <c r="DJ54" s="116"/>
    </row>
    <row r="55" spans="2:114" ht="15.75" customHeight="1" x14ac:dyDescent="0.25">
      <c r="B55" s="116"/>
      <c r="I55" s="655"/>
      <c r="K55" s="116"/>
      <c r="M55" s="214" t="s">
        <v>1115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986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5"/>
      <c r="BZ55" s="656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5"/>
      <c r="DJ55" s="116"/>
    </row>
    <row r="56" spans="2:114" ht="15.75" customHeight="1" x14ac:dyDescent="0.25">
      <c r="B56" s="116"/>
      <c r="I56" s="655"/>
      <c r="K56" s="116"/>
      <c r="M56" s="214" t="s">
        <v>1115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2" t="str">
        <f>+AP12</f>
        <v>FUEL-GAS-CAM4</v>
      </c>
      <c r="AP56" s="337" t="str">
        <f>+AP19</f>
        <v>FUEL-DSL-CAM4</v>
      </c>
      <c r="AQ56" s="723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5"/>
      <c r="BZ56" s="656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5"/>
      <c r="DJ56" s="116"/>
    </row>
    <row r="57" spans="2:114" ht="15.75" customHeight="1" x14ac:dyDescent="0.25">
      <c r="B57" s="116"/>
      <c r="I57" s="655"/>
      <c r="K57" s="116"/>
      <c r="M57" s="214" t="s">
        <v>1115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4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5"/>
      <c r="BZ57" s="656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5"/>
      <c r="DJ57" s="116"/>
    </row>
    <row r="58" spans="2:114" ht="15.75" customHeight="1" x14ac:dyDescent="0.25">
      <c r="B58" s="116"/>
      <c r="I58" s="655"/>
      <c r="K58" s="116"/>
      <c r="M58" s="214" t="s">
        <v>1115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5"/>
      <c r="BZ58" s="656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5"/>
      <c r="DJ58" s="116"/>
    </row>
    <row r="59" spans="2:114" ht="15.75" customHeight="1" x14ac:dyDescent="0.25">
      <c r="B59" s="116"/>
      <c r="I59" s="655"/>
      <c r="K59" s="116"/>
      <c r="M59" s="214" t="s">
        <v>1115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986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5"/>
      <c r="BZ59" s="656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5"/>
      <c r="DJ59" s="116"/>
    </row>
    <row r="60" spans="2:114" ht="15.75" customHeight="1" x14ac:dyDescent="0.25">
      <c r="B60" s="116"/>
      <c r="I60" s="655"/>
      <c r="K60" s="116"/>
      <c r="M60" s="214" t="s">
        <v>1115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2" t="str">
        <f>+AP13</f>
        <v>FUEL-GAS-CAM5</v>
      </c>
      <c r="AP60" s="337" t="str">
        <f>+AP20</f>
        <v>FUEL-DSL-CAM5</v>
      </c>
      <c r="AQ60" s="723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5"/>
      <c r="BZ60" s="656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5"/>
      <c r="DJ60" s="116"/>
    </row>
    <row r="61" spans="2:114" ht="15.75" customHeight="1" x14ac:dyDescent="0.25">
      <c r="B61" s="116"/>
      <c r="I61" s="655"/>
      <c r="K61" s="116"/>
      <c r="M61" s="214" t="s">
        <v>1115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4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5"/>
      <c r="BZ61" s="656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5"/>
      <c r="DJ61" s="116"/>
    </row>
    <row r="62" spans="2:114" ht="15.75" customHeight="1" x14ac:dyDescent="0.25">
      <c r="B62" s="116"/>
      <c r="I62" s="655"/>
      <c r="K62" s="116"/>
      <c r="M62" s="214" t="s">
        <v>1115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5"/>
      <c r="BZ62" s="656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5"/>
      <c r="DJ62" s="116"/>
    </row>
    <row r="63" spans="2:114" ht="15.75" customHeight="1" x14ac:dyDescent="0.25">
      <c r="B63" s="116"/>
      <c r="I63" s="655"/>
      <c r="K63" s="116"/>
      <c r="M63" s="214" t="s">
        <v>1115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986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5"/>
      <c r="BZ63" s="656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5"/>
      <c r="DJ63" s="116"/>
    </row>
    <row r="64" spans="2:114" ht="15.75" customHeight="1" x14ac:dyDescent="0.25">
      <c r="B64" s="116"/>
      <c r="I64" s="655"/>
      <c r="K64" s="116"/>
      <c r="M64" s="214" t="s">
        <v>1115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2" t="str">
        <f>+AP14</f>
        <v>FUEL-GAS-CAM6</v>
      </c>
      <c r="AP64" s="337" t="str">
        <f>+AP21</f>
        <v>FUEL-DSL-CAM6</v>
      </c>
      <c r="AQ64" s="723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5"/>
      <c r="BZ64" s="656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5"/>
      <c r="DJ64" s="116"/>
    </row>
    <row r="65" spans="2:114" ht="15.75" customHeight="1" x14ac:dyDescent="0.25">
      <c r="B65" s="116"/>
      <c r="I65" s="655"/>
      <c r="K65" s="116"/>
      <c r="L65" s="214" t="str">
        <f>+PROCESS!N28</f>
        <v>PROF-CAM5</v>
      </c>
      <c r="M65" s="214" t="s">
        <v>1115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4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5"/>
      <c r="BZ65" s="656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5"/>
      <c r="DJ65" s="116"/>
    </row>
    <row r="66" spans="2:114" ht="15.75" customHeight="1" x14ac:dyDescent="0.25">
      <c r="B66" s="116"/>
      <c r="I66" s="655"/>
      <c r="K66" s="116"/>
      <c r="M66" s="214" t="s">
        <v>1115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5"/>
      <c r="BZ66" s="656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5"/>
      <c r="DJ66" s="116"/>
    </row>
    <row r="67" spans="2:114" ht="15.75" customHeight="1" x14ac:dyDescent="0.25">
      <c r="B67" s="116"/>
      <c r="I67" s="655"/>
      <c r="K67" s="116"/>
      <c r="M67" s="214" t="s">
        <v>1115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5"/>
      <c r="BZ67" s="656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5"/>
      <c r="DJ67" s="116"/>
    </row>
    <row r="68" spans="2:114" ht="15.75" customHeight="1" x14ac:dyDescent="0.25">
      <c r="B68" s="116"/>
      <c r="I68" s="655"/>
      <c r="K68" s="116"/>
      <c r="M68" s="214" t="s">
        <v>1115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986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5"/>
      <c r="BZ68" s="656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5"/>
      <c r="DJ68" s="116"/>
    </row>
    <row r="69" spans="2:114" ht="15.75" customHeight="1" x14ac:dyDescent="0.25">
      <c r="B69" s="116"/>
      <c r="I69" s="655"/>
      <c r="K69" s="116"/>
      <c r="M69" s="214" t="s">
        <v>1115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2" t="str">
        <f>+AP15</f>
        <v>FUEL-GAS-CAM7</v>
      </c>
      <c r="AP69" s="337" t="str">
        <f>+AP22</f>
        <v>FUEL-DSL-CAM7</v>
      </c>
      <c r="AQ69" s="723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5"/>
      <c r="BZ69" s="656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5"/>
      <c r="DJ69" s="116"/>
    </row>
    <row r="70" spans="2:114" ht="15.75" customHeight="1" x14ac:dyDescent="0.25">
      <c r="B70" s="116"/>
      <c r="I70" s="655"/>
      <c r="K70" s="116"/>
      <c r="M70" s="214" t="s">
        <v>1115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5"/>
      <c r="BZ70" s="656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5"/>
      <c r="DJ70" s="116"/>
    </row>
    <row r="71" spans="2:114" ht="15.75" customHeight="1" x14ac:dyDescent="0.25">
      <c r="B71" s="116"/>
      <c r="I71" s="655"/>
      <c r="K71" s="116"/>
      <c r="M71" s="214" t="s">
        <v>1115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5"/>
      <c r="BZ71" s="656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5"/>
      <c r="DJ71" s="116"/>
    </row>
    <row r="72" spans="2:114" ht="15.75" customHeight="1" x14ac:dyDescent="0.25">
      <c r="B72" s="116"/>
      <c r="I72" s="655"/>
      <c r="K72" s="116"/>
      <c r="M72" s="214" t="s">
        <v>1115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5"/>
      <c r="BZ72" s="656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5"/>
      <c r="DJ72" s="116"/>
    </row>
    <row r="73" spans="2:114" ht="15.75" customHeight="1" x14ac:dyDescent="0.25">
      <c r="B73" s="116"/>
      <c r="I73" s="655"/>
      <c r="K73" s="116"/>
      <c r="M73" s="214" t="s">
        <v>1115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5"/>
      <c r="BZ73" s="656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5"/>
      <c r="DJ73" s="116"/>
    </row>
    <row r="74" spans="2:114" ht="15.75" customHeight="1" x14ac:dyDescent="0.25">
      <c r="B74" s="116"/>
      <c r="I74" s="655"/>
      <c r="K74" s="116"/>
      <c r="M74" s="214" t="s">
        <v>1115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12" t="s">
        <v>1573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5"/>
      <c r="BZ74" s="656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5"/>
      <c r="DJ74" s="116"/>
    </row>
    <row r="75" spans="2:114" ht="15.75" customHeight="1" x14ac:dyDescent="0.25">
      <c r="B75" s="116"/>
      <c r="I75" s="655"/>
      <c r="K75" s="116"/>
      <c r="M75" s="214" t="s">
        <v>1115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5"/>
      <c r="BZ75" s="656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5"/>
      <c r="DJ75" s="116"/>
    </row>
    <row r="76" spans="2:114" ht="15.75" customHeight="1" x14ac:dyDescent="0.25">
      <c r="B76" s="116"/>
      <c r="I76" s="655"/>
      <c r="K76" s="116"/>
      <c r="M76" s="214" t="s">
        <v>1115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5"/>
      <c r="BZ76" s="656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5"/>
      <c r="DJ76" s="116"/>
    </row>
    <row r="77" spans="2:114" ht="15.75" customHeight="1" x14ac:dyDescent="0.25">
      <c r="B77" s="116"/>
      <c r="I77" s="655"/>
      <c r="K77" s="116"/>
      <c r="M77" s="214" t="s">
        <v>1115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5"/>
      <c r="BZ77" s="656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5"/>
      <c r="DJ77" s="116"/>
    </row>
    <row r="78" spans="2:114" ht="15.75" customHeight="1" x14ac:dyDescent="0.25">
      <c r="B78" s="116"/>
      <c r="I78" s="655"/>
      <c r="K78" s="116"/>
      <c r="M78" s="214" t="s">
        <v>1115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5"/>
      <c r="BZ78" s="656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5"/>
      <c r="DJ78" s="116"/>
    </row>
    <row r="79" spans="2:114" ht="15.75" customHeight="1" x14ac:dyDescent="0.25">
      <c r="B79" s="116"/>
      <c r="I79" s="655"/>
      <c r="K79" s="116"/>
      <c r="L79" s="214" t="str">
        <f>+PROCESS!N29</f>
        <v>PROF-CAM6</v>
      </c>
      <c r="M79" s="214" t="s">
        <v>1115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5"/>
      <c r="BZ79" s="656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5"/>
      <c r="DJ79" s="116"/>
    </row>
    <row r="80" spans="2:114" ht="15.75" customHeight="1" x14ac:dyDescent="0.25">
      <c r="B80" s="116"/>
      <c r="I80" s="655"/>
      <c r="K80" s="116"/>
      <c r="M80" s="214" t="s">
        <v>1115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5"/>
      <c r="BZ80" s="656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5"/>
      <c r="DJ80" s="116"/>
    </row>
    <row r="81" spans="2:114" ht="15.75" customHeight="1" x14ac:dyDescent="0.25">
      <c r="B81" s="116"/>
      <c r="I81" s="655"/>
      <c r="K81" s="116"/>
      <c r="M81" s="214" t="s">
        <v>1115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5"/>
      <c r="BZ81" s="656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5"/>
      <c r="DJ81" s="116"/>
    </row>
    <row r="82" spans="2:114" ht="15.75" customHeight="1" x14ac:dyDescent="0.25">
      <c r="B82" s="116"/>
      <c r="I82" s="655"/>
      <c r="K82" s="116"/>
      <c r="M82" s="214" t="s">
        <v>1115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5"/>
      <c r="BZ82" s="656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5"/>
      <c r="DJ82" s="116"/>
    </row>
    <row r="83" spans="2:114" ht="15.75" customHeight="1" x14ac:dyDescent="0.25">
      <c r="B83" s="116"/>
      <c r="I83" s="655"/>
      <c r="K83" s="116"/>
      <c r="M83" s="214" t="s">
        <v>1115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5"/>
      <c r="BZ83" s="656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5"/>
      <c r="DJ83" s="116"/>
    </row>
    <row r="84" spans="2:114" ht="15.75" customHeight="1" x14ac:dyDescent="0.25">
      <c r="B84" s="116"/>
      <c r="I84" s="655"/>
      <c r="K84" s="116"/>
      <c r="M84" s="214" t="s">
        <v>1115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5"/>
      <c r="BZ84" s="656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5"/>
      <c r="DJ84" s="116"/>
    </row>
    <row r="85" spans="2:114" ht="15.75" customHeight="1" x14ac:dyDescent="0.25">
      <c r="B85" s="116"/>
      <c r="I85" s="655"/>
      <c r="K85" s="116"/>
      <c r="M85" s="214" t="s">
        <v>1115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5"/>
      <c r="BZ85" s="656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5"/>
      <c r="DJ85" s="116"/>
    </row>
    <row r="86" spans="2:114" ht="15.75" customHeight="1" x14ac:dyDescent="0.25">
      <c r="B86" s="116"/>
      <c r="I86" s="655"/>
      <c r="K86" s="116"/>
      <c r="M86" s="214" t="s">
        <v>1115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5"/>
      <c r="BZ86" s="656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5"/>
      <c r="DJ86" s="116"/>
    </row>
    <row r="87" spans="2:114" ht="15.75" customHeight="1" x14ac:dyDescent="0.25">
      <c r="B87" s="116"/>
      <c r="I87" s="655"/>
      <c r="K87" s="116"/>
      <c r="M87" s="214" t="s">
        <v>1115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5"/>
      <c r="BZ87" s="656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5"/>
      <c r="DJ87" s="116"/>
    </row>
    <row r="88" spans="2:114" ht="15.75" customHeight="1" x14ac:dyDescent="0.25">
      <c r="B88" s="116"/>
      <c r="I88" s="655"/>
      <c r="K88" s="116"/>
      <c r="M88" s="214" t="s">
        <v>1115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5"/>
      <c r="BZ88" s="656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5"/>
      <c r="DJ88" s="116"/>
    </row>
    <row r="89" spans="2:114" ht="15.75" customHeight="1" x14ac:dyDescent="0.25">
      <c r="B89" s="116"/>
      <c r="I89" s="655"/>
      <c r="K89" s="116"/>
      <c r="M89" s="214" t="s">
        <v>1115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5"/>
      <c r="BZ89" s="656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5"/>
      <c r="DJ89" s="116"/>
    </row>
    <row r="90" spans="2:114" ht="15.75" customHeight="1" x14ac:dyDescent="0.25">
      <c r="B90" s="116"/>
      <c r="I90" s="655"/>
      <c r="K90" s="116"/>
      <c r="M90" s="214" t="s">
        <v>1115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5"/>
      <c r="BZ90" s="656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5"/>
      <c r="DJ90" s="116"/>
    </row>
    <row r="91" spans="2:114" ht="15.75" customHeight="1" x14ac:dyDescent="0.25">
      <c r="B91" s="116"/>
      <c r="I91" s="655"/>
      <c r="K91" s="116"/>
      <c r="M91" s="214" t="s">
        <v>1115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5"/>
      <c r="BZ91" s="656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5"/>
      <c r="DJ91" s="116"/>
    </row>
    <row r="92" spans="2:114" ht="15.75" customHeight="1" x14ac:dyDescent="0.25">
      <c r="B92" s="116"/>
      <c r="I92" s="655"/>
      <c r="K92" s="116"/>
      <c r="M92" s="214" t="s">
        <v>1115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5"/>
      <c r="BZ92" s="656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5"/>
      <c r="DJ92" s="116"/>
    </row>
    <row r="93" spans="2:114" ht="15.75" customHeight="1" x14ac:dyDescent="0.25">
      <c r="B93" s="116"/>
      <c r="I93" s="655"/>
      <c r="K93" s="116"/>
      <c r="L93" s="214" t="str">
        <f>+PROCESS!N30</f>
        <v>PROF-CAM7</v>
      </c>
      <c r="M93" s="214" t="s">
        <v>1115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5"/>
      <c r="BZ93" s="656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5"/>
      <c r="DJ93" s="116"/>
    </row>
    <row r="94" spans="2:114" ht="15.75" customHeight="1" x14ac:dyDescent="0.25">
      <c r="B94" s="116"/>
      <c r="I94" s="655"/>
      <c r="K94" s="116"/>
      <c r="M94" s="214" t="s">
        <v>1115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5"/>
      <c r="BZ94" s="656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5"/>
      <c r="DJ94" s="116"/>
    </row>
    <row r="95" spans="2:114" ht="15.75" customHeight="1" x14ac:dyDescent="0.25">
      <c r="B95" s="116"/>
      <c r="I95" s="655"/>
      <c r="K95" s="116"/>
      <c r="M95" s="214" t="s">
        <v>1115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5"/>
      <c r="BZ95" s="656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5"/>
      <c r="DJ95" s="116"/>
    </row>
    <row r="96" spans="2:114" ht="15.75" customHeight="1" x14ac:dyDescent="0.25">
      <c r="B96" s="116"/>
      <c r="I96" s="655"/>
      <c r="K96" s="116"/>
      <c r="M96" s="214" t="s">
        <v>1115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5"/>
      <c r="BZ96" s="656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5"/>
      <c r="DJ96" s="116"/>
    </row>
    <row r="97" spans="2:114" ht="15.75" customHeight="1" x14ac:dyDescent="0.25">
      <c r="B97" s="116"/>
      <c r="I97" s="655"/>
      <c r="K97" s="116"/>
      <c r="M97" s="214" t="s">
        <v>1115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5"/>
      <c r="BZ97" s="656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5"/>
      <c r="DJ97" s="116"/>
    </row>
    <row r="98" spans="2:114" ht="15.75" customHeight="1" x14ac:dyDescent="0.25">
      <c r="B98" s="116"/>
      <c r="I98" s="655"/>
      <c r="K98" s="116"/>
      <c r="M98" s="214" t="s">
        <v>1115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5"/>
      <c r="BZ98" s="656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5"/>
      <c r="DJ98" s="116"/>
    </row>
    <row r="99" spans="2:114" ht="15.75" customHeight="1" x14ac:dyDescent="0.25">
      <c r="B99" s="116"/>
      <c r="I99" s="655"/>
      <c r="K99" s="116"/>
      <c r="M99" s="214" t="s">
        <v>1115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5"/>
      <c r="BZ99" s="656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5"/>
      <c r="DJ99" s="116"/>
    </row>
    <row r="100" spans="2:114" ht="15.75" customHeight="1" x14ac:dyDescent="0.25">
      <c r="B100" s="116"/>
      <c r="I100" s="655"/>
      <c r="K100" s="116"/>
      <c r="M100" s="214" t="s">
        <v>1115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5"/>
      <c r="BZ100" s="656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5"/>
      <c r="DJ100" s="116"/>
    </row>
    <row r="101" spans="2:114" ht="15.75" customHeight="1" x14ac:dyDescent="0.25">
      <c r="B101" s="116"/>
      <c r="I101" s="655"/>
      <c r="K101" s="116"/>
      <c r="M101" s="214" t="s">
        <v>1115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5"/>
      <c r="BZ101" s="656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5"/>
      <c r="DJ101" s="116"/>
    </row>
    <row r="102" spans="2:114" ht="15.75" customHeight="1" x14ac:dyDescent="0.25">
      <c r="B102" s="116"/>
      <c r="I102" s="655"/>
      <c r="K102" s="116"/>
      <c r="M102" s="214" t="s">
        <v>1115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5"/>
      <c r="BZ102" s="656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5"/>
      <c r="DJ102" s="116"/>
    </row>
    <row r="103" spans="2:114" ht="15.75" customHeight="1" x14ac:dyDescent="0.25">
      <c r="B103" s="116"/>
      <c r="I103" s="655"/>
      <c r="K103" s="116"/>
      <c r="M103" s="214" t="s">
        <v>1115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5"/>
      <c r="BZ103" s="656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5"/>
      <c r="DJ103" s="116"/>
    </row>
    <row r="104" spans="2:114" ht="15.75" customHeight="1" x14ac:dyDescent="0.25">
      <c r="B104" s="116"/>
      <c r="I104" s="655"/>
      <c r="K104" s="116"/>
      <c r="M104" s="214" t="s">
        <v>1115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5"/>
      <c r="BZ104" s="656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5"/>
      <c r="DJ104" s="116"/>
    </row>
    <row r="105" spans="2:114" ht="15.75" customHeight="1" x14ac:dyDescent="0.25">
      <c r="B105" s="116"/>
      <c r="I105" s="655"/>
      <c r="K105" s="116"/>
      <c r="M105" s="214" t="s">
        <v>1115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5"/>
      <c r="BZ105" s="656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5"/>
      <c r="DJ105" s="116"/>
    </row>
    <row r="106" spans="2:114" ht="15.75" customHeight="1" x14ac:dyDescent="0.25">
      <c r="B106" s="116"/>
      <c r="I106" s="655"/>
      <c r="K106" s="116"/>
      <c r="M106" s="214" t="s">
        <v>1115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5"/>
      <c r="BZ106" s="656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5"/>
      <c r="DJ106" s="116"/>
    </row>
    <row r="107" spans="2:114" ht="15.75" customHeight="1" x14ac:dyDescent="0.25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5"/>
      <c r="BZ107" s="656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5"/>
      <c r="DJ107" s="116"/>
    </row>
    <row r="108" spans="2:114" ht="15.75" customHeight="1" x14ac:dyDescent="0.25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5"/>
      <c r="BZ108" s="656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5"/>
      <c r="DJ108" s="116"/>
    </row>
    <row r="109" spans="2:114" ht="15.75" customHeight="1" x14ac:dyDescent="0.25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5"/>
      <c r="BZ109" s="656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5"/>
      <c r="DJ109" s="116"/>
    </row>
    <row r="110" spans="2:114" ht="15.75" customHeight="1" x14ac:dyDescent="0.25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5"/>
      <c r="BZ110" s="656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5"/>
      <c r="DJ110" s="116"/>
    </row>
    <row r="111" spans="2:114" ht="15.75" customHeight="1" x14ac:dyDescent="0.25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5"/>
      <c r="BZ111" s="656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5"/>
      <c r="DJ111" s="116"/>
    </row>
    <row r="112" spans="2:114" ht="15.75" customHeight="1" x14ac:dyDescent="0.25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5"/>
      <c r="BZ112" s="656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5"/>
      <c r="DJ112" s="116"/>
    </row>
    <row r="113" spans="2:114" ht="15.75" customHeight="1" x14ac:dyDescent="0.25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5"/>
      <c r="BZ113" s="656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5"/>
      <c r="DJ113" s="116"/>
    </row>
    <row r="114" spans="2:114" ht="15.75" customHeight="1" x14ac:dyDescent="0.25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5"/>
      <c r="BZ114" s="656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5"/>
      <c r="DJ114" s="116"/>
    </row>
    <row r="115" spans="2:114" ht="15.75" customHeight="1" x14ac:dyDescent="0.25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5"/>
      <c r="BZ115" s="656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5"/>
      <c r="DJ115" s="116"/>
    </row>
    <row r="116" spans="2:114" ht="15.75" customHeight="1" x14ac:dyDescent="0.25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5"/>
      <c r="BZ116" s="656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5"/>
      <c r="DJ116" s="116"/>
    </row>
    <row r="117" spans="2:114" ht="15.75" customHeight="1" x14ac:dyDescent="0.25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5"/>
      <c r="BZ117" s="656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5"/>
      <c r="DJ117" s="116"/>
    </row>
    <row r="118" spans="2:114" ht="15.75" customHeight="1" x14ac:dyDescent="0.25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5"/>
      <c r="BZ118" s="656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5"/>
      <c r="DJ118" s="116"/>
    </row>
    <row r="119" spans="2:114" ht="15.75" customHeight="1" x14ac:dyDescent="0.25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5"/>
      <c r="BZ119" s="656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5"/>
      <c r="DJ119" s="116"/>
    </row>
    <row r="120" spans="2:114" ht="15.75" customHeight="1" x14ac:dyDescent="0.25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5"/>
      <c r="BZ120" s="656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5"/>
      <c r="DJ120" s="116"/>
    </row>
    <row r="121" spans="2:114" ht="15.75" customHeight="1" x14ac:dyDescent="0.25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5"/>
      <c r="BZ121" s="656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5"/>
      <c r="DJ121" s="116"/>
    </row>
    <row r="122" spans="2:114" ht="15.75" customHeight="1" x14ac:dyDescent="0.25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5"/>
      <c r="BZ122" s="656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5"/>
      <c r="DJ122" s="116"/>
    </row>
    <row r="123" spans="2:114" ht="15.75" customHeight="1" x14ac:dyDescent="0.25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5"/>
      <c r="BZ123" s="656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5"/>
      <c r="DJ123" s="116"/>
    </row>
    <row r="124" spans="2:114" ht="15.75" customHeight="1" x14ac:dyDescent="0.25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5"/>
      <c r="BZ124" s="656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5"/>
      <c r="DJ124" s="116"/>
    </row>
    <row r="125" spans="2:114" ht="15.75" customHeight="1" x14ac:dyDescent="0.25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5"/>
      <c r="BZ125" s="656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5"/>
      <c r="DJ125" s="116"/>
    </row>
    <row r="126" spans="2:114" ht="15.75" customHeight="1" x14ac:dyDescent="0.25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5"/>
      <c r="BZ126" s="656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5"/>
      <c r="DJ126" s="116"/>
    </row>
    <row r="127" spans="2:114" ht="15.75" customHeight="1" x14ac:dyDescent="0.25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5"/>
      <c r="BZ127" s="656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5"/>
      <c r="DJ127" s="116"/>
    </row>
    <row r="128" spans="2:114" ht="15.75" customHeight="1" x14ac:dyDescent="0.25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5"/>
      <c r="BZ128" s="656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5"/>
      <c r="DJ128" s="116"/>
    </row>
    <row r="129" spans="2:114" ht="15.75" customHeight="1" x14ac:dyDescent="0.25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5"/>
      <c r="BZ129" s="656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5"/>
      <c r="DJ129" s="116"/>
    </row>
    <row r="130" spans="2:114" ht="15.75" customHeight="1" x14ac:dyDescent="0.25">
      <c r="B130" s="116"/>
      <c r="I130" s="655"/>
      <c r="K130" s="116"/>
      <c r="N130" s="306"/>
      <c r="O130" s="306" t="s">
        <v>1574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5"/>
      <c r="BZ130" s="656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5"/>
      <c r="DJ130" s="116"/>
    </row>
    <row r="131" spans="2:114" ht="15.75" customHeight="1" x14ac:dyDescent="0.25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5"/>
      <c r="BZ131" s="656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5"/>
      <c r="DJ131" s="116"/>
    </row>
    <row r="132" spans="2:114" ht="15.75" customHeight="1" x14ac:dyDescent="0.25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5"/>
      <c r="BZ132" s="656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5"/>
      <c r="DJ132" s="116"/>
    </row>
    <row r="133" spans="2:114" ht="15.75" customHeight="1" x14ac:dyDescent="0.25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5"/>
      <c r="BZ133" s="656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5"/>
      <c r="DJ133" s="116"/>
    </row>
    <row r="134" spans="2:114" ht="15.75" customHeight="1" x14ac:dyDescent="0.25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5"/>
      <c r="BZ134" s="656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5"/>
      <c r="DJ134" s="116"/>
    </row>
    <row r="135" spans="2:114" ht="15.75" customHeight="1" x14ac:dyDescent="0.25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5"/>
      <c r="BZ135" s="656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5"/>
      <c r="DJ135" s="116"/>
    </row>
    <row r="136" spans="2:114" ht="15.75" customHeight="1" x14ac:dyDescent="0.25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5"/>
      <c r="BZ136" s="656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5"/>
      <c r="DJ136" s="116"/>
    </row>
    <row r="137" spans="2:114" ht="15.75" customHeight="1" x14ac:dyDescent="0.25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5"/>
      <c r="BZ137" s="656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5"/>
      <c r="DJ137" s="116"/>
    </row>
    <row r="138" spans="2:114" ht="15.75" customHeight="1" x14ac:dyDescent="0.25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5"/>
      <c r="BZ138" s="656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5"/>
      <c r="DJ138" s="116"/>
    </row>
    <row r="139" spans="2:114" ht="15.75" customHeight="1" x14ac:dyDescent="0.25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5"/>
      <c r="BZ139" s="656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5"/>
      <c r="DJ139" s="116"/>
    </row>
    <row r="140" spans="2:114" ht="15.75" customHeight="1" x14ac:dyDescent="0.25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5"/>
      <c r="BZ140" s="656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5"/>
      <c r="DJ140" s="116"/>
    </row>
    <row r="141" spans="2:114" ht="15.75" customHeight="1" x14ac:dyDescent="0.25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5"/>
      <c r="BZ141" s="656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5"/>
      <c r="DJ141" s="116"/>
    </row>
    <row r="142" spans="2:114" ht="15.75" customHeight="1" x14ac:dyDescent="0.25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5"/>
      <c r="BZ142" s="656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5"/>
      <c r="DJ142" s="116"/>
    </row>
    <row r="143" spans="2:114" ht="15.75" customHeight="1" x14ac:dyDescent="0.25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5"/>
      <c r="BZ143" s="656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5"/>
      <c r="DJ143" s="116"/>
    </row>
    <row r="144" spans="2:114" ht="15.75" customHeight="1" x14ac:dyDescent="0.25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5"/>
      <c r="BZ144" s="656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5"/>
      <c r="DJ144" s="116"/>
    </row>
    <row r="145" spans="2:114" ht="15.75" customHeight="1" x14ac:dyDescent="0.25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5"/>
      <c r="BZ145" s="656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5"/>
      <c r="DJ145" s="116"/>
    </row>
    <row r="146" spans="2:114" ht="15.75" customHeight="1" x14ac:dyDescent="0.25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5"/>
      <c r="BZ146" s="656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5"/>
      <c r="DJ146" s="116"/>
    </row>
    <row r="147" spans="2:114" ht="15.75" customHeight="1" x14ac:dyDescent="0.25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5"/>
      <c r="BZ147" s="656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5"/>
      <c r="DJ147" s="116"/>
    </row>
    <row r="148" spans="2:114" ht="15.75" customHeight="1" x14ac:dyDescent="0.25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5"/>
      <c r="BZ148" s="656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5"/>
      <c r="DJ148" s="116"/>
    </row>
    <row r="149" spans="2:114" ht="15.75" customHeight="1" x14ac:dyDescent="0.25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5"/>
      <c r="BZ149" s="656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5"/>
      <c r="DJ149" s="116"/>
    </row>
    <row r="150" spans="2:114" ht="15.75" customHeight="1" x14ac:dyDescent="0.25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5"/>
      <c r="BZ150" s="656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5"/>
      <c r="DJ150" s="116"/>
    </row>
    <row r="151" spans="2:114" ht="15.75" customHeight="1" x14ac:dyDescent="0.25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5"/>
      <c r="BZ151" s="656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5"/>
      <c r="DJ151" s="116"/>
    </row>
    <row r="152" spans="2:114" ht="15.75" customHeight="1" x14ac:dyDescent="0.25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5"/>
      <c r="BZ152" s="656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5"/>
      <c r="DJ152" s="116"/>
    </row>
    <row r="153" spans="2:114" ht="15.75" customHeight="1" x14ac:dyDescent="0.25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5"/>
      <c r="BZ153" s="656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5"/>
      <c r="DJ153" s="116"/>
    </row>
    <row r="154" spans="2:114" ht="15.75" customHeight="1" x14ac:dyDescent="0.25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5"/>
      <c r="BZ154" s="656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5"/>
      <c r="DJ154" s="116"/>
    </row>
    <row r="155" spans="2:114" ht="15.75" customHeight="1" x14ac:dyDescent="0.25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5"/>
      <c r="BZ155" s="656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5"/>
      <c r="DJ155" s="116"/>
    </row>
    <row r="156" spans="2:114" ht="15.75" customHeight="1" x14ac:dyDescent="0.25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5"/>
      <c r="BZ156" s="656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5"/>
      <c r="DJ156" s="116"/>
    </row>
    <row r="157" spans="2:114" ht="15.75" customHeight="1" x14ac:dyDescent="0.25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5"/>
      <c r="BZ157" s="656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5"/>
      <c r="DJ157" s="116"/>
    </row>
    <row r="158" spans="2:114" ht="15.75" customHeight="1" x14ac:dyDescent="0.25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5"/>
      <c r="BZ158" s="656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5"/>
      <c r="DJ158" s="116"/>
    </row>
    <row r="159" spans="2:114" ht="15.75" customHeight="1" x14ac:dyDescent="0.25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5"/>
      <c r="BZ159" s="656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5"/>
      <c r="DJ159" s="116"/>
    </row>
    <row r="160" spans="2:114" ht="15.75" customHeight="1" x14ac:dyDescent="0.25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5"/>
      <c r="BZ160" s="656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5"/>
      <c r="DJ160" s="116"/>
    </row>
    <row r="161" spans="2:114" ht="15.75" customHeight="1" x14ac:dyDescent="0.25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5"/>
      <c r="BZ161" s="656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5"/>
      <c r="DJ161" s="116"/>
    </row>
    <row r="162" spans="2:114" ht="15.75" customHeight="1" x14ac:dyDescent="0.25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5"/>
      <c r="BZ162" s="656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5"/>
      <c r="DJ162" s="116"/>
    </row>
    <row r="163" spans="2:114" ht="15.75" customHeight="1" x14ac:dyDescent="0.25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5"/>
      <c r="BZ163" s="656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5"/>
      <c r="DJ163" s="116"/>
    </row>
    <row r="164" spans="2:114" ht="15.75" customHeight="1" x14ac:dyDescent="0.25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5"/>
      <c r="BZ164" s="656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5"/>
      <c r="DJ164" s="116"/>
    </row>
    <row r="165" spans="2:114" ht="15.75" customHeight="1" x14ac:dyDescent="0.25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5"/>
      <c r="BZ165" s="656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5"/>
      <c r="DJ165" s="116"/>
    </row>
    <row r="166" spans="2:114" ht="15.75" customHeight="1" x14ac:dyDescent="0.25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5"/>
      <c r="BZ166" s="656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5"/>
      <c r="DJ166" s="116"/>
    </row>
    <row r="167" spans="2:114" ht="15.75" customHeight="1" x14ac:dyDescent="0.25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5"/>
      <c r="BZ167" s="656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5"/>
      <c r="DJ167" s="116"/>
    </row>
    <row r="168" spans="2:114" ht="15.75" customHeight="1" x14ac:dyDescent="0.25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5"/>
      <c r="BZ168" s="656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5"/>
      <c r="DJ168" s="116"/>
    </row>
    <row r="169" spans="2:114" ht="15.75" customHeight="1" x14ac:dyDescent="0.25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5"/>
      <c r="BZ169" s="656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5"/>
      <c r="DJ169" s="116"/>
    </row>
    <row r="170" spans="2:114" ht="15.75" customHeight="1" x14ac:dyDescent="0.25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5"/>
      <c r="BZ170" s="656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5"/>
      <c r="DJ170" s="116"/>
    </row>
    <row r="171" spans="2:114" ht="15.75" customHeight="1" x14ac:dyDescent="0.25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5"/>
      <c r="BZ171" s="656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5"/>
      <c r="DJ171" s="116"/>
    </row>
    <row r="172" spans="2:114" ht="15.75" customHeight="1" x14ac:dyDescent="0.25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5"/>
      <c r="BZ172" s="656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5"/>
      <c r="DJ172" s="116"/>
    </row>
    <row r="173" spans="2:114" ht="15.75" customHeight="1" x14ac:dyDescent="0.25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5"/>
      <c r="BZ173" s="656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5"/>
      <c r="DJ173" s="116"/>
    </row>
    <row r="174" spans="2:114" ht="15.75" customHeight="1" x14ac:dyDescent="0.25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5"/>
      <c r="BZ174" s="656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5"/>
      <c r="DJ174" s="116"/>
    </row>
    <row r="175" spans="2:114" ht="15.75" customHeight="1" x14ac:dyDescent="0.25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5"/>
      <c r="BZ175" s="656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5"/>
      <c r="DJ175" s="116"/>
    </row>
    <row r="176" spans="2:114" ht="15.75" customHeight="1" x14ac:dyDescent="0.25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5"/>
      <c r="BZ176" s="656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5"/>
      <c r="DJ176" s="116"/>
    </row>
    <row r="177" spans="2:114" ht="15.75" customHeight="1" x14ac:dyDescent="0.25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5"/>
      <c r="BZ177" s="656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5"/>
      <c r="DJ177" s="116"/>
    </row>
    <row r="178" spans="2:114" ht="15.75" customHeight="1" x14ac:dyDescent="0.25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5"/>
      <c r="BZ178" s="656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5"/>
      <c r="DJ178" s="116"/>
    </row>
    <row r="179" spans="2:114" ht="15.75" customHeight="1" x14ac:dyDescent="0.25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5"/>
      <c r="BZ179" s="656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5"/>
      <c r="DJ179" s="116"/>
    </row>
    <row r="180" spans="2:114" ht="15.75" customHeight="1" x14ac:dyDescent="0.25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5"/>
      <c r="BZ180" s="656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5"/>
      <c r="DJ180" s="116"/>
    </row>
    <row r="181" spans="2:114" ht="15.75" customHeight="1" x14ac:dyDescent="0.25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5"/>
      <c r="BZ181" s="656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5"/>
      <c r="DJ181" s="116"/>
    </row>
    <row r="182" spans="2:114" ht="15.75" customHeight="1" x14ac:dyDescent="0.25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5"/>
      <c r="BZ182" s="656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5"/>
      <c r="DJ182" s="116"/>
    </row>
    <row r="183" spans="2:114" ht="15.75" customHeight="1" x14ac:dyDescent="0.25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5"/>
      <c r="BZ183" s="656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5"/>
      <c r="DJ183" s="116"/>
    </row>
    <row r="184" spans="2:114" ht="15.75" customHeight="1" x14ac:dyDescent="0.25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5"/>
      <c r="BZ184" s="656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5"/>
      <c r="DJ184" s="116"/>
    </row>
    <row r="185" spans="2:114" ht="15.75" customHeight="1" x14ac:dyDescent="0.25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5"/>
      <c r="BZ185" s="656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5"/>
      <c r="DJ185" s="116"/>
    </row>
    <row r="186" spans="2:114" ht="15.75" customHeight="1" x14ac:dyDescent="0.25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5"/>
      <c r="BZ186" s="656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5"/>
      <c r="DJ186" s="116"/>
    </row>
    <row r="187" spans="2:114" ht="15.75" customHeight="1" x14ac:dyDescent="0.25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5"/>
      <c r="BZ187" s="656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5"/>
      <c r="DJ187" s="116"/>
    </row>
    <row r="188" spans="2:114" ht="15.75" customHeight="1" x14ac:dyDescent="0.25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5"/>
      <c r="BZ188" s="656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5"/>
      <c r="DJ188" s="116"/>
    </row>
    <row r="189" spans="2:114" ht="15.75" customHeight="1" x14ac:dyDescent="0.25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5"/>
      <c r="BZ189" s="656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5"/>
      <c r="DJ189" s="116"/>
    </row>
    <row r="190" spans="2:114" ht="15.75" customHeight="1" x14ac:dyDescent="0.25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5"/>
      <c r="BZ190" s="656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5"/>
      <c r="DJ190" s="116"/>
    </row>
    <row r="191" spans="2:114" ht="15.75" customHeight="1" x14ac:dyDescent="0.25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5"/>
      <c r="BZ191" s="656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5"/>
      <c r="DJ191" s="116"/>
    </row>
    <row r="192" spans="2:114" ht="15.75" customHeight="1" x14ac:dyDescent="0.25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5"/>
      <c r="BZ192" s="656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5"/>
      <c r="DJ192" s="116"/>
    </row>
    <row r="193" spans="2:114" ht="15.75" customHeight="1" x14ac:dyDescent="0.25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5"/>
      <c r="BZ193" s="656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5"/>
      <c r="DJ193" s="116"/>
    </row>
    <row r="194" spans="2:114" ht="15.75" customHeight="1" x14ac:dyDescent="0.25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5"/>
      <c r="BZ194" s="656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5"/>
      <c r="DJ194" s="116"/>
    </row>
    <row r="195" spans="2:114" ht="15.75" customHeight="1" x14ac:dyDescent="0.25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5"/>
      <c r="BZ195" s="656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5"/>
      <c r="DJ195" s="116"/>
    </row>
    <row r="196" spans="2:114" ht="15.75" customHeight="1" x14ac:dyDescent="0.25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5"/>
      <c r="BZ196" s="656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5"/>
      <c r="DJ196" s="116"/>
    </row>
    <row r="197" spans="2:114" ht="15.75" customHeight="1" x14ac:dyDescent="0.25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5"/>
      <c r="BZ197" s="656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5"/>
      <c r="DJ197" s="116"/>
    </row>
    <row r="198" spans="2:114" ht="15.75" customHeight="1" x14ac:dyDescent="0.25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5"/>
      <c r="BZ198" s="656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5"/>
      <c r="DJ198" s="116"/>
    </row>
    <row r="199" spans="2:114" ht="15.75" customHeight="1" x14ac:dyDescent="0.25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5"/>
      <c r="BZ199" s="656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5"/>
      <c r="DJ199" s="116"/>
    </row>
    <row r="200" spans="2:114" ht="15.75" customHeight="1" x14ac:dyDescent="0.25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5"/>
      <c r="BZ200" s="656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5"/>
      <c r="DJ200" s="116"/>
    </row>
    <row r="201" spans="2:114" ht="15.75" customHeight="1" x14ac:dyDescent="0.25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5"/>
      <c r="BZ201" s="656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5"/>
      <c r="DJ201" s="116"/>
    </row>
    <row r="202" spans="2:114" ht="15.75" customHeight="1" x14ac:dyDescent="0.25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5"/>
      <c r="BZ202" s="656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5"/>
      <c r="DJ202" s="116"/>
    </row>
    <row r="203" spans="2:114" ht="15.75" customHeight="1" x14ac:dyDescent="0.25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5"/>
      <c r="BZ203" s="656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5"/>
      <c r="DJ203" s="116"/>
    </row>
    <row r="204" spans="2:114" ht="15.75" customHeight="1" x14ac:dyDescent="0.25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5"/>
      <c r="BZ204" s="656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5"/>
      <c r="DJ204" s="116"/>
    </row>
    <row r="205" spans="2:114" ht="15.75" customHeight="1" x14ac:dyDescent="0.25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5"/>
      <c r="BZ205" s="656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5"/>
      <c r="DJ205" s="116"/>
    </row>
    <row r="206" spans="2:114" ht="15.75" customHeight="1" x14ac:dyDescent="0.25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5"/>
      <c r="BZ206" s="656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5"/>
      <c r="DJ206" s="116"/>
    </row>
    <row r="207" spans="2:114" ht="15.75" customHeight="1" x14ac:dyDescent="0.25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5"/>
      <c r="BZ207" s="656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5"/>
      <c r="DJ207" s="116"/>
    </row>
    <row r="208" spans="2:114" ht="15.75" customHeight="1" x14ac:dyDescent="0.25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5"/>
      <c r="BZ208" s="656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5"/>
      <c r="DJ208" s="116"/>
    </row>
    <row r="209" spans="2:114" ht="15.75" customHeight="1" x14ac:dyDescent="0.25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5"/>
      <c r="BZ209" s="656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5"/>
      <c r="DJ209" s="116"/>
    </row>
    <row r="210" spans="2:114" ht="15.75" customHeight="1" x14ac:dyDescent="0.25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5"/>
      <c r="BZ210" s="656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5"/>
      <c r="DJ210" s="116"/>
    </row>
    <row r="211" spans="2:114" ht="15.75" customHeight="1" x14ac:dyDescent="0.25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5"/>
      <c r="BZ211" s="656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5"/>
      <c r="DJ211" s="116"/>
    </row>
    <row r="212" spans="2:114" ht="15.75" customHeight="1" x14ac:dyDescent="0.25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5"/>
      <c r="BZ212" s="656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5"/>
      <c r="DJ212" s="116"/>
    </row>
    <row r="213" spans="2:114" ht="15.75" customHeight="1" x14ac:dyDescent="0.25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5"/>
      <c r="BZ213" s="656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5"/>
      <c r="DJ213" s="116"/>
    </row>
    <row r="214" spans="2:114" ht="15.75" customHeight="1" x14ac:dyDescent="0.25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5"/>
      <c r="BZ214" s="656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5"/>
      <c r="DJ214" s="116"/>
    </row>
    <row r="215" spans="2:114" ht="15.75" customHeight="1" x14ac:dyDescent="0.25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5"/>
      <c r="BZ215" s="656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5"/>
      <c r="DJ215" s="116"/>
    </row>
    <row r="216" spans="2:114" ht="15.75" customHeight="1" x14ac:dyDescent="0.25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5"/>
      <c r="BZ216" s="656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5"/>
      <c r="DJ216" s="116"/>
    </row>
    <row r="217" spans="2:114" ht="15.75" customHeight="1" x14ac:dyDescent="0.25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5"/>
      <c r="BZ217" s="656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5"/>
      <c r="DJ217" s="116"/>
    </row>
    <row r="218" spans="2:114" ht="15.75" customHeight="1" x14ac:dyDescent="0.25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5"/>
      <c r="BZ218" s="656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5"/>
      <c r="DJ218" s="116"/>
    </row>
    <row r="219" spans="2:114" ht="15.75" customHeight="1" x14ac:dyDescent="0.25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5"/>
      <c r="BZ219" s="656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5"/>
      <c r="DJ219" s="116"/>
    </row>
    <row r="220" spans="2:114" ht="15.75" customHeight="1" x14ac:dyDescent="0.25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5"/>
      <c r="BZ220" s="656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5"/>
      <c r="DJ220" s="116"/>
    </row>
    <row r="221" spans="2:114" ht="15.75" customHeight="1" x14ac:dyDescent="0.25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5"/>
      <c r="BZ221" s="656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5"/>
      <c r="DJ221" s="116"/>
    </row>
    <row r="222" spans="2:114" ht="15.75" customHeight="1" x14ac:dyDescent="0.25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5"/>
      <c r="BZ222" s="656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5"/>
      <c r="DJ222" s="116"/>
    </row>
    <row r="223" spans="2:114" ht="15.75" customHeight="1" x14ac:dyDescent="0.25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5"/>
      <c r="BZ223" s="656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5"/>
      <c r="DJ223" s="116"/>
    </row>
    <row r="224" spans="2:114" ht="15.75" customHeight="1" x14ac:dyDescent="0.25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5"/>
      <c r="BZ224" s="656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5"/>
      <c r="DJ224" s="116"/>
    </row>
    <row r="225" spans="2:114" ht="15.75" customHeight="1" x14ac:dyDescent="0.25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5"/>
      <c r="BZ225" s="656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5"/>
      <c r="DJ225" s="116"/>
    </row>
    <row r="226" spans="2:114" ht="15.75" customHeight="1" x14ac:dyDescent="0.25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5"/>
      <c r="BZ226" s="656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5"/>
      <c r="DJ226" s="116"/>
    </row>
    <row r="227" spans="2:114" ht="15.75" customHeight="1" x14ac:dyDescent="0.25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5"/>
      <c r="BZ227" s="656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5"/>
      <c r="DJ227" s="116"/>
    </row>
    <row r="228" spans="2:114" ht="15.75" customHeight="1" x14ac:dyDescent="0.25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5"/>
      <c r="BZ228" s="656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5"/>
      <c r="DJ228" s="116"/>
    </row>
    <row r="229" spans="2:114" ht="15.75" customHeight="1" x14ac:dyDescent="0.25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5"/>
      <c r="BZ229" s="656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5"/>
      <c r="DJ229" s="116"/>
    </row>
    <row r="230" spans="2:114" ht="15.75" customHeight="1" x14ac:dyDescent="0.25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5"/>
      <c r="BZ230" s="656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5"/>
      <c r="DJ230" s="116"/>
    </row>
    <row r="231" spans="2:114" ht="15.75" customHeight="1" x14ac:dyDescent="0.25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5"/>
      <c r="BZ231" s="656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5"/>
      <c r="DJ231" s="116"/>
    </row>
    <row r="232" spans="2:114" ht="15.75" customHeight="1" x14ac:dyDescent="0.25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5"/>
      <c r="BZ232" s="656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5"/>
      <c r="DJ232" s="116"/>
    </row>
    <row r="233" spans="2:114" ht="15.75" customHeight="1" x14ac:dyDescent="0.25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5"/>
      <c r="BZ233" s="656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5"/>
      <c r="DJ233" s="116"/>
    </row>
    <row r="234" spans="2:114" ht="15.75" customHeight="1" x14ac:dyDescent="0.25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5"/>
      <c r="BZ234" s="656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5"/>
      <c r="DJ234" s="116"/>
    </row>
    <row r="235" spans="2:114" ht="15.75" customHeight="1" x14ac:dyDescent="0.25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5"/>
      <c r="BZ235" s="656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5"/>
      <c r="DJ235" s="116"/>
    </row>
    <row r="236" spans="2:114" ht="15.75" customHeight="1" x14ac:dyDescent="0.25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5"/>
      <c r="BZ236" s="656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5"/>
      <c r="DJ236" s="116"/>
    </row>
    <row r="237" spans="2:114" ht="15.75" customHeight="1" x14ac:dyDescent="0.25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5"/>
      <c r="BZ237" s="656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5"/>
      <c r="DJ237" s="116"/>
    </row>
    <row r="238" spans="2:114" ht="15.75" customHeight="1" x14ac:dyDescent="0.25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5"/>
      <c r="BZ238" s="656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5"/>
      <c r="DJ238" s="116"/>
    </row>
    <row r="239" spans="2:114" ht="15.75" customHeight="1" x14ac:dyDescent="0.25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5"/>
      <c r="BZ239" s="656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5"/>
      <c r="DJ239" s="116"/>
    </row>
    <row r="240" spans="2:114" ht="15.75" customHeight="1" x14ac:dyDescent="0.25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5"/>
      <c r="BZ240" s="656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5"/>
      <c r="DJ240" s="116"/>
    </row>
    <row r="241" spans="2:114" ht="15.75" customHeight="1" x14ac:dyDescent="0.25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5"/>
      <c r="BZ241" s="656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5"/>
      <c r="DJ241" s="116"/>
    </row>
    <row r="242" spans="2:114" ht="15.75" customHeight="1" x14ac:dyDescent="0.25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5"/>
      <c r="BZ242" s="656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5"/>
      <c r="DJ242" s="116"/>
    </row>
    <row r="243" spans="2:114" ht="15.75" customHeight="1" x14ac:dyDescent="0.25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5"/>
      <c r="BZ243" s="656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5"/>
      <c r="DJ243" s="116"/>
    </row>
    <row r="244" spans="2:114" ht="15.75" customHeight="1" x14ac:dyDescent="0.25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5"/>
      <c r="BZ244" s="656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5"/>
      <c r="DJ244" s="116"/>
    </row>
    <row r="245" spans="2:114" ht="15.75" customHeight="1" x14ac:dyDescent="0.25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5"/>
      <c r="BZ245" s="656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5"/>
      <c r="DJ245" s="116"/>
    </row>
    <row r="246" spans="2:114" ht="15.75" customHeight="1" x14ac:dyDescent="0.25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5"/>
      <c r="BZ246" s="656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5"/>
      <c r="DJ246" s="116"/>
    </row>
    <row r="247" spans="2:114" ht="15.75" customHeight="1" x14ac:dyDescent="0.25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5"/>
      <c r="BZ247" s="656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5"/>
      <c r="DJ247" s="116"/>
    </row>
    <row r="248" spans="2:114" ht="15.75" customHeight="1" x14ac:dyDescent="0.25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5"/>
      <c r="BZ248" s="656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5"/>
      <c r="DJ248" s="116"/>
    </row>
    <row r="249" spans="2:114" ht="15.75" customHeight="1" x14ac:dyDescent="0.25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5"/>
      <c r="BZ249" s="656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5"/>
      <c r="DJ249" s="116"/>
    </row>
    <row r="250" spans="2:114" ht="15.75" customHeight="1" x14ac:dyDescent="0.25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5"/>
      <c r="BZ250" s="656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5"/>
      <c r="DJ250" s="116"/>
    </row>
    <row r="251" spans="2:114" ht="15.75" customHeight="1" x14ac:dyDescent="0.25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5"/>
      <c r="BZ251" s="656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5"/>
      <c r="DJ251" s="116"/>
    </row>
    <row r="252" spans="2:114" ht="15.75" customHeight="1" x14ac:dyDescent="0.25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5"/>
      <c r="BZ252" s="656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5"/>
      <c r="DJ252" s="116"/>
    </row>
    <row r="253" spans="2:114" ht="15.75" customHeight="1" x14ac:dyDescent="0.25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5"/>
      <c r="BZ253" s="656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5"/>
      <c r="DJ253" s="116"/>
    </row>
    <row r="254" spans="2:114" ht="15.75" customHeight="1" x14ac:dyDescent="0.25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5"/>
      <c r="BZ254" s="656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5"/>
      <c r="DJ254" s="116"/>
    </row>
    <row r="255" spans="2:114" ht="15.75" customHeight="1" x14ac:dyDescent="0.25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5"/>
      <c r="BZ255" s="656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5"/>
      <c r="DJ255" s="116"/>
    </row>
    <row r="256" spans="2:114" ht="15.75" customHeight="1" x14ac:dyDescent="0.25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5"/>
      <c r="BZ256" s="656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5"/>
      <c r="DJ256" s="116"/>
    </row>
    <row r="257" spans="2:114" ht="15.75" customHeight="1" x14ac:dyDescent="0.25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5"/>
      <c r="BZ257" s="656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5"/>
      <c r="DJ257" s="116"/>
    </row>
    <row r="258" spans="2:114" ht="15.75" customHeight="1" x14ac:dyDescent="0.25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5"/>
      <c r="BZ258" s="656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5"/>
      <c r="DJ258" s="116"/>
    </row>
    <row r="259" spans="2:114" ht="15.75" customHeight="1" x14ac:dyDescent="0.25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5"/>
      <c r="BZ259" s="656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5"/>
      <c r="DJ259" s="116"/>
    </row>
    <row r="260" spans="2:114" ht="15.75" customHeight="1" x14ac:dyDescent="0.25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5"/>
      <c r="BZ260" s="656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5"/>
      <c r="DJ260" s="116"/>
    </row>
    <row r="261" spans="2:114" ht="15.75" customHeight="1" x14ac:dyDescent="0.25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5"/>
      <c r="BZ261" s="656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5"/>
      <c r="DJ261" s="116"/>
    </row>
    <row r="262" spans="2:114" ht="15.75" customHeight="1" x14ac:dyDescent="0.25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5"/>
      <c r="BZ262" s="656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5"/>
      <c r="DJ262" s="116"/>
    </row>
    <row r="263" spans="2:114" ht="15.75" customHeight="1" x14ac:dyDescent="0.25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5"/>
      <c r="BZ263" s="656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5"/>
      <c r="DJ263" s="116"/>
    </row>
    <row r="264" spans="2:114" ht="15.75" customHeight="1" x14ac:dyDescent="0.25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5"/>
      <c r="BZ264" s="656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5"/>
      <c r="DJ264" s="116"/>
    </row>
    <row r="265" spans="2:114" ht="15.75" customHeight="1" x14ac:dyDescent="0.25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5"/>
      <c r="BZ265" s="656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5"/>
      <c r="DJ265" s="116"/>
    </row>
    <row r="266" spans="2:114" ht="15.75" customHeight="1" x14ac:dyDescent="0.25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5"/>
      <c r="BZ266" s="656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5"/>
      <c r="DJ266" s="116"/>
    </row>
    <row r="267" spans="2:114" ht="15.75" customHeight="1" x14ac:dyDescent="0.25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5"/>
      <c r="BZ267" s="656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5"/>
      <c r="DJ267" s="116"/>
    </row>
    <row r="268" spans="2:114" ht="15.75" customHeight="1" x14ac:dyDescent="0.25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5"/>
      <c r="BZ268" s="656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5"/>
      <c r="DJ268" s="116"/>
    </row>
    <row r="269" spans="2:114" ht="15.75" customHeight="1" x14ac:dyDescent="0.25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5"/>
      <c r="BZ269" s="656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5"/>
      <c r="DJ269" s="116"/>
    </row>
    <row r="270" spans="2:114" ht="15.75" customHeight="1" x14ac:dyDescent="0.25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5"/>
      <c r="BZ270" s="656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5"/>
      <c r="DJ270" s="116"/>
    </row>
    <row r="271" spans="2:114" ht="15.75" customHeight="1" x14ac:dyDescent="0.25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5"/>
      <c r="BZ271" s="656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5"/>
      <c r="DJ271" s="116"/>
    </row>
    <row r="272" spans="2:114" ht="15.75" customHeight="1" x14ac:dyDescent="0.25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5"/>
      <c r="BZ272" s="656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5"/>
      <c r="DJ272" s="116"/>
    </row>
    <row r="273" spans="2:114" ht="15.75" customHeight="1" x14ac:dyDescent="0.25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5"/>
      <c r="BZ273" s="656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5"/>
      <c r="DJ273" s="116"/>
    </row>
    <row r="274" spans="2:114" ht="15.75" customHeight="1" x14ac:dyDescent="0.25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5"/>
      <c r="BZ274" s="656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5"/>
      <c r="DJ274" s="116"/>
    </row>
    <row r="275" spans="2:114" ht="15.75" customHeight="1" x14ac:dyDescent="0.25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5"/>
      <c r="BZ275" s="656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5"/>
      <c r="DJ275" s="116"/>
    </row>
    <row r="276" spans="2:114" ht="15.75" customHeight="1" x14ac:dyDescent="0.25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5"/>
      <c r="BZ276" s="656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5"/>
      <c r="DJ276" s="116"/>
    </row>
    <row r="277" spans="2:114" ht="15.75" customHeight="1" x14ac:dyDescent="0.25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5"/>
      <c r="BZ277" s="656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5"/>
      <c r="DJ277" s="116"/>
    </row>
    <row r="278" spans="2:114" ht="15.75" customHeight="1" x14ac:dyDescent="0.25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5"/>
      <c r="BZ278" s="656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5"/>
      <c r="DJ278" s="116"/>
    </row>
    <row r="279" spans="2:114" ht="15.75" customHeight="1" x14ac:dyDescent="0.25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5"/>
      <c r="BZ279" s="656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5"/>
      <c r="DJ279" s="116"/>
    </row>
    <row r="280" spans="2:114" ht="15.75" customHeight="1" x14ac:dyDescent="0.25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5"/>
      <c r="BZ280" s="656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5"/>
      <c r="DJ280" s="116"/>
    </row>
    <row r="281" spans="2:114" ht="15.75" customHeight="1" x14ac:dyDescent="0.25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5"/>
      <c r="BZ281" s="656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5"/>
      <c r="DJ281" s="116"/>
    </row>
    <row r="282" spans="2:114" ht="15.75" customHeight="1" x14ac:dyDescent="0.25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5"/>
      <c r="BZ282" s="656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5"/>
      <c r="DJ282" s="116"/>
    </row>
    <row r="283" spans="2:114" ht="15.75" customHeight="1" x14ac:dyDescent="0.25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5"/>
      <c r="BZ283" s="656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5"/>
      <c r="DJ283" s="116"/>
    </row>
    <row r="284" spans="2:114" ht="15.75" customHeight="1" x14ac:dyDescent="0.25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5"/>
      <c r="BZ284" s="656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5"/>
      <c r="DJ284" s="116"/>
    </row>
    <row r="285" spans="2:114" ht="15.75" customHeight="1" x14ac:dyDescent="0.25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5"/>
      <c r="BZ285" s="656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5"/>
      <c r="DJ285" s="116"/>
    </row>
    <row r="286" spans="2:114" ht="15.75" customHeight="1" x14ac:dyDescent="0.25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5"/>
      <c r="BZ286" s="656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5"/>
      <c r="DJ286" s="116"/>
    </row>
    <row r="287" spans="2:114" ht="15.75" customHeight="1" x14ac:dyDescent="0.25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5"/>
      <c r="BZ287" s="656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5"/>
      <c r="DJ287" s="116"/>
    </row>
    <row r="288" spans="2:114" ht="15.75" customHeight="1" x14ac:dyDescent="0.25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5"/>
      <c r="BZ288" s="656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5"/>
      <c r="DJ288" s="116"/>
    </row>
    <row r="289" spans="2:114" ht="15.75" customHeight="1" x14ac:dyDescent="0.25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5"/>
      <c r="BZ289" s="656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5"/>
      <c r="DJ289" s="116"/>
    </row>
    <row r="290" spans="2:114" ht="15.75" customHeight="1" x14ac:dyDescent="0.25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5"/>
      <c r="BZ290" s="656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5"/>
      <c r="DJ290" s="116"/>
    </row>
    <row r="291" spans="2:114" ht="15.75" customHeight="1" x14ac:dyDescent="0.25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5"/>
      <c r="BZ291" s="656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5"/>
      <c r="DJ291" s="116"/>
    </row>
    <row r="292" spans="2:114" ht="15.75" customHeight="1" x14ac:dyDescent="0.25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5"/>
      <c r="BZ292" s="656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5"/>
      <c r="DJ292" s="116"/>
    </row>
    <row r="293" spans="2:114" ht="15.75" customHeight="1" x14ac:dyDescent="0.25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5"/>
      <c r="BZ293" s="656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5"/>
      <c r="DJ293" s="116"/>
    </row>
    <row r="294" spans="2:114" ht="15.75" customHeight="1" x14ac:dyDescent="0.25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5"/>
      <c r="BZ294" s="656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5"/>
      <c r="DJ294" s="116"/>
    </row>
    <row r="295" spans="2:114" ht="15.75" customHeight="1" x14ac:dyDescent="0.25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5"/>
      <c r="BZ295" s="656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5"/>
      <c r="DJ295" s="116"/>
    </row>
    <row r="296" spans="2:114" ht="15.75" customHeight="1" x14ac:dyDescent="0.25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5"/>
      <c r="BZ296" s="656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5"/>
      <c r="DJ296" s="116"/>
    </row>
    <row r="297" spans="2:114" ht="15.75" customHeight="1" x14ac:dyDescent="0.25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5"/>
      <c r="BZ297" s="656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5"/>
      <c r="DJ297" s="116"/>
    </row>
    <row r="298" spans="2:114" ht="15.75" customHeight="1" x14ac:dyDescent="0.25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5"/>
      <c r="BZ298" s="656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5"/>
      <c r="DJ298" s="116"/>
    </row>
    <row r="299" spans="2:114" ht="15.75" customHeight="1" x14ac:dyDescent="0.25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5"/>
      <c r="BZ299" s="656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5"/>
      <c r="DJ299" s="116"/>
    </row>
    <row r="300" spans="2:114" ht="15.75" customHeight="1" x14ac:dyDescent="0.25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5"/>
      <c r="BZ300" s="656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5"/>
      <c r="DJ300" s="116"/>
    </row>
    <row r="301" spans="2:114" ht="15.75" customHeight="1" x14ac:dyDescent="0.25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5"/>
      <c r="BZ301" s="656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5"/>
      <c r="DJ301" s="116"/>
    </row>
    <row r="302" spans="2:114" ht="15.75" customHeight="1" x14ac:dyDescent="0.25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5"/>
      <c r="BZ302" s="656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5"/>
      <c r="DJ302" s="116"/>
    </row>
    <row r="303" spans="2:114" ht="15.75" customHeight="1" x14ac:dyDescent="0.25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5"/>
      <c r="BZ303" s="656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5"/>
      <c r="DJ303" s="116"/>
    </row>
    <row r="304" spans="2:114" ht="15.75" customHeight="1" x14ac:dyDescent="0.25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5"/>
      <c r="BZ304" s="656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5"/>
      <c r="DJ304" s="116"/>
    </row>
    <row r="305" spans="2:114" ht="15.75" customHeight="1" x14ac:dyDescent="0.25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5"/>
      <c r="BZ305" s="656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5"/>
      <c r="DJ305" s="116"/>
    </row>
    <row r="306" spans="2:114" ht="15.75" customHeight="1" x14ac:dyDescent="0.25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5"/>
      <c r="BZ306" s="656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5"/>
      <c r="DJ306" s="116"/>
    </row>
    <row r="307" spans="2:114" ht="15.75" customHeight="1" x14ac:dyDescent="0.25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5"/>
      <c r="BZ307" s="656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5"/>
      <c r="DJ307" s="116"/>
    </row>
    <row r="308" spans="2:114" ht="15.75" customHeight="1" x14ac:dyDescent="0.25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5"/>
      <c r="BZ308" s="656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5"/>
      <c r="DJ308" s="116"/>
    </row>
    <row r="309" spans="2:114" ht="15.75" customHeight="1" x14ac:dyDescent="0.25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5"/>
      <c r="BZ309" s="656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5"/>
      <c r="DJ309" s="116"/>
    </row>
    <row r="310" spans="2:114" ht="15.75" customHeight="1" x14ac:dyDescent="0.25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5"/>
      <c r="BZ310" s="656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5"/>
      <c r="DJ310" s="116"/>
    </row>
    <row r="311" spans="2:114" ht="15.75" customHeight="1" x14ac:dyDescent="0.25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5"/>
      <c r="BZ311" s="656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5"/>
      <c r="DJ311" s="116"/>
    </row>
    <row r="312" spans="2:114" ht="15.75" customHeight="1" x14ac:dyDescent="0.25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5"/>
      <c r="BZ312" s="656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5"/>
      <c r="DJ312" s="116"/>
    </row>
    <row r="313" spans="2:114" ht="15.75" customHeight="1" x14ac:dyDescent="0.25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5"/>
      <c r="BZ313" s="656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5"/>
      <c r="DJ313" s="116"/>
    </row>
    <row r="314" spans="2:114" ht="15.75" customHeight="1" x14ac:dyDescent="0.25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5"/>
      <c r="BZ314" s="656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5"/>
      <c r="DJ314" s="116"/>
    </row>
    <row r="315" spans="2:114" ht="15.75" customHeight="1" x14ac:dyDescent="0.25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5"/>
      <c r="BZ315" s="656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5"/>
      <c r="DJ315" s="116"/>
    </row>
    <row r="316" spans="2:114" ht="15.75" customHeight="1" x14ac:dyDescent="0.25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5"/>
      <c r="BZ316" s="656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5"/>
      <c r="DJ316" s="116"/>
    </row>
    <row r="317" spans="2:114" ht="15.75" customHeight="1" x14ac:dyDescent="0.25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5"/>
      <c r="BZ317" s="656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5"/>
      <c r="DJ317" s="116"/>
    </row>
    <row r="318" spans="2:114" ht="15.75" customHeight="1" x14ac:dyDescent="0.25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5"/>
      <c r="BZ318" s="656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5"/>
      <c r="DJ318" s="116"/>
    </row>
    <row r="319" spans="2:114" ht="15.75" customHeight="1" x14ac:dyDescent="0.25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5"/>
      <c r="BZ319" s="656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5"/>
      <c r="DJ319" s="116"/>
    </row>
    <row r="320" spans="2:114" ht="15.75" customHeight="1" x14ac:dyDescent="0.25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5"/>
      <c r="BZ320" s="656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5"/>
      <c r="DJ320" s="116"/>
    </row>
    <row r="321" spans="2:114" ht="15.75" customHeight="1" x14ac:dyDescent="0.25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5"/>
      <c r="BZ321" s="656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5"/>
      <c r="DJ321" s="116"/>
    </row>
    <row r="322" spans="2:114" ht="15.75" customHeight="1" x14ac:dyDescent="0.25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5"/>
      <c r="BZ322" s="656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5"/>
      <c r="DJ322" s="116"/>
    </row>
    <row r="323" spans="2:114" ht="15.75" customHeight="1" x14ac:dyDescent="0.25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5"/>
      <c r="BZ323" s="656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5"/>
      <c r="DJ323" s="116"/>
    </row>
    <row r="324" spans="2:114" ht="15.75" customHeight="1" x14ac:dyDescent="0.25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5"/>
      <c r="BZ324" s="656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5"/>
      <c r="DJ324" s="116"/>
    </row>
    <row r="325" spans="2:114" ht="15.75" customHeight="1" x14ac:dyDescent="0.25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5"/>
      <c r="BZ325" s="656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5"/>
      <c r="DJ325" s="116"/>
    </row>
    <row r="326" spans="2:114" ht="15.75" customHeight="1" x14ac:dyDescent="0.25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5"/>
      <c r="BZ326" s="656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5"/>
      <c r="DJ326" s="116"/>
    </row>
    <row r="327" spans="2:114" ht="15.75" customHeight="1" x14ac:dyDescent="0.25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5"/>
      <c r="BZ327" s="656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5"/>
      <c r="DJ327" s="116"/>
    </row>
    <row r="328" spans="2:114" ht="15.75" customHeight="1" x14ac:dyDescent="0.25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5"/>
      <c r="BZ328" s="656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5"/>
      <c r="DJ328" s="116"/>
    </row>
    <row r="329" spans="2:114" ht="15.75" customHeight="1" x14ac:dyDescent="0.25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5"/>
      <c r="BZ329" s="656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5"/>
      <c r="DJ329" s="116"/>
    </row>
    <row r="330" spans="2:114" ht="15.75" customHeight="1" x14ac:dyDescent="0.25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5"/>
      <c r="BZ330" s="656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5"/>
      <c r="DJ330" s="116"/>
    </row>
    <row r="331" spans="2:114" ht="15.75" customHeight="1" x14ac:dyDescent="0.25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5"/>
      <c r="BZ331" s="656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5"/>
      <c r="DJ331" s="116"/>
    </row>
    <row r="332" spans="2:114" ht="15.75" customHeight="1" x14ac:dyDescent="0.25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5"/>
      <c r="BZ332" s="656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5"/>
      <c r="DJ332" s="116"/>
    </row>
    <row r="333" spans="2:114" ht="15.75" customHeight="1" x14ac:dyDescent="0.25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5"/>
      <c r="BZ333" s="656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5"/>
      <c r="DJ333" s="116"/>
    </row>
    <row r="334" spans="2:114" ht="15.75" customHeight="1" x14ac:dyDescent="0.25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5"/>
      <c r="BZ334" s="656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5"/>
      <c r="DJ334" s="116"/>
    </row>
    <row r="335" spans="2:114" ht="15.75" customHeight="1" x14ac:dyDescent="0.25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5"/>
      <c r="BZ335" s="656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5"/>
      <c r="DJ335" s="116"/>
    </row>
    <row r="336" spans="2:114" ht="15.75" customHeight="1" x14ac:dyDescent="0.25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5"/>
      <c r="BZ336" s="656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5"/>
      <c r="DJ336" s="116"/>
    </row>
    <row r="337" spans="2:114" ht="15.75" customHeight="1" x14ac:dyDescent="0.25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5"/>
      <c r="BZ337" s="656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5"/>
      <c r="DJ337" s="116"/>
    </row>
    <row r="338" spans="2:114" ht="15.75" customHeight="1" x14ac:dyDescent="0.25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5"/>
      <c r="BZ338" s="656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5"/>
      <c r="DJ338" s="116"/>
    </row>
    <row r="339" spans="2:114" ht="15.75" customHeight="1" x14ac:dyDescent="0.25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5"/>
      <c r="BZ339" s="656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5"/>
      <c r="DJ339" s="116"/>
    </row>
    <row r="340" spans="2:114" ht="15.75" customHeight="1" x14ac:dyDescent="0.25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5"/>
      <c r="BZ340" s="656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5"/>
      <c r="DJ340" s="116"/>
    </row>
    <row r="341" spans="2:114" ht="15.75" customHeight="1" x14ac:dyDescent="0.25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5"/>
      <c r="BZ341" s="656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5"/>
      <c r="DJ341" s="116"/>
    </row>
    <row r="342" spans="2:114" ht="15.75" customHeight="1" x14ac:dyDescent="0.25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5"/>
      <c r="BZ342" s="656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5"/>
      <c r="DJ342" s="116"/>
    </row>
    <row r="343" spans="2:114" ht="15.75" customHeight="1" x14ac:dyDescent="0.25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5"/>
      <c r="BZ343" s="656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5"/>
      <c r="DJ343" s="116"/>
    </row>
    <row r="344" spans="2:114" ht="15.75" customHeight="1" x14ac:dyDescent="0.25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5"/>
      <c r="BZ344" s="656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5"/>
      <c r="DJ344" s="116"/>
    </row>
    <row r="345" spans="2:114" ht="15.75" customHeight="1" x14ac:dyDescent="0.25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5"/>
      <c r="BZ345" s="656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5"/>
      <c r="DJ345" s="116"/>
    </row>
    <row r="346" spans="2:114" ht="15.75" customHeight="1" x14ac:dyDescent="0.25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5"/>
      <c r="BZ346" s="656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5"/>
      <c r="DJ346" s="116"/>
    </row>
    <row r="347" spans="2:114" ht="15.75" customHeight="1" x14ac:dyDescent="0.25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5"/>
      <c r="BZ347" s="656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5"/>
      <c r="DJ347" s="116"/>
    </row>
    <row r="348" spans="2:114" ht="15.75" customHeight="1" x14ac:dyDescent="0.25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5"/>
      <c r="BZ348" s="656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5"/>
      <c r="DJ348" s="116"/>
    </row>
    <row r="349" spans="2:114" ht="15.75" customHeight="1" x14ac:dyDescent="0.25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5"/>
      <c r="BZ349" s="656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5"/>
      <c r="DJ349" s="116"/>
    </row>
    <row r="350" spans="2:114" ht="15.75" customHeight="1" x14ac:dyDescent="0.25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5"/>
      <c r="BZ350" s="656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5"/>
      <c r="DJ350" s="116"/>
    </row>
    <row r="351" spans="2:114" ht="15.75" customHeight="1" x14ac:dyDescent="0.25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5"/>
      <c r="BZ351" s="656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5"/>
      <c r="DJ351" s="116"/>
    </row>
    <row r="352" spans="2:114" ht="15.75" customHeight="1" x14ac:dyDescent="0.25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5"/>
      <c r="BZ352" s="656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5"/>
      <c r="DJ352" s="116"/>
    </row>
    <row r="353" spans="2:114" ht="15.75" customHeight="1" x14ac:dyDescent="0.25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5"/>
      <c r="BZ353" s="656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5"/>
      <c r="DJ353" s="116"/>
    </row>
    <row r="354" spans="2:114" ht="15.75" customHeight="1" x14ac:dyDescent="0.25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5"/>
      <c r="BZ354" s="656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5"/>
      <c r="DJ354" s="116"/>
    </row>
    <row r="355" spans="2:114" ht="15.75" customHeight="1" x14ac:dyDescent="0.25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5"/>
      <c r="BZ355" s="656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5"/>
      <c r="DJ355" s="116"/>
    </row>
    <row r="356" spans="2:114" ht="15.75" customHeight="1" x14ac:dyDescent="0.25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5"/>
      <c r="BZ356" s="656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5"/>
      <c r="DJ356" s="116"/>
    </row>
    <row r="357" spans="2:114" ht="15.75" customHeight="1" x14ac:dyDescent="0.25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5"/>
      <c r="BZ357" s="656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5"/>
      <c r="DJ357" s="116"/>
    </row>
    <row r="358" spans="2:114" ht="15.75" customHeight="1" x14ac:dyDescent="0.25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5"/>
      <c r="BZ358" s="656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5"/>
      <c r="DJ358" s="116"/>
    </row>
    <row r="359" spans="2:114" ht="15.75" customHeight="1" x14ac:dyDescent="0.25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5"/>
      <c r="BZ359" s="656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5"/>
      <c r="DJ359" s="116"/>
    </row>
    <row r="360" spans="2:114" ht="15.75" customHeight="1" x14ac:dyDescent="0.25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5"/>
      <c r="BZ360" s="656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5"/>
      <c r="DJ360" s="116"/>
    </row>
    <row r="361" spans="2:114" ht="15.75" customHeight="1" x14ac:dyDescent="0.25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5"/>
      <c r="BZ361" s="656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5"/>
      <c r="DJ361" s="116"/>
    </row>
    <row r="362" spans="2:114" ht="15.75" customHeight="1" x14ac:dyDescent="0.25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5"/>
      <c r="BZ362" s="656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5"/>
      <c r="DJ362" s="116"/>
    </row>
    <row r="363" spans="2:114" ht="15.75" customHeight="1" x14ac:dyDescent="0.25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5"/>
      <c r="BZ363" s="656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5"/>
      <c r="DJ363" s="116"/>
    </row>
    <row r="364" spans="2:114" ht="15.75" customHeight="1" x14ac:dyDescent="0.25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5"/>
      <c r="BZ364" s="656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5"/>
      <c r="DJ364" s="116"/>
    </row>
    <row r="365" spans="2:114" ht="15.75" customHeight="1" x14ac:dyDescent="0.25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5"/>
      <c r="BZ365" s="656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5"/>
      <c r="DJ365" s="116"/>
    </row>
    <row r="366" spans="2:114" ht="15.75" customHeight="1" x14ac:dyDescent="0.25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5"/>
      <c r="BZ366" s="656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5"/>
      <c r="DJ366" s="116"/>
    </row>
    <row r="367" spans="2:114" ht="15.75" customHeight="1" x14ac:dyDescent="0.25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5"/>
      <c r="BZ367" s="656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5"/>
      <c r="DJ367" s="116"/>
    </row>
    <row r="368" spans="2:114" ht="15.75" customHeight="1" x14ac:dyDescent="0.25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5"/>
      <c r="BZ368" s="656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5"/>
      <c r="DJ368" s="116"/>
    </row>
    <row r="369" spans="2:114" ht="15.75" customHeight="1" x14ac:dyDescent="0.25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5"/>
      <c r="BZ369" s="656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5"/>
      <c r="DJ369" s="116"/>
    </row>
    <row r="370" spans="2:114" ht="15.75" customHeight="1" x14ac:dyDescent="0.25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5"/>
      <c r="BZ370" s="656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5"/>
      <c r="DJ370" s="116"/>
    </row>
    <row r="371" spans="2:114" ht="15.75" customHeight="1" x14ac:dyDescent="0.25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5"/>
      <c r="BZ371" s="656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5"/>
      <c r="DJ371" s="116"/>
    </row>
    <row r="372" spans="2:114" ht="15.75" customHeight="1" x14ac:dyDescent="0.25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5"/>
      <c r="BZ372" s="656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5"/>
      <c r="DJ372" s="116"/>
    </row>
    <row r="373" spans="2:114" ht="15.75" customHeight="1" x14ac:dyDescent="0.25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5"/>
      <c r="BZ373" s="656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5"/>
      <c r="DJ373" s="116"/>
    </row>
    <row r="374" spans="2:114" ht="15.75" customHeight="1" x14ac:dyDescent="0.25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5"/>
      <c r="BZ374" s="656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5"/>
      <c r="DJ374" s="116"/>
    </row>
    <row r="375" spans="2:114" ht="15.75" customHeight="1" x14ac:dyDescent="0.25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5"/>
      <c r="BZ375" s="656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5"/>
      <c r="DJ375" s="116"/>
    </row>
    <row r="376" spans="2:114" ht="15.75" customHeight="1" x14ac:dyDescent="0.25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5"/>
      <c r="BZ376" s="656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5"/>
      <c r="DJ376" s="116"/>
    </row>
    <row r="377" spans="2:114" ht="15.75" customHeight="1" x14ac:dyDescent="0.25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5"/>
      <c r="BZ377" s="656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5"/>
      <c r="DJ377" s="116"/>
    </row>
    <row r="378" spans="2:114" ht="15.75" customHeight="1" x14ac:dyDescent="0.25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5"/>
      <c r="BZ378" s="656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5"/>
      <c r="DJ378" s="116"/>
    </row>
    <row r="379" spans="2:114" ht="15.75" customHeight="1" x14ac:dyDescent="0.25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5"/>
      <c r="BZ379" s="656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5"/>
      <c r="DJ379" s="116"/>
    </row>
    <row r="380" spans="2:114" ht="15.75" customHeight="1" x14ac:dyDescent="0.25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5"/>
      <c r="BZ380" s="656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5"/>
      <c r="DJ380" s="116"/>
    </row>
    <row r="381" spans="2:114" ht="15.75" customHeight="1" x14ac:dyDescent="0.25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5"/>
      <c r="BZ381" s="656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5"/>
      <c r="DJ381" s="116"/>
    </row>
    <row r="382" spans="2:114" ht="15.75" customHeight="1" x14ac:dyDescent="0.25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5"/>
      <c r="BZ382" s="656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5"/>
      <c r="DJ382" s="116"/>
    </row>
    <row r="383" spans="2:114" ht="15.75" customHeight="1" x14ac:dyDescent="0.25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5"/>
      <c r="BZ383" s="656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5"/>
      <c r="DJ383" s="116"/>
    </row>
    <row r="384" spans="2:114" ht="15.75" customHeight="1" x14ac:dyDescent="0.25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5"/>
      <c r="BZ384" s="656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5"/>
      <c r="DJ384" s="116"/>
    </row>
    <row r="385" spans="2:114" ht="15.75" customHeight="1" x14ac:dyDescent="0.25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5"/>
      <c r="BZ385" s="656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5"/>
      <c r="DJ385" s="116"/>
    </row>
    <row r="386" spans="2:114" ht="15.75" customHeight="1" x14ac:dyDescent="0.25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5"/>
      <c r="BZ386" s="656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5"/>
      <c r="DJ386" s="116"/>
    </row>
    <row r="387" spans="2:114" ht="15.75" customHeight="1" x14ac:dyDescent="0.25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5"/>
      <c r="BZ387" s="656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5"/>
      <c r="DJ387" s="116"/>
    </row>
    <row r="388" spans="2:114" ht="15.75" customHeight="1" x14ac:dyDescent="0.25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5"/>
      <c r="BZ388" s="656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5"/>
      <c r="DJ388" s="116"/>
    </row>
    <row r="389" spans="2:114" ht="15.75" customHeight="1" x14ac:dyDescent="0.25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5"/>
      <c r="BZ389" s="656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5"/>
      <c r="DJ389" s="116"/>
    </row>
    <row r="390" spans="2:114" ht="15.75" customHeight="1" x14ac:dyDescent="0.25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5"/>
      <c r="BZ390" s="656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5"/>
      <c r="DJ390" s="116"/>
    </row>
    <row r="391" spans="2:114" ht="15.75" customHeight="1" x14ac:dyDescent="0.25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5"/>
      <c r="BZ391" s="656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5"/>
      <c r="DJ391" s="116"/>
    </row>
    <row r="392" spans="2:114" ht="15.75" customHeight="1" x14ac:dyDescent="0.25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5"/>
      <c r="BZ392" s="656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5"/>
      <c r="DJ392" s="116"/>
    </row>
    <row r="393" spans="2:114" ht="15.75" customHeight="1" x14ac:dyDescent="0.25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5"/>
      <c r="BZ393" s="656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5"/>
      <c r="DJ393" s="116"/>
    </row>
    <row r="394" spans="2:114" ht="15.75" customHeight="1" x14ac:dyDescent="0.25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5"/>
      <c r="BZ394" s="656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5"/>
      <c r="DJ394" s="116"/>
    </row>
    <row r="395" spans="2:114" ht="15.75" customHeight="1" x14ac:dyDescent="0.25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5"/>
      <c r="BZ395" s="656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5"/>
      <c r="DJ395" s="116"/>
    </row>
    <row r="396" spans="2:114" ht="15.75" customHeight="1" x14ac:dyDescent="0.25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5"/>
      <c r="BZ396" s="656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5"/>
      <c r="DJ396" s="116"/>
    </row>
    <row r="397" spans="2:114" ht="15.75" customHeight="1" x14ac:dyDescent="0.25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5"/>
      <c r="BZ397" s="656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5"/>
      <c r="DJ397" s="116"/>
    </row>
    <row r="398" spans="2:114" ht="15.75" customHeight="1" x14ac:dyDescent="0.25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5"/>
      <c r="BZ398" s="656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5"/>
      <c r="DJ398" s="116"/>
    </row>
    <row r="399" spans="2:114" ht="15.75" customHeight="1" x14ac:dyDescent="0.25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5"/>
      <c r="BZ399" s="656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5"/>
      <c r="DJ399" s="116"/>
    </row>
    <row r="400" spans="2:114" ht="15.75" customHeight="1" x14ac:dyDescent="0.25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5"/>
      <c r="BZ400" s="656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5"/>
      <c r="DJ400" s="116"/>
    </row>
    <row r="401" spans="2:114" ht="15.75" customHeight="1" x14ac:dyDescent="0.25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5"/>
      <c r="BZ401" s="656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5"/>
      <c r="DJ401" s="116"/>
    </row>
    <row r="402" spans="2:114" ht="15.75" customHeight="1" x14ac:dyDescent="0.25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5"/>
      <c r="BZ402" s="656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5"/>
      <c r="DJ402" s="116"/>
    </row>
    <row r="403" spans="2:114" ht="15.75" customHeight="1" x14ac:dyDescent="0.25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5"/>
      <c r="BZ403" s="656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5"/>
      <c r="DJ403" s="116"/>
    </row>
    <row r="404" spans="2:114" ht="15.75" customHeight="1" x14ac:dyDescent="0.25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5"/>
      <c r="BZ404" s="656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5"/>
      <c r="DJ404" s="116"/>
    </row>
    <row r="405" spans="2:114" ht="15.75" customHeight="1" x14ac:dyDescent="0.25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5"/>
      <c r="BZ405" s="656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5"/>
      <c r="DJ405" s="116"/>
    </row>
    <row r="406" spans="2:114" ht="15.75" customHeight="1" x14ac:dyDescent="0.25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5"/>
      <c r="BZ406" s="656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5"/>
      <c r="DJ406" s="116"/>
    </row>
    <row r="407" spans="2:114" ht="15.75" customHeight="1" x14ac:dyDescent="0.25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5"/>
      <c r="BZ407" s="656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5"/>
      <c r="DJ407" s="116"/>
    </row>
    <row r="408" spans="2:114" ht="15.75" customHeight="1" x14ac:dyDescent="0.25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5"/>
      <c r="BZ408" s="656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5"/>
      <c r="DJ408" s="116"/>
    </row>
    <row r="409" spans="2:114" ht="15.75" customHeight="1" x14ac:dyDescent="0.25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5"/>
      <c r="BZ409" s="656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5"/>
      <c r="DJ409" s="116"/>
    </row>
    <row r="410" spans="2:114" ht="15.75" customHeight="1" x14ac:dyDescent="0.25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5"/>
      <c r="BZ410" s="656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5"/>
      <c r="DJ410" s="116"/>
    </row>
    <row r="411" spans="2:114" ht="15.75" customHeight="1" x14ac:dyDescent="0.25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5"/>
      <c r="BZ411" s="656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5"/>
      <c r="DJ411" s="116"/>
    </row>
    <row r="412" spans="2:114" ht="15.75" customHeight="1" x14ac:dyDescent="0.25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5"/>
      <c r="BZ412" s="656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5"/>
      <c r="DJ412" s="116"/>
    </row>
    <row r="413" spans="2:114" ht="15.75" customHeight="1" x14ac:dyDescent="0.25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5"/>
      <c r="BZ413" s="656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5"/>
      <c r="DJ413" s="116"/>
    </row>
    <row r="414" spans="2:114" ht="15.75" customHeight="1" x14ac:dyDescent="0.25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5"/>
      <c r="BZ414" s="656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5"/>
      <c r="DJ414" s="116"/>
    </row>
    <row r="415" spans="2:114" ht="15.75" customHeight="1" x14ac:dyDescent="0.25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5"/>
      <c r="BZ415" s="656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5"/>
      <c r="DJ415" s="116"/>
    </row>
    <row r="416" spans="2:114" ht="15.75" customHeight="1" x14ac:dyDescent="0.25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5"/>
      <c r="BZ416" s="656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5"/>
      <c r="DJ416" s="116"/>
    </row>
    <row r="417" spans="2:114" ht="15.75" customHeight="1" x14ac:dyDescent="0.25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5"/>
      <c r="BZ417" s="656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5"/>
      <c r="DJ417" s="116"/>
    </row>
    <row r="418" spans="2:114" ht="15.75" customHeight="1" x14ac:dyDescent="0.25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5"/>
      <c r="BZ418" s="656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5"/>
      <c r="DJ418" s="116"/>
    </row>
    <row r="419" spans="2:114" ht="15.75" customHeight="1" x14ac:dyDescent="0.25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5"/>
      <c r="BZ419" s="656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5"/>
      <c r="DJ419" s="116"/>
    </row>
    <row r="420" spans="2:114" ht="15.75" customHeight="1" x14ac:dyDescent="0.25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5"/>
      <c r="BZ420" s="656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5"/>
      <c r="DJ420" s="116"/>
    </row>
    <row r="421" spans="2:114" ht="15.75" customHeight="1" x14ac:dyDescent="0.25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5"/>
      <c r="BZ421" s="656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5"/>
      <c r="DJ421" s="116"/>
    </row>
    <row r="422" spans="2:114" ht="15.75" customHeight="1" x14ac:dyDescent="0.25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5"/>
      <c r="BZ422" s="656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5"/>
      <c r="DJ422" s="116"/>
    </row>
    <row r="423" spans="2:114" ht="15.75" customHeight="1" x14ac:dyDescent="0.25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5"/>
      <c r="BZ423" s="656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5"/>
      <c r="DJ423" s="116"/>
    </row>
    <row r="424" spans="2:114" ht="15.75" customHeight="1" x14ac:dyDescent="0.25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5"/>
      <c r="BZ424" s="656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5"/>
      <c r="DJ424" s="116"/>
    </row>
    <row r="425" spans="2:114" ht="15.75" customHeight="1" x14ac:dyDescent="0.25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5"/>
      <c r="BZ425" s="656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5"/>
      <c r="DJ425" s="116"/>
    </row>
    <row r="426" spans="2:114" ht="15.75" customHeight="1" x14ac:dyDescent="0.25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5"/>
      <c r="BZ426" s="656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5"/>
      <c r="DJ426" s="116"/>
    </row>
    <row r="427" spans="2:114" ht="15.75" customHeight="1" x14ac:dyDescent="0.25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5"/>
      <c r="BZ427" s="656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5"/>
      <c r="DJ427" s="116"/>
    </row>
    <row r="428" spans="2:114" ht="15.75" customHeight="1" x14ac:dyDescent="0.25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5"/>
      <c r="BZ428" s="656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5"/>
      <c r="DJ428" s="116"/>
    </row>
    <row r="429" spans="2:114" ht="15.75" customHeight="1" x14ac:dyDescent="0.25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5"/>
      <c r="BZ429" s="656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5"/>
      <c r="DJ429" s="116"/>
    </row>
    <row r="430" spans="2:114" ht="15.75" customHeight="1" x14ac:dyDescent="0.25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5"/>
      <c r="BZ430" s="656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5"/>
      <c r="DJ430" s="116"/>
    </row>
    <row r="431" spans="2:114" ht="15.75" customHeight="1" x14ac:dyDescent="0.25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5"/>
      <c r="BZ431" s="656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5"/>
      <c r="DJ431" s="116"/>
    </row>
    <row r="432" spans="2:114" ht="15.75" customHeight="1" x14ac:dyDescent="0.25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5"/>
      <c r="BZ432" s="656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5"/>
      <c r="DJ432" s="116"/>
    </row>
    <row r="433" spans="2:114" ht="15.75" customHeight="1" x14ac:dyDescent="0.25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5"/>
      <c r="BZ433" s="656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5"/>
      <c r="DJ433" s="116"/>
    </row>
    <row r="434" spans="2:114" ht="15.75" customHeight="1" x14ac:dyDescent="0.25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5"/>
      <c r="BZ434" s="656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5"/>
      <c r="DJ434" s="116"/>
    </row>
    <row r="435" spans="2:114" ht="15.75" customHeight="1" x14ac:dyDescent="0.25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5"/>
      <c r="BZ435" s="656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5"/>
      <c r="DJ435" s="116"/>
    </row>
    <row r="436" spans="2:114" ht="15.75" customHeight="1" x14ac:dyDescent="0.25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5"/>
      <c r="BZ436" s="656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5"/>
      <c r="DJ436" s="116"/>
    </row>
    <row r="437" spans="2:114" ht="15.75" customHeight="1" x14ac:dyDescent="0.25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5"/>
      <c r="BZ437" s="656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5"/>
      <c r="DJ437" s="116"/>
    </row>
    <row r="438" spans="2:114" ht="15.75" customHeight="1" x14ac:dyDescent="0.25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5"/>
      <c r="BZ438" s="656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5"/>
      <c r="DJ438" s="116"/>
    </row>
    <row r="439" spans="2:114" ht="15.75" customHeight="1" x14ac:dyDescent="0.25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5"/>
      <c r="BZ439" s="656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5"/>
      <c r="DJ439" s="116"/>
    </row>
    <row r="440" spans="2:114" ht="15.75" customHeight="1" x14ac:dyDescent="0.25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5"/>
      <c r="BZ440" s="656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5"/>
      <c r="DJ440" s="116"/>
    </row>
    <row r="441" spans="2:114" ht="15.75" customHeight="1" x14ac:dyDescent="0.25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5"/>
      <c r="BZ441" s="656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5"/>
      <c r="DJ441" s="116"/>
    </row>
    <row r="442" spans="2:114" ht="15.75" customHeight="1" x14ac:dyDescent="0.25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5"/>
      <c r="BZ442" s="656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5"/>
      <c r="DJ442" s="116"/>
    </row>
    <row r="443" spans="2:114" ht="15.75" customHeight="1" x14ac:dyDescent="0.25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5"/>
      <c r="BZ443" s="656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5"/>
      <c r="DJ443" s="116"/>
    </row>
    <row r="444" spans="2:114" ht="15.75" customHeight="1" x14ac:dyDescent="0.25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5"/>
      <c r="BZ444" s="656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5"/>
      <c r="DJ444" s="116"/>
    </row>
    <row r="445" spans="2:114" ht="15.75" customHeight="1" x14ac:dyDescent="0.25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5"/>
      <c r="BZ445" s="656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5"/>
      <c r="DJ445" s="116"/>
    </row>
    <row r="446" spans="2:114" ht="15.75" customHeight="1" x14ac:dyDescent="0.25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5"/>
      <c r="BZ446" s="656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5"/>
      <c r="DJ446" s="116"/>
    </row>
    <row r="447" spans="2:114" ht="15.75" customHeight="1" x14ac:dyDescent="0.25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5"/>
      <c r="BZ447" s="656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5"/>
      <c r="DJ447" s="116"/>
    </row>
    <row r="448" spans="2:114" ht="15.75" customHeight="1" x14ac:dyDescent="0.25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5"/>
      <c r="BZ448" s="656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5"/>
      <c r="DJ448" s="116"/>
    </row>
    <row r="449" spans="2:114" ht="15.75" customHeight="1" x14ac:dyDescent="0.25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5"/>
      <c r="BZ449" s="656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5"/>
      <c r="DJ449" s="116"/>
    </row>
    <row r="450" spans="2:114" ht="15.75" customHeight="1" x14ac:dyDescent="0.25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5"/>
      <c r="BZ450" s="656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5"/>
      <c r="DJ450" s="116"/>
    </row>
    <row r="451" spans="2:114" ht="15.75" customHeight="1" x14ac:dyDescent="0.25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5"/>
      <c r="BZ451" s="656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5"/>
      <c r="DJ451" s="116"/>
    </row>
    <row r="452" spans="2:114" ht="15.75" customHeight="1" x14ac:dyDescent="0.25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5"/>
      <c r="BZ452" s="656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5"/>
      <c r="DJ452" s="116"/>
    </row>
    <row r="453" spans="2:114" ht="15.75" customHeight="1" x14ac:dyDescent="0.25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5"/>
      <c r="BZ453" s="656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5"/>
      <c r="DJ453" s="116"/>
    </row>
    <row r="454" spans="2:114" ht="15.75" customHeight="1" x14ac:dyDescent="0.25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5"/>
      <c r="BZ454" s="656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5"/>
      <c r="DJ454" s="116"/>
    </row>
    <row r="455" spans="2:114" ht="15.75" customHeight="1" x14ac:dyDescent="0.25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5"/>
      <c r="BZ455" s="656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5"/>
      <c r="DJ455" s="116"/>
    </row>
    <row r="456" spans="2:114" ht="15.75" customHeight="1" x14ac:dyDescent="0.25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5"/>
      <c r="BZ456" s="656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5"/>
      <c r="DJ456" s="116"/>
    </row>
    <row r="457" spans="2:114" ht="15.75" customHeight="1" x14ac:dyDescent="0.25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5"/>
      <c r="BZ457" s="656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5"/>
      <c r="DJ457" s="116"/>
    </row>
    <row r="458" spans="2:114" ht="15.75" customHeight="1" x14ac:dyDescent="0.25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5"/>
      <c r="BZ458" s="656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5"/>
      <c r="DJ458" s="116"/>
    </row>
    <row r="459" spans="2:114" ht="15.75" customHeight="1" x14ac:dyDescent="0.25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5"/>
      <c r="BZ459" s="656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5"/>
      <c r="DJ459" s="116"/>
    </row>
    <row r="460" spans="2:114" ht="15.75" customHeight="1" x14ac:dyDescent="0.25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5"/>
      <c r="BZ460" s="656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5"/>
      <c r="DJ460" s="116"/>
    </row>
    <row r="461" spans="2:114" ht="15.75" customHeight="1" x14ac:dyDescent="0.25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5"/>
      <c r="BZ461" s="656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5"/>
      <c r="DJ461" s="116"/>
    </row>
    <row r="462" spans="2:114" ht="15.75" customHeight="1" x14ac:dyDescent="0.25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5"/>
      <c r="BZ462" s="656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5"/>
      <c r="DJ462" s="116"/>
    </row>
    <row r="463" spans="2:114" ht="15.75" customHeight="1" x14ac:dyDescent="0.25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5"/>
      <c r="BZ463" s="656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5"/>
      <c r="DJ463" s="116"/>
    </row>
    <row r="464" spans="2:114" ht="15.75" customHeight="1" x14ac:dyDescent="0.25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5"/>
      <c r="BZ464" s="656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5"/>
      <c r="DJ464" s="116"/>
    </row>
    <row r="465" spans="2:114" ht="15.75" customHeight="1" x14ac:dyDescent="0.25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5"/>
      <c r="BZ465" s="656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5"/>
      <c r="DJ465" s="116"/>
    </row>
    <row r="466" spans="2:114" ht="15.75" customHeight="1" x14ac:dyDescent="0.25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5"/>
      <c r="BZ466" s="656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5"/>
      <c r="DJ466" s="116"/>
    </row>
    <row r="467" spans="2:114" ht="15.75" customHeight="1" x14ac:dyDescent="0.25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5"/>
      <c r="BZ467" s="656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5"/>
      <c r="DJ467" s="116"/>
    </row>
    <row r="468" spans="2:114" ht="15.75" customHeight="1" x14ac:dyDescent="0.25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5"/>
      <c r="BZ468" s="656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5"/>
      <c r="DJ468" s="116"/>
    </row>
    <row r="469" spans="2:114" ht="15.75" customHeight="1" x14ac:dyDescent="0.25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5"/>
      <c r="BZ469" s="656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5"/>
      <c r="DJ469" s="116"/>
    </row>
    <row r="470" spans="2:114" ht="15.75" customHeight="1" x14ac:dyDescent="0.25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5"/>
      <c r="BZ470" s="656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5"/>
      <c r="DJ470" s="116"/>
    </row>
    <row r="471" spans="2:114" ht="15.75" customHeight="1" x14ac:dyDescent="0.25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5"/>
      <c r="BZ471" s="656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5"/>
      <c r="DJ471" s="116"/>
    </row>
    <row r="472" spans="2:114" ht="15.75" customHeight="1" x14ac:dyDescent="0.25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5"/>
      <c r="BZ472" s="656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5"/>
      <c r="DJ472" s="116"/>
    </row>
    <row r="473" spans="2:114" ht="15.75" customHeight="1" x14ac:dyDescent="0.25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5"/>
      <c r="BZ473" s="656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5"/>
      <c r="DJ473" s="116"/>
    </row>
    <row r="474" spans="2:114" ht="15.75" customHeight="1" x14ac:dyDescent="0.25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5"/>
      <c r="BZ474" s="656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5"/>
      <c r="DJ474" s="116"/>
    </row>
    <row r="475" spans="2:114" ht="15.75" customHeight="1" x14ac:dyDescent="0.25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5"/>
      <c r="BZ475" s="656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5"/>
      <c r="DJ475" s="116"/>
    </row>
    <row r="476" spans="2:114" ht="15.75" customHeight="1" x14ac:dyDescent="0.25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5"/>
      <c r="BZ476" s="656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5"/>
      <c r="DJ476" s="116"/>
    </row>
    <row r="477" spans="2:114" ht="15.75" customHeight="1" x14ac:dyDescent="0.25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5"/>
      <c r="BZ477" s="656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5"/>
      <c r="DJ477" s="116"/>
    </row>
    <row r="478" spans="2:114" ht="15.75" customHeight="1" x14ac:dyDescent="0.25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5"/>
      <c r="BZ478" s="656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5"/>
      <c r="DJ478" s="116"/>
    </row>
    <row r="479" spans="2:114" ht="15.75" customHeight="1" x14ac:dyDescent="0.25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5"/>
      <c r="BZ479" s="656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5"/>
      <c r="DJ479" s="116"/>
    </row>
    <row r="480" spans="2:114" ht="15.75" customHeight="1" x14ac:dyDescent="0.25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5"/>
      <c r="BZ480" s="656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5"/>
      <c r="DJ480" s="116"/>
    </row>
    <row r="481" spans="2:114" ht="15.75" customHeight="1" x14ac:dyDescent="0.25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5"/>
      <c r="BZ481" s="656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5"/>
      <c r="DJ481" s="116"/>
    </row>
    <row r="482" spans="2:114" ht="15.75" customHeight="1" x14ac:dyDescent="0.25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5"/>
      <c r="BZ482" s="656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5"/>
      <c r="DJ482" s="116"/>
    </row>
    <row r="483" spans="2:114" ht="15.75" customHeight="1" x14ac:dyDescent="0.25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5"/>
      <c r="BZ483" s="656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5"/>
      <c r="DJ483" s="116"/>
    </row>
    <row r="484" spans="2:114" ht="15.75" customHeight="1" x14ac:dyDescent="0.25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5"/>
      <c r="BZ484" s="656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5"/>
      <c r="DJ484" s="116"/>
    </row>
    <row r="485" spans="2:114" ht="15.75" customHeight="1" x14ac:dyDescent="0.25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5"/>
      <c r="BZ485" s="656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5"/>
      <c r="DJ485" s="116"/>
    </row>
    <row r="486" spans="2:114" ht="15.75" customHeight="1" x14ac:dyDescent="0.25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5"/>
      <c r="BZ486" s="656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5"/>
      <c r="DJ486" s="116"/>
    </row>
    <row r="487" spans="2:114" ht="15.75" customHeight="1" x14ac:dyDescent="0.25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5"/>
      <c r="BZ487" s="656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5"/>
      <c r="DJ487" s="116"/>
    </row>
    <row r="488" spans="2:114" ht="15.75" customHeight="1" x14ac:dyDescent="0.25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5"/>
      <c r="BZ488" s="656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5"/>
      <c r="DJ488" s="116"/>
    </row>
    <row r="489" spans="2:114" ht="15.75" customHeight="1" x14ac:dyDescent="0.25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5"/>
      <c r="BZ489" s="656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5"/>
      <c r="DJ489" s="116"/>
    </row>
    <row r="490" spans="2:114" ht="15.75" customHeight="1" x14ac:dyDescent="0.25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5"/>
      <c r="BZ490" s="656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5"/>
      <c r="DJ490" s="116"/>
    </row>
    <row r="491" spans="2:114" ht="15.75" customHeight="1" x14ac:dyDescent="0.25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5"/>
      <c r="BZ491" s="656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5"/>
      <c r="DJ491" s="116"/>
    </row>
    <row r="492" spans="2:114" ht="15.75" customHeight="1" x14ac:dyDescent="0.25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5"/>
      <c r="BZ492" s="656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5"/>
      <c r="DJ492" s="116"/>
    </row>
    <row r="493" spans="2:114" ht="15.75" customHeight="1" x14ac:dyDescent="0.25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5"/>
      <c r="BZ493" s="656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5"/>
      <c r="DJ493" s="116"/>
    </row>
    <row r="494" spans="2:114" ht="15.75" customHeight="1" x14ac:dyDescent="0.25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5"/>
      <c r="BZ494" s="656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5"/>
      <c r="DJ494" s="116"/>
    </row>
    <row r="495" spans="2:114" ht="15.75" customHeight="1" x14ac:dyDescent="0.25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5"/>
      <c r="BZ495" s="656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5"/>
      <c r="DJ495" s="116"/>
    </row>
    <row r="496" spans="2:114" ht="15.75" customHeight="1" x14ac:dyDescent="0.25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5"/>
      <c r="BZ496" s="656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5"/>
      <c r="DJ496" s="116"/>
    </row>
    <row r="497" spans="2:114" ht="15.75" customHeight="1" x14ac:dyDescent="0.25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5"/>
      <c r="BZ497" s="656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5"/>
      <c r="DJ497" s="116"/>
    </row>
    <row r="498" spans="2:114" ht="15.75" customHeight="1" x14ac:dyDescent="0.25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5"/>
      <c r="BZ498" s="656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5"/>
      <c r="DJ498" s="116"/>
    </row>
    <row r="499" spans="2:114" ht="15.75" customHeight="1" x14ac:dyDescent="0.25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5"/>
      <c r="BZ499" s="656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5"/>
      <c r="DJ499" s="116"/>
    </row>
    <row r="500" spans="2:114" ht="15.75" customHeight="1" x14ac:dyDescent="0.25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5"/>
      <c r="BZ500" s="656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5"/>
      <c r="DJ500" s="116"/>
    </row>
    <row r="501" spans="2:114" ht="15.75" customHeight="1" x14ac:dyDescent="0.25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5"/>
      <c r="BZ501" s="656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5"/>
      <c r="DJ501" s="116"/>
    </row>
    <row r="502" spans="2:114" ht="15.75" customHeight="1" x14ac:dyDescent="0.25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5"/>
      <c r="BZ502" s="656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5"/>
      <c r="DJ502" s="116"/>
    </row>
    <row r="503" spans="2:114" ht="15.75" customHeight="1" x14ac:dyDescent="0.25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5"/>
      <c r="BZ503" s="656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5"/>
      <c r="DJ503" s="116"/>
    </row>
    <row r="504" spans="2:114" ht="15.75" customHeight="1" x14ac:dyDescent="0.25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5"/>
      <c r="BZ504" s="656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5"/>
      <c r="DJ504" s="116"/>
    </row>
    <row r="505" spans="2:114" ht="15.75" customHeight="1" x14ac:dyDescent="0.25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5"/>
      <c r="BZ505" s="656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5"/>
      <c r="DJ505" s="116"/>
    </row>
    <row r="506" spans="2:114" ht="15.75" customHeight="1" x14ac:dyDescent="0.25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5"/>
      <c r="BZ506" s="656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5"/>
      <c r="DJ506" s="116"/>
    </row>
    <row r="507" spans="2:114" ht="15.75" customHeight="1" x14ac:dyDescent="0.25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5"/>
      <c r="BZ507" s="656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5"/>
      <c r="DJ507" s="116"/>
    </row>
    <row r="508" spans="2:114" ht="15.75" customHeight="1" x14ac:dyDescent="0.25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5"/>
      <c r="BZ508" s="656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5"/>
      <c r="DJ508" s="116"/>
    </row>
    <row r="509" spans="2:114" ht="15.75" customHeight="1" x14ac:dyDescent="0.25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5"/>
      <c r="BZ509" s="656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5"/>
      <c r="DJ509" s="116"/>
    </row>
    <row r="510" spans="2:114" ht="15.75" customHeight="1" x14ac:dyDescent="0.25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5"/>
      <c r="BZ510" s="656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5"/>
      <c r="DJ510" s="116"/>
    </row>
    <row r="511" spans="2:114" ht="15.75" customHeight="1" x14ac:dyDescent="0.25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5"/>
      <c r="BZ511" s="656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5"/>
      <c r="DJ511" s="116"/>
    </row>
    <row r="512" spans="2:114" ht="15.75" customHeight="1" x14ac:dyDescent="0.25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5"/>
      <c r="BZ512" s="656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5"/>
      <c r="DJ512" s="116"/>
    </row>
    <row r="513" spans="2:114" ht="15.75" customHeight="1" x14ac:dyDescent="0.25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5"/>
      <c r="BZ513" s="656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5"/>
      <c r="DJ513" s="116"/>
    </row>
    <row r="514" spans="2:114" ht="15.75" customHeight="1" x14ac:dyDescent="0.25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5"/>
      <c r="BZ514" s="656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5"/>
      <c r="DJ514" s="116"/>
    </row>
    <row r="515" spans="2:114" ht="15.75" customHeight="1" x14ac:dyDescent="0.25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5"/>
      <c r="BZ515" s="656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5"/>
      <c r="DJ515" s="116"/>
    </row>
    <row r="516" spans="2:114" ht="15.75" customHeight="1" x14ac:dyDescent="0.25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5"/>
      <c r="BZ516" s="656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5"/>
      <c r="DJ516" s="116"/>
    </row>
    <row r="517" spans="2:114" ht="15.75" customHeight="1" x14ac:dyDescent="0.25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5"/>
      <c r="BZ517" s="656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5"/>
      <c r="DJ517" s="116"/>
    </row>
    <row r="518" spans="2:114" ht="15.75" customHeight="1" x14ac:dyDescent="0.25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5"/>
      <c r="BZ518" s="656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5"/>
      <c r="DJ518" s="116"/>
    </row>
    <row r="519" spans="2:114" ht="15.75" customHeight="1" x14ac:dyDescent="0.25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5"/>
      <c r="BZ519" s="656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5"/>
      <c r="DJ519" s="116"/>
    </row>
    <row r="520" spans="2:114" ht="15.75" customHeight="1" x14ac:dyDescent="0.25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5"/>
      <c r="BZ520" s="656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5"/>
      <c r="DJ520" s="116"/>
    </row>
    <row r="521" spans="2:114" ht="15.75" customHeight="1" x14ac:dyDescent="0.25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5"/>
      <c r="BZ521" s="656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5"/>
      <c r="DJ521" s="116"/>
    </row>
    <row r="522" spans="2:114" ht="15.75" customHeight="1" x14ac:dyDescent="0.25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5"/>
      <c r="BZ522" s="656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5"/>
      <c r="DJ522" s="116"/>
    </row>
    <row r="523" spans="2:114" ht="15.75" customHeight="1" x14ac:dyDescent="0.25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5"/>
      <c r="BZ523" s="656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5"/>
      <c r="DJ523" s="116"/>
    </row>
    <row r="524" spans="2:114" ht="15.75" customHeight="1" x14ac:dyDescent="0.25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5"/>
      <c r="BZ524" s="656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5"/>
      <c r="DJ524" s="116"/>
    </row>
    <row r="525" spans="2:114" ht="15.75" customHeight="1" x14ac:dyDescent="0.25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5"/>
      <c r="BZ525" s="656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5"/>
      <c r="DJ525" s="116"/>
    </row>
    <row r="526" spans="2:114" ht="15.75" customHeight="1" x14ac:dyDescent="0.25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5"/>
      <c r="BZ526" s="656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5"/>
      <c r="DJ526" s="116"/>
    </row>
    <row r="527" spans="2:114" ht="15.75" customHeight="1" x14ac:dyDescent="0.25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5"/>
      <c r="BZ527" s="656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5"/>
      <c r="DJ527" s="116"/>
    </row>
    <row r="528" spans="2:114" ht="15.75" customHeight="1" x14ac:dyDescent="0.25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5"/>
      <c r="BZ528" s="656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5"/>
      <c r="DJ528" s="116"/>
    </row>
    <row r="529" spans="2:114" ht="15.75" customHeight="1" x14ac:dyDescent="0.25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5"/>
      <c r="BZ529" s="656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5"/>
      <c r="DJ529" s="116"/>
    </row>
    <row r="530" spans="2:114" ht="15.75" customHeight="1" x14ac:dyDescent="0.25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5"/>
      <c r="BZ530" s="656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5"/>
      <c r="DJ530" s="116"/>
    </row>
    <row r="531" spans="2:114" ht="15.75" customHeight="1" x14ac:dyDescent="0.25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5"/>
      <c r="BZ531" s="656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5"/>
      <c r="DJ531" s="116"/>
    </row>
    <row r="532" spans="2:114" ht="15.75" customHeight="1" x14ac:dyDescent="0.25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5"/>
      <c r="BZ532" s="656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5"/>
      <c r="DJ532" s="116"/>
    </row>
    <row r="533" spans="2:114" ht="15.75" customHeight="1" x14ac:dyDescent="0.25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5"/>
      <c r="BZ533" s="656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5"/>
      <c r="DJ533" s="116"/>
    </row>
    <row r="534" spans="2:114" ht="15.75" customHeight="1" x14ac:dyDescent="0.25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5"/>
      <c r="BZ534" s="656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5"/>
      <c r="DJ534" s="116"/>
    </row>
    <row r="535" spans="2:114" ht="15.75" customHeight="1" x14ac:dyDescent="0.25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5"/>
      <c r="BZ535" s="656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5"/>
      <c r="DJ535" s="116"/>
    </row>
    <row r="536" spans="2:114" ht="15.75" customHeight="1" x14ac:dyDescent="0.25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5"/>
      <c r="BZ536" s="656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5"/>
      <c r="DJ536" s="116"/>
    </row>
    <row r="537" spans="2:114" ht="15.75" customHeight="1" x14ac:dyDescent="0.25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5"/>
      <c r="BZ537" s="656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5"/>
      <c r="DJ537" s="116"/>
    </row>
    <row r="538" spans="2:114" ht="15.75" customHeight="1" x14ac:dyDescent="0.25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5"/>
      <c r="BZ538" s="656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5"/>
      <c r="DJ538" s="116"/>
    </row>
    <row r="539" spans="2:114" ht="15.75" customHeight="1" x14ac:dyDescent="0.25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5"/>
      <c r="BZ539" s="656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5"/>
      <c r="DJ539" s="116"/>
    </row>
    <row r="540" spans="2:114" ht="15.75" customHeight="1" x14ac:dyDescent="0.25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5"/>
      <c r="BZ540" s="656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5"/>
      <c r="DJ540" s="116"/>
    </row>
    <row r="541" spans="2:114" ht="15.75" customHeight="1" x14ac:dyDescent="0.25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5"/>
      <c r="BZ541" s="656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5"/>
      <c r="DJ541" s="116"/>
    </row>
    <row r="542" spans="2:114" ht="15.75" customHeight="1" x14ac:dyDescent="0.25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5"/>
      <c r="BZ542" s="656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5"/>
      <c r="DJ542" s="116"/>
    </row>
    <row r="543" spans="2:114" ht="15.75" customHeight="1" x14ac:dyDescent="0.25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5"/>
      <c r="BZ543" s="656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5"/>
      <c r="DJ543" s="116"/>
    </row>
    <row r="544" spans="2:114" ht="15.75" customHeight="1" x14ac:dyDescent="0.25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5"/>
      <c r="BZ544" s="656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5"/>
      <c r="DJ544" s="116"/>
    </row>
    <row r="545" spans="2:114" ht="15.75" customHeight="1" x14ac:dyDescent="0.25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5"/>
      <c r="BZ545" s="656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5"/>
      <c r="DJ545" s="116"/>
    </row>
    <row r="546" spans="2:114" ht="15.75" customHeight="1" x14ac:dyDescent="0.25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5"/>
      <c r="BZ546" s="656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5"/>
      <c r="DJ546" s="116"/>
    </row>
    <row r="547" spans="2:114" ht="15.75" customHeight="1" x14ac:dyDescent="0.25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5"/>
      <c r="BZ547" s="656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5"/>
      <c r="DJ547" s="116"/>
    </row>
    <row r="548" spans="2:114" ht="15.75" customHeight="1" x14ac:dyDescent="0.25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5"/>
      <c r="BZ548" s="656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5"/>
      <c r="DJ548" s="116"/>
    </row>
    <row r="549" spans="2:114" ht="15.75" customHeight="1" x14ac:dyDescent="0.25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5"/>
      <c r="BZ549" s="656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5"/>
      <c r="DJ549" s="116"/>
    </row>
    <row r="550" spans="2:114" ht="15.75" customHeight="1" x14ac:dyDescent="0.25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5"/>
      <c r="BZ550" s="656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5"/>
      <c r="DJ550" s="116"/>
    </row>
    <row r="551" spans="2:114" ht="15.75" customHeight="1" x14ac:dyDescent="0.25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5"/>
      <c r="BZ551" s="656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5"/>
      <c r="DJ551" s="116"/>
    </row>
    <row r="552" spans="2:114" ht="15.75" customHeight="1" x14ac:dyDescent="0.25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5"/>
      <c r="BZ552" s="656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5"/>
      <c r="DJ552" s="116"/>
    </row>
    <row r="553" spans="2:114" ht="15.75" customHeight="1" x14ac:dyDescent="0.25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5"/>
      <c r="BZ553" s="656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5"/>
      <c r="DJ553" s="116"/>
    </row>
    <row r="554" spans="2:114" ht="15.75" customHeight="1" x14ac:dyDescent="0.25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5"/>
      <c r="BZ554" s="656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5"/>
      <c r="DJ554" s="116"/>
    </row>
    <row r="555" spans="2:114" ht="15.75" customHeight="1" x14ac:dyDescent="0.25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5"/>
      <c r="BZ555" s="656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5"/>
      <c r="DJ555" s="116"/>
    </row>
    <row r="556" spans="2:114" ht="15.75" customHeight="1" x14ac:dyDescent="0.25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5"/>
      <c r="BZ556" s="656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5"/>
      <c r="DJ556" s="116"/>
    </row>
    <row r="557" spans="2:114" ht="15.75" customHeight="1" x14ac:dyDescent="0.25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5"/>
      <c r="BZ557" s="656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5"/>
      <c r="DJ557" s="116"/>
    </row>
    <row r="558" spans="2:114" ht="15.75" customHeight="1" x14ac:dyDescent="0.25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5"/>
      <c r="BZ558" s="656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5"/>
      <c r="DJ558" s="116"/>
    </row>
    <row r="559" spans="2:114" ht="15.75" customHeight="1" x14ac:dyDescent="0.25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5"/>
      <c r="BZ559" s="656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5"/>
      <c r="DJ559" s="116"/>
    </row>
    <row r="560" spans="2:114" ht="15.75" customHeight="1" x14ac:dyDescent="0.25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5"/>
      <c r="BZ560" s="656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5"/>
      <c r="DJ560" s="116"/>
    </row>
    <row r="561" spans="2:114" ht="15.75" customHeight="1" x14ac:dyDescent="0.25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5"/>
      <c r="BZ561" s="656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5"/>
      <c r="DJ561" s="116"/>
    </row>
    <row r="562" spans="2:114" ht="15.75" customHeight="1" x14ac:dyDescent="0.25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5"/>
      <c r="BZ562" s="656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5"/>
      <c r="DJ562" s="116"/>
    </row>
    <row r="563" spans="2:114" ht="15.75" customHeight="1" x14ac:dyDescent="0.25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5"/>
      <c r="BZ563" s="656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5"/>
      <c r="DJ563" s="116"/>
    </row>
    <row r="564" spans="2:114" ht="15.75" customHeight="1" x14ac:dyDescent="0.25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5"/>
      <c r="BZ564" s="656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5"/>
      <c r="DJ564" s="116"/>
    </row>
    <row r="565" spans="2:114" ht="15.75" customHeight="1" x14ac:dyDescent="0.25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5"/>
      <c r="BZ565" s="656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5"/>
      <c r="DJ565" s="116"/>
    </row>
    <row r="566" spans="2:114" ht="15.75" customHeight="1" x14ac:dyDescent="0.25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5"/>
      <c r="BZ566" s="656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5"/>
      <c r="DJ566" s="116"/>
    </row>
    <row r="567" spans="2:114" ht="15.75" customHeight="1" x14ac:dyDescent="0.25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5"/>
      <c r="BZ567" s="656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5"/>
      <c r="DJ567" s="116"/>
    </row>
    <row r="568" spans="2:114" ht="15.75" customHeight="1" x14ac:dyDescent="0.25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5"/>
      <c r="BZ568" s="656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5"/>
      <c r="DJ568" s="116"/>
    </row>
    <row r="569" spans="2:114" ht="15.75" customHeight="1" x14ac:dyDescent="0.25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5"/>
      <c r="BZ569" s="656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5"/>
      <c r="DJ569" s="116"/>
    </row>
    <row r="570" spans="2:114" ht="15.75" customHeight="1" x14ac:dyDescent="0.25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5"/>
      <c r="BZ570" s="656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5"/>
      <c r="DJ570" s="116"/>
    </row>
    <row r="571" spans="2:114" ht="15.75" customHeight="1" x14ac:dyDescent="0.25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5"/>
      <c r="BZ571" s="656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5"/>
      <c r="DJ571" s="116"/>
    </row>
    <row r="572" spans="2:114" ht="15.75" customHeight="1" x14ac:dyDescent="0.25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5"/>
      <c r="BZ572" s="656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5"/>
      <c r="DJ572" s="116"/>
    </row>
    <row r="573" spans="2:114" ht="15.75" customHeight="1" x14ac:dyDescent="0.25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5"/>
      <c r="BZ573" s="656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5"/>
      <c r="DJ573" s="116"/>
    </row>
    <row r="574" spans="2:114" ht="15.75" customHeight="1" x14ac:dyDescent="0.25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5"/>
      <c r="BZ574" s="656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5"/>
      <c r="DJ574" s="116"/>
    </row>
    <row r="575" spans="2:114" ht="15.75" customHeight="1" x14ac:dyDescent="0.25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5"/>
      <c r="BZ575" s="656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5"/>
      <c r="DJ575" s="116"/>
    </row>
    <row r="576" spans="2:114" ht="15.75" customHeight="1" x14ac:dyDescent="0.25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5"/>
      <c r="BZ576" s="656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5"/>
      <c r="DJ576" s="116"/>
    </row>
    <row r="577" spans="2:114" ht="15.75" customHeight="1" x14ac:dyDescent="0.25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5"/>
      <c r="BZ577" s="656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5"/>
      <c r="DJ577" s="116"/>
    </row>
    <row r="578" spans="2:114" ht="15.75" customHeight="1" x14ac:dyDescent="0.25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5"/>
      <c r="BZ578" s="656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5"/>
      <c r="DJ578" s="116"/>
    </row>
    <row r="579" spans="2:114" ht="15.75" customHeight="1" x14ac:dyDescent="0.25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5"/>
      <c r="BZ579" s="656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5"/>
      <c r="DJ579" s="116"/>
    </row>
    <row r="580" spans="2:114" ht="15.75" customHeight="1" x14ac:dyDescent="0.25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5"/>
      <c r="BZ580" s="656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5"/>
      <c r="DJ580" s="116"/>
    </row>
    <row r="581" spans="2:114" ht="15.75" customHeight="1" x14ac:dyDescent="0.25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5"/>
      <c r="BZ581" s="656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5"/>
      <c r="DJ581" s="116"/>
    </row>
    <row r="582" spans="2:114" ht="15.75" customHeight="1" x14ac:dyDescent="0.25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5"/>
      <c r="BZ582" s="656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5"/>
      <c r="DJ582" s="116"/>
    </row>
    <row r="583" spans="2:114" ht="15.75" customHeight="1" x14ac:dyDescent="0.25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5"/>
      <c r="BZ583" s="656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5"/>
      <c r="DJ583" s="116"/>
    </row>
    <row r="584" spans="2:114" ht="15.75" customHeight="1" x14ac:dyDescent="0.25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5"/>
      <c r="BZ584" s="656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5"/>
      <c r="DJ584" s="116"/>
    </row>
    <row r="585" spans="2:114" ht="15.75" customHeight="1" x14ac:dyDescent="0.25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5"/>
      <c r="BZ585" s="656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5"/>
      <c r="DJ585" s="116"/>
    </row>
    <row r="586" spans="2:114" ht="15.75" customHeight="1" x14ac:dyDescent="0.25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5"/>
      <c r="BZ586" s="656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5"/>
      <c r="DJ586" s="116"/>
    </row>
    <row r="587" spans="2:114" ht="15.75" customHeight="1" x14ac:dyDescent="0.25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5"/>
      <c r="BZ587" s="656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5"/>
      <c r="DJ587" s="116"/>
    </row>
    <row r="588" spans="2:114" ht="15.75" customHeight="1" x14ac:dyDescent="0.25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5"/>
      <c r="BZ588" s="656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5"/>
      <c r="DJ588" s="116"/>
    </row>
    <row r="589" spans="2:114" ht="15.75" customHeight="1" x14ac:dyDescent="0.25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5"/>
      <c r="BZ589" s="656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5"/>
      <c r="DJ589" s="116"/>
    </row>
    <row r="590" spans="2:114" ht="15.75" customHeight="1" x14ac:dyDescent="0.25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5"/>
      <c r="BZ590" s="656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5"/>
      <c r="DJ590" s="116"/>
    </row>
    <row r="591" spans="2:114" ht="15.75" customHeight="1" x14ac:dyDescent="0.25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5"/>
      <c r="BZ591" s="656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5"/>
      <c r="DJ591" s="116"/>
    </row>
    <row r="592" spans="2:114" ht="15.75" customHeight="1" x14ac:dyDescent="0.25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5"/>
      <c r="BZ592" s="656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5"/>
      <c r="DJ592" s="116"/>
    </row>
    <row r="593" spans="2:114" ht="15.75" customHeight="1" x14ac:dyDescent="0.25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5"/>
      <c r="BZ593" s="656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5"/>
      <c r="DJ593" s="116"/>
    </row>
    <row r="594" spans="2:114" ht="15.75" customHeight="1" x14ac:dyDescent="0.25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5"/>
      <c r="BZ594" s="656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5"/>
      <c r="DJ594" s="116"/>
    </row>
    <row r="595" spans="2:114" ht="15.75" customHeight="1" x14ac:dyDescent="0.25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5"/>
      <c r="BZ595" s="656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5"/>
      <c r="DJ595" s="116"/>
    </row>
    <row r="596" spans="2:114" ht="15.75" customHeight="1" x14ac:dyDescent="0.25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5"/>
      <c r="BZ596" s="656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5"/>
      <c r="DJ596" s="116"/>
    </row>
    <row r="597" spans="2:114" ht="15.75" customHeight="1" x14ac:dyDescent="0.25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5"/>
      <c r="BZ597" s="656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5"/>
      <c r="DJ597" s="116"/>
    </row>
    <row r="598" spans="2:114" ht="15.75" customHeight="1" x14ac:dyDescent="0.25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5"/>
      <c r="BZ598" s="656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5"/>
      <c r="DJ598" s="116"/>
    </row>
    <row r="599" spans="2:114" ht="15.75" customHeight="1" x14ac:dyDescent="0.25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5"/>
      <c r="BZ599" s="656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5"/>
      <c r="DJ599" s="116"/>
    </row>
    <row r="600" spans="2:114" ht="15.75" customHeight="1" x14ac:dyDescent="0.25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5"/>
      <c r="BZ600" s="656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5"/>
      <c r="DJ600" s="116"/>
    </row>
    <row r="601" spans="2:114" ht="15.75" customHeight="1" x14ac:dyDescent="0.25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5"/>
      <c r="BZ601" s="656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5"/>
      <c r="DJ601" s="116"/>
    </row>
    <row r="602" spans="2:114" ht="15.75" customHeight="1" x14ac:dyDescent="0.25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5"/>
      <c r="BZ602" s="656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5"/>
      <c r="DJ602" s="116"/>
    </row>
    <row r="603" spans="2:114" ht="15.75" customHeight="1" x14ac:dyDescent="0.25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5"/>
      <c r="BZ603" s="656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5"/>
      <c r="DJ603" s="116"/>
    </row>
    <row r="604" spans="2:114" ht="15.75" customHeight="1" x14ac:dyDescent="0.25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5"/>
      <c r="BZ604" s="656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5"/>
      <c r="DJ604" s="116"/>
    </row>
    <row r="605" spans="2:114" ht="15.75" customHeight="1" x14ac:dyDescent="0.25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5"/>
      <c r="BZ605" s="656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5"/>
      <c r="DJ605" s="116"/>
    </row>
    <row r="606" spans="2:114" ht="15.75" customHeight="1" x14ac:dyDescent="0.25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5"/>
      <c r="BZ606" s="656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5"/>
      <c r="DJ606" s="116"/>
    </row>
    <row r="607" spans="2:114" ht="15.75" customHeight="1" x14ac:dyDescent="0.25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5"/>
      <c r="BZ607" s="656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5"/>
      <c r="DJ607" s="116"/>
    </row>
    <row r="608" spans="2:114" ht="15.75" customHeight="1" x14ac:dyDescent="0.25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5"/>
      <c r="BZ608" s="656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5"/>
      <c r="DJ608" s="116"/>
    </row>
    <row r="609" spans="2:114" ht="15.75" customHeight="1" x14ac:dyDescent="0.25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5"/>
      <c r="BZ609" s="656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5"/>
      <c r="DJ609" s="116"/>
    </row>
    <row r="610" spans="2:114" ht="15.75" customHeight="1" x14ac:dyDescent="0.25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5"/>
      <c r="BZ610" s="656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5"/>
      <c r="DJ610" s="116"/>
    </row>
    <row r="611" spans="2:114" ht="15.75" customHeight="1" x14ac:dyDescent="0.25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5"/>
      <c r="BZ611" s="656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5"/>
      <c r="DJ611" s="116"/>
    </row>
    <row r="612" spans="2:114" ht="15.75" customHeight="1" x14ac:dyDescent="0.25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5"/>
      <c r="BZ612" s="656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5"/>
      <c r="DJ612" s="116"/>
    </row>
    <row r="613" spans="2:114" ht="15.75" customHeight="1" x14ac:dyDescent="0.25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5"/>
      <c r="BZ613" s="656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5"/>
      <c r="DJ613" s="116"/>
    </row>
    <row r="614" spans="2:114" ht="15.75" customHeight="1" x14ac:dyDescent="0.25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5"/>
      <c r="BZ614" s="656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5"/>
      <c r="DJ614" s="116"/>
    </row>
    <row r="615" spans="2:114" ht="15.75" customHeight="1" x14ac:dyDescent="0.25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5"/>
      <c r="BZ615" s="656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5"/>
      <c r="DJ615" s="116"/>
    </row>
    <row r="616" spans="2:114" ht="15.75" customHeight="1" x14ac:dyDescent="0.25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5"/>
      <c r="BZ616" s="656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5"/>
      <c r="DJ616" s="116"/>
    </row>
    <row r="617" spans="2:114" ht="15.75" customHeight="1" x14ac:dyDescent="0.25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5"/>
      <c r="BZ617" s="656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5"/>
      <c r="DJ617" s="116"/>
    </row>
    <row r="618" spans="2:114" ht="15.75" customHeight="1" x14ac:dyDescent="0.25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5"/>
      <c r="BZ618" s="656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5"/>
      <c r="DJ618" s="116"/>
    </row>
    <row r="619" spans="2:114" ht="15.75" customHeight="1" x14ac:dyDescent="0.25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5"/>
      <c r="BZ619" s="656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5"/>
      <c r="DJ619" s="116"/>
    </row>
    <row r="620" spans="2:114" ht="15.75" customHeight="1" x14ac:dyDescent="0.25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5"/>
      <c r="BZ620" s="656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5"/>
      <c r="DJ620" s="116"/>
    </row>
    <row r="621" spans="2:114" ht="15.75" customHeight="1" x14ac:dyDescent="0.25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5"/>
      <c r="BZ621" s="656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5"/>
      <c r="DJ621" s="116"/>
    </row>
    <row r="622" spans="2:114" ht="15.75" customHeight="1" x14ac:dyDescent="0.25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5"/>
      <c r="BZ622" s="656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5"/>
      <c r="DJ622" s="116"/>
    </row>
    <row r="623" spans="2:114" ht="15.75" customHeight="1" x14ac:dyDescent="0.25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5"/>
      <c r="BZ623" s="656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5"/>
      <c r="DJ623" s="116"/>
    </row>
    <row r="624" spans="2:114" ht="15.75" customHeight="1" x14ac:dyDescent="0.25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5"/>
      <c r="BZ624" s="656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5"/>
      <c r="DJ624" s="116"/>
    </row>
    <row r="625" spans="2:114" ht="15.75" customHeight="1" x14ac:dyDescent="0.25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5"/>
      <c r="BZ625" s="656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5"/>
      <c r="DJ625" s="116"/>
    </row>
    <row r="626" spans="2:114" ht="15.75" customHeight="1" x14ac:dyDescent="0.25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5"/>
      <c r="BZ626" s="656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5"/>
      <c r="DJ626" s="116"/>
    </row>
    <row r="627" spans="2:114" ht="15.75" customHeight="1" x14ac:dyDescent="0.25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5"/>
      <c r="BZ627" s="656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5"/>
      <c r="DJ627" s="116"/>
    </row>
    <row r="628" spans="2:114" ht="15.75" customHeight="1" x14ac:dyDescent="0.25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5"/>
      <c r="BZ628" s="656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5"/>
      <c r="DJ628" s="116"/>
    </row>
    <row r="629" spans="2:114" ht="15.75" customHeight="1" x14ac:dyDescent="0.25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5"/>
      <c r="BZ629" s="656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5"/>
      <c r="DJ629" s="116"/>
    </row>
    <row r="630" spans="2:114" ht="15.75" customHeight="1" x14ac:dyDescent="0.25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5"/>
      <c r="BZ630" s="656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5"/>
      <c r="DJ630" s="116"/>
    </row>
    <row r="631" spans="2:114" ht="15.75" customHeight="1" x14ac:dyDescent="0.25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5"/>
      <c r="BZ631" s="656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5"/>
      <c r="DJ631" s="116"/>
    </row>
    <row r="632" spans="2:114" ht="15.75" customHeight="1" x14ac:dyDescent="0.25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5"/>
      <c r="BZ632" s="656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5"/>
      <c r="DJ632" s="116"/>
    </row>
    <row r="633" spans="2:114" ht="15.75" customHeight="1" x14ac:dyDescent="0.25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5"/>
      <c r="BZ633" s="656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5"/>
      <c r="DJ633" s="116"/>
    </row>
    <row r="634" spans="2:114" ht="15.75" customHeight="1" x14ac:dyDescent="0.25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5"/>
      <c r="BZ634" s="656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5"/>
      <c r="DJ634" s="116"/>
    </row>
    <row r="635" spans="2:114" ht="15.75" customHeight="1" x14ac:dyDescent="0.25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5"/>
      <c r="BZ635" s="656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5"/>
      <c r="DJ635" s="116"/>
    </row>
    <row r="636" spans="2:114" ht="15.75" customHeight="1" x14ac:dyDescent="0.25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5"/>
      <c r="BZ636" s="656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5"/>
      <c r="DJ636" s="116"/>
    </row>
    <row r="637" spans="2:114" ht="15.75" customHeight="1" x14ac:dyDescent="0.25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5"/>
      <c r="BZ637" s="656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5"/>
      <c r="DJ637" s="116"/>
    </row>
    <row r="638" spans="2:114" ht="15.75" customHeight="1" x14ac:dyDescent="0.25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5"/>
      <c r="BZ638" s="656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5"/>
      <c r="DJ638" s="116"/>
    </row>
    <row r="639" spans="2:114" ht="15.75" customHeight="1" x14ac:dyDescent="0.25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5"/>
      <c r="BZ639" s="656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5"/>
      <c r="DJ639" s="116"/>
    </row>
    <row r="640" spans="2:114" ht="15.75" customHeight="1" x14ac:dyDescent="0.25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5"/>
      <c r="BZ640" s="656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5"/>
      <c r="DJ640" s="116"/>
    </row>
    <row r="641" spans="2:114" ht="15.75" customHeight="1" x14ac:dyDescent="0.25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5"/>
      <c r="BZ641" s="656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5"/>
      <c r="DJ641" s="116"/>
    </row>
    <row r="642" spans="2:114" ht="15.75" customHeight="1" x14ac:dyDescent="0.25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5"/>
      <c r="BZ642" s="656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5"/>
      <c r="DJ642" s="116"/>
    </row>
    <row r="643" spans="2:114" ht="15.75" customHeight="1" x14ac:dyDescent="0.25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5"/>
      <c r="BZ643" s="656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5"/>
      <c r="DJ643" s="116"/>
    </row>
    <row r="644" spans="2:114" ht="15.75" customHeight="1" x14ac:dyDescent="0.25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5"/>
      <c r="BZ644" s="656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5"/>
      <c r="DJ644" s="116"/>
    </row>
    <row r="645" spans="2:114" ht="15.75" customHeight="1" x14ac:dyDescent="0.25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5"/>
      <c r="BZ645" s="656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5"/>
      <c r="DJ645" s="116"/>
    </row>
    <row r="646" spans="2:114" ht="15.75" customHeight="1" x14ac:dyDescent="0.25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5"/>
      <c r="BZ646" s="656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5"/>
      <c r="DJ646" s="116"/>
    </row>
    <row r="647" spans="2:114" ht="15.75" customHeight="1" x14ac:dyDescent="0.25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5"/>
      <c r="BZ647" s="656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5"/>
      <c r="DJ647" s="116"/>
    </row>
    <row r="648" spans="2:114" ht="15.75" customHeight="1" x14ac:dyDescent="0.25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5"/>
      <c r="BZ648" s="656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5"/>
      <c r="DJ648" s="116"/>
    </row>
    <row r="649" spans="2:114" ht="15.75" customHeight="1" x14ac:dyDescent="0.25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5"/>
      <c r="BZ649" s="656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5"/>
      <c r="DJ649" s="116"/>
    </row>
    <row r="650" spans="2:114" ht="15.75" customHeight="1" x14ac:dyDescent="0.25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5"/>
      <c r="BZ650" s="656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5"/>
      <c r="DJ650" s="116"/>
    </row>
    <row r="651" spans="2:114" ht="15.75" customHeight="1" x14ac:dyDescent="0.25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5"/>
      <c r="BZ651" s="656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5"/>
      <c r="DJ651" s="116"/>
    </row>
    <row r="652" spans="2:114" ht="15.75" customHeight="1" x14ac:dyDescent="0.25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5"/>
      <c r="BZ652" s="656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5"/>
      <c r="DJ652" s="116"/>
    </row>
    <row r="653" spans="2:114" ht="15.75" customHeight="1" x14ac:dyDescent="0.25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5"/>
      <c r="BZ653" s="656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5"/>
      <c r="DJ653" s="116"/>
    </row>
    <row r="654" spans="2:114" ht="15.75" customHeight="1" x14ac:dyDescent="0.25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5"/>
      <c r="BZ654" s="656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5"/>
      <c r="DJ654" s="116"/>
    </row>
    <row r="655" spans="2:114" ht="15.75" customHeight="1" x14ac:dyDescent="0.25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5"/>
      <c r="BZ655" s="656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5"/>
      <c r="DJ655" s="116"/>
    </row>
    <row r="656" spans="2:114" ht="15.75" customHeight="1" x14ac:dyDescent="0.25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5"/>
      <c r="BZ656" s="656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5"/>
      <c r="DJ656" s="116"/>
    </row>
    <row r="657" spans="2:114" ht="15.75" customHeight="1" x14ac:dyDescent="0.25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5"/>
      <c r="BZ657" s="656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5"/>
      <c r="DJ657" s="116"/>
    </row>
    <row r="658" spans="2:114" ht="15.75" customHeight="1" x14ac:dyDescent="0.25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5"/>
      <c r="BZ658" s="656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5"/>
      <c r="DJ658" s="116"/>
    </row>
    <row r="659" spans="2:114" ht="15.75" customHeight="1" x14ac:dyDescent="0.25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5"/>
      <c r="BZ659" s="656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5"/>
      <c r="DJ659" s="116"/>
    </row>
    <row r="660" spans="2:114" ht="15.75" customHeight="1" x14ac:dyDescent="0.25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5"/>
      <c r="BZ660" s="656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5"/>
      <c r="DJ660" s="116"/>
    </row>
    <row r="661" spans="2:114" ht="15.75" customHeight="1" x14ac:dyDescent="0.25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5"/>
      <c r="BZ661" s="656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5"/>
      <c r="DJ661" s="116"/>
    </row>
    <row r="662" spans="2:114" ht="15.75" customHeight="1" x14ac:dyDescent="0.25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5"/>
      <c r="BZ662" s="656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5"/>
      <c r="DJ662" s="116"/>
    </row>
    <row r="663" spans="2:114" ht="15.75" customHeight="1" x14ac:dyDescent="0.25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5"/>
      <c r="BZ663" s="656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5"/>
      <c r="DJ663" s="116"/>
    </row>
    <row r="664" spans="2:114" ht="15.75" customHeight="1" x14ac:dyDescent="0.25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5"/>
      <c r="BZ664" s="656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5"/>
      <c r="DJ664" s="116"/>
    </row>
    <row r="665" spans="2:114" ht="15.75" customHeight="1" x14ac:dyDescent="0.25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5"/>
      <c r="BZ665" s="656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5"/>
      <c r="DJ665" s="116"/>
    </row>
    <row r="666" spans="2:114" ht="15.75" customHeight="1" x14ac:dyDescent="0.25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5"/>
      <c r="BZ666" s="656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5"/>
      <c r="DJ666" s="116"/>
    </row>
    <row r="667" spans="2:114" ht="15.75" customHeight="1" x14ac:dyDescent="0.25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5"/>
      <c r="BZ667" s="656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5"/>
      <c r="DJ667" s="116"/>
    </row>
    <row r="668" spans="2:114" ht="15.75" customHeight="1" x14ac:dyDescent="0.25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5"/>
      <c r="BZ668" s="656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5"/>
      <c r="DJ668" s="116"/>
    </row>
    <row r="669" spans="2:114" ht="15.75" customHeight="1" x14ac:dyDescent="0.25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5"/>
      <c r="BZ669" s="656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5"/>
      <c r="DJ669" s="116"/>
    </row>
    <row r="670" spans="2:114" ht="15.75" customHeight="1" x14ac:dyDescent="0.25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5"/>
      <c r="BZ670" s="656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5"/>
      <c r="DJ670" s="116"/>
    </row>
    <row r="671" spans="2:114" ht="15.75" customHeight="1" x14ac:dyDescent="0.25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5"/>
      <c r="BZ671" s="656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5"/>
      <c r="DJ671" s="116"/>
    </row>
    <row r="672" spans="2:114" ht="15.75" customHeight="1" x14ac:dyDescent="0.25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5"/>
      <c r="BZ672" s="656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5"/>
      <c r="DJ672" s="116"/>
    </row>
    <row r="673" spans="2:114" ht="15.75" customHeight="1" x14ac:dyDescent="0.25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5"/>
      <c r="BZ673" s="656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5"/>
      <c r="DJ673" s="116"/>
    </row>
    <row r="674" spans="2:114" ht="15.75" customHeight="1" x14ac:dyDescent="0.25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5"/>
      <c r="BZ674" s="656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5"/>
      <c r="DJ674" s="116"/>
    </row>
    <row r="675" spans="2:114" ht="15.75" customHeight="1" x14ac:dyDescent="0.25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5"/>
      <c r="BZ675" s="656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5"/>
      <c r="DJ675" s="116"/>
    </row>
    <row r="676" spans="2:114" ht="15.75" customHeight="1" x14ac:dyDescent="0.25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5"/>
      <c r="BZ676" s="656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5"/>
      <c r="DJ676" s="116"/>
    </row>
    <row r="677" spans="2:114" ht="15.75" customHeight="1" x14ac:dyDescent="0.25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5"/>
      <c r="BZ677" s="656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5"/>
      <c r="DJ677" s="116"/>
    </row>
    <row r="678" spans="2:114" ht="15.75" customHeight="1" x14ac:dyDescent="0.25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5"/>
      <c r="BZ678" s="656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5"/>
      <c r="DJ678" s="116"/>
    </row>
    <row r="679" spans="2:114" ht="15.75" customHeight="1" x14ac:dyDescent="0.25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5"/>
      <c r="BZ679" s="656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5"/>
      <c r="DJ679" s="116"/>
    </row>
    <row r="680" spans="2:114" ht="15.75" customHeight="1" x14ac:dyDescent="0.25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5"/>
      <c r="BZ680" s="656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5"/>
      <c r="DJ680" s="116"/>
    </row>
    <row r="681" spans="2:114" ht="15.75" customHeight="1" x14ac:dyDescent="0.25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5"/>
      <c r="BZ681" s="656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5"/>
      <c r="DJ681" s="116"/>
    </row>
    <row r="682" spans="2:114" ht="15.75" customHeight="1" x14ac:dyDescent="0.25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5"/>
      <c r="BZ682" s="656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5"/>
      <c r="DJ682" s="116"/>
    </row>
    <row r="683" spans="2:114" ht="15.75" customHeight="1" x14ac:dyDescent="0.25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5"/>
      <c r="BZ683" s="656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5"/>
      <c r="DJ683" s="116"/>
    </row>
    <row r="684" spans="2:114" ht="15.75" customHeight="1" x14ac:dyDescent="0.25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5"/>
      <c r="BZ684" s="656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5"/>
      <c r="DJ684" s="116"/>
    </row>
    <row r="685" spans="2:114" ht="15.75" customHeight="1" x14ac:dyDescent="0.25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5"/>
      <c r="BZ685" s="656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5"/>
      <c r="DJ685" s="116"/>
    </row>
    <row r="686" spans="2:114" ht="15.75" customHeight="1" x14ac:dyDescent="0.25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5"/>
      <c r="BZ686" s="656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5"/>
      <c r="DJ686" s="116"/>
    </row>
    <row r="687" spans="2:114" ht="15.75" customHeight="1" x14ac:dyDescent="0.25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5"/>
      <c r="BZ687" s="656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5"/>
      <c r="DJ687" s="116"/>
    </row>
    <row r="688" spans="2:114" ht="15.75" customHeight="1" x14ac:dyDescent="0.25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5"/>
      <c r="BZ688" s="656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5"/>
      <c r="DJ688" s="116"/>
    </row>
    <row r="689" spans="2:114" ht="15.75" customHeight="1" x14ac:dyDescent="0.25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5"/>
      <c r="BZ689" s="656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5"/>
      <c r="DJ689" s="116"/>
    </row>
    <row r="690" spans="2:114" ht="15.75" customHeight="1" x14ac:dyDescent="0.25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5"/>
      <c r="BZ690" s="656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5"/>
      <c r="DJ690" s="116"/>
    </row>
    <row r="691" spans="2:114" ht="15.75" customHeight="1" x14ac:dyDescent="0.25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5"/>
      <c r="BZ691" s="656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5"/>
      <c r="DJ691" s="116"/>
    </row>
    <row r="692" spans="2:114" ht="15.75" customHeight="1" x14ac:dyDescent="0.25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5"/>
      <c r="BZ692" s="656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5"/>
      <c r="DJ692" s="116"/>
    </row>
    <row r="693" spans="2:114" ht="15.75" customHeight="1" x14ac:dyDescent="0.25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5"/>
      <c r="BZ693" s="656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5"/>
      <c r="DJ693" s="116"/>
    </row>
    <row r="694" spans="2:114" ht="15.75" customHeight="1" x14ac:dyDescent="0.25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5"/>
      <c r="BZ694" s="656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5"/>
      <c r="DJ694" s="116"/>
    </row>
    <row r="695" spans="2:114" ht="15.75" customHeight="1" x14ac:dyDescent="0.25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5"/>
      <c r="BZ695" s="656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5"/>
      <c r="DJ695" s="116"/>
    </row>
    <row r="696" spans="2:114" ht="15.75" customHeight="1" x14ac:dyDescent="0.25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5"/>
      <c r="BZ696" s="656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5"/>
      <c r="DJ696" s="116"/>
    </row>
    <row r="697" spans="2:114" ht="15.75" customHeight="1" x14ac:dyDescent="0.25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5"/>
      <c r="BZ697" s="656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5"/>
      <c r="DJ697" s="116"/>
    </row>
    <row r="698" spans="2:114" ht="15.75" customHeight="1" x14ac:dyDescent="0.25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5"/>
      <c r="BZ698" s="656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5"/>
      <c r="DJ698" s="116"/>
    </row>
    <row r="699" spans="2:114" ht="15.75" customHeight="1" x14ac:dyDescent="0.25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5"/>
      <c r="BZ699" s="656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5"/>
      <c r="DJ699" s="116"/>
    </row>
    <row r="700" spans="2:114" ht="15.75" customHeight="1" x14ac:dyDescent="0.25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5"/>
      <c r="BZ700" s="656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5"/>
      <c r="DJ700" s="116"/>
    </row>
    <row r="701" spans="2:114" ht="15.75" customHeight="1" x14ac:dyDescent="0.25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5"/>
      <c r="BZ701" s="656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5"/>
      <c r="DJ701" s="116"/>
    </row>
    <row r="702" spans="2:114" ht="15.75" customHeight="1" x14ac:dyDescent="0.25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5"/>
      <c r="BZ702" s="656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5"/>
      <c r="DJ702" s="116"/>
    </row>
    <row r="703" spans="2:114" ht="15.75" customHeight="1" x14ac:dyDescent="0.25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5"/>
      <c r="BZ703" s="656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5"/>
      <c r="DJ703" s="116"/>
    </row>
    <row r="704" spans="2:114" ht="15.75" customHeight="1" x14ac:dyDescent="0.25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5"/>
      <c r="BZ704" s="656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5"/>
      <c r="DJ704" s="116"/>
    </row>
    <row r="705" spans="2:114" ht="15.75" customHeight="1" x14ac:dyDescent="0.25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5"/>
      <c r="BZ705" s="656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5"/>
      <c r="DJ705" s="116"/>
    </row>
    <row r="706" spans="2:114" ht="15.75" customHeight="1" x14ac:dyDescent="0.25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5"/>
      <c r="BZ706" s="656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5"/>
      <c r="DJ706" s="116"/>
    </row>
    <row r="707" spans="2:114" ht="15.75" customHeight="1" x14ac:dyDescent="0.25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5"/>
      <c r="BZ707" s="656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5"/>
      <c r="DJ707" s="116"/>
    </row>
    <row r="708" spans="2:114" ht="15.75" customHeight="1" x14ac:dyDescent="0.25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5"/>
      <c r="BZ708" s="656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5"/>
      <c r="DJ708" s="116"/>
    </row>
    <row r="709" spans="2:114" ht="15.75" customHeight="1" x14ac:dyDescent="0.25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5"/>
      <c r="BZ709" s="656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5"/>
      <c r="DJ709" s="116"/>
    </row>
    <row r="710" spans="2:114" ht="15.75" customHeight="1" x14ac:dyDescent="0.25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5"/>
      <c r="BZ710" s="656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5"/>
      <c r="DJ710" s="116"/>
    </row>
    <row r="711" spans="2:114" ht="15.75" customHeight="1" x14ac:dyDescent="0.25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5"/>
      <c r="BZ711" s="656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5"/>
      <c r="DJ711" s="116"/>
    </row>
    <row r="712" spans="2:114" ht="15.75" customHeight="1" x14ac:dyDescent="0.25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5"/>
      <c r="BZ712" s="656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5"/>
      <c r="DJ712" s="116"/>
    </row>
    <row r="713" spans="2:114" ht="15.75" customHeight="1" x14ac:dyDescent="0.25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5"/>
      <c r="BZ713" s="656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5"/>
      <c r="DJ713" s="116"/>
    </row>
    <row r="714" spans="2:114" ht="15.75" customHeight="1" x14ac:dyDescent="0.25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5"/>
      <c r="BZ714" s="656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5"/>
      <c r="DJ714" s="116"/>
    </row>
    <row r="715" spans="2:114" ht="15.75" customHeight="1" x14ac:dyDescent="0.25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5"/>
      <c r="BZ715" s="656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5"/>
      <c r="DJ715" s="116"/>
    </row>
    <row r="716" spans="2:114" ht="15.75" customHeight="1" x14ac:dyDescent="0.25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5"/>
      <c r="BZ716" s="656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5"/>
      <c r="DJ716" s="116"/>
    </row>
    <row r="717" spans="2:114" ht="15.75" customHeight="1" x14ac:dyDescent="0.25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5"/>
      <c r="BZ717" s="656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5"/>
      <c r="DJ717" s="116"/>
    </row>
    <row r="718" spans="2:114" ht="15.75" customHeight="1" x14ac:dyDescent="0.25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5"/>
      <c r="BZ718" s="656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5"/>
      <c r="DJ718" s="116"/>
    </row>
    <row r="719" spans="2:114" ht="15.75" customHeight="1" x14ac:dyDescent="0.25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5"/>
      <c r="BZ719" s="656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5"/>
      <c r="DJ719" s="116"/>
    </row>
    <row r="720" spans="2:114" ht="15.75" customHeight="1" x14ac:dyDescent="0.25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5"/>
      <c r="BZ720" s="656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5"/>
      <c r="DJ720" s="116"/>
    </row>
    <row r="721" spans="2:114" ht="15.75" customHeight="1" x14ac:dyDescent="0.25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5"/>
      <c r="BZ721" s="656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5"/>
      <c r="DJ721" s="116"/>
    </row>
    <row r="722" spans="2:114" ht="15.75" customHeight="1" x14ac:dyDescent="0.25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5"/>
      <c r="BZ722" s="656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5"/>
      <c r="DJ722" s="116"/>
    </row>
    <row r="723" spans="2:114" ht="15.75" customHeight="1" x14ac:dyDescent="0.25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5"/>
      <c r="BZ723" s="656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5"/>
      <c r="DJ723" s="116"/>
    </row>
    <row r="724" spans="2:114" ht="15.75" customHeight="1" x14ac:dyDescent="0.25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5"/>
      <c r="BZ724" s="656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5"/>
      <c r="DJ724" s="116"/>
    </row>
    <row r="725" spans="2:114" ht="15.75" customHeight="1" x14ac:dyDescent="0.25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5"/>
      <c r="BZ725" s="656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5"/>
      <c r="DJ725" s="116"/>
    </row>
    <row r="726" spans="2:114" ht="15.75" customHeight="1" x14ac:dyDescent="0.25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5"/>
      <c r="BZ726" s="656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5"/>
      <c r="DJ726" s="116"/>
    </row>
    <row r="727" spans="2:114" ht="15.75" customHeight="1" x14ac:dyDescent="0.25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5"/>
      <c r="BZ727" s="656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5"/>
      <c r="DJ727" s="116"/>
    </row>
    <row r="728" spans="2:114" ht="15.75" customHeight="1" x14ac:dyDescent="0.25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5"/>
      <c r="BZ728" s="656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5"/>
      <c r="DJ728" s="116"/>
    </row>
    <row r="729" spans="2:114" ht="15.75" customHeight="1" x14ac:dyDescent="0.25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5"/>
      <c r="BZ729" s="656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5"/>
      <c r="DJ729" s="116"/>
    </row>
    <row r="730" spans="2:114" ht="15.75" customHeight="1" x14ac:dyDescent="0.25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5"/>
      <c r="BZ730" s="656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5"/>
      <c r="DJ730" s="116"/>
    </row>
    <row r="731" spans="2:114" ht="15.75" customHeight="1" x14ac:dyDescent="0.25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5"/>
      <c r="BZ731" s="656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5"/>
      <c r="DJ731" s="116"/>
    </row>
    <row r="732" spans="2:114" ht="15.75" customHeight="1" x14ac:dyDescent="0.25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5"/>
      <c r="BZ732" s="656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5"/>
      <c r="DJ732" s="116"/>
    </row>
    <row r="733" spans="2:114" ht="15.75" customHeight="1" x14ac:dyDescent="0.25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5"/>
      <c r="BZ733" s="656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5"/>
      <c r="DJ733" s="116"/>
    </row>
    <row r="734" spans="2:114" ht="15.75" customHeight="1" x14ac:dyDescent="0.25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5"/>
      <c r="BZ734" s="656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5"/>
      <c r="DJ734" s="116"/>
    </row>
    <row r="735" spans="2:114" ht="15.75" customHeight="1" x14ac:dyDescent="0.25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5"/>
      <c r="BZ735" s="656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5"/>
      <c r="DJ735" s="116"/>
    </row>
    <row r="736" spans="2:114" ht="15.75" customHeight="1" x14ac:dyDescent="0.25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5"/>
      <c r="BZ736" s="656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5"/>
      <c r="DJ736" s="116"/>
    </row>
    <row r="737" spans="2:114" ht="15.75" customHeight="1" x14ac:dyDescent="0.25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5"/>
      <c r="BZ737" s="656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5"/>
      <c r="DJ737" s="116"/>
    </row>
    <row r="738" spans="2:114" ht="15.75" customHeight="1" x14ac:dyDescent="0.25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5"/>
      <c r="BZ738" s="656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5"/>
      <c r="DJ738" s="116"/>
    </row>
    <row r="739" spans="2:114" ht="15.75" customHeight="1" x14ac:dyDescent="0.25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5"/>
      <c r="BZ739" s="656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5"/>
      <c r="DJ739" s="116"/>
    </row>
    <row r="740" spans="2:114" ht="15.75" customHeight="1" x14ac:dyDescent="0.25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5"/>
      <c r="BZ740" s="656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5"/>
      <c r="DJ740" s="116"/>
    </row>
    <row r="741" spans="2:114" ht="15.75" customHeight="1" x14ac:dyDescent="0.25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5"/>
      <c r="BZ741" s="656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5"/>
      <c r="DJ741" s="116"/>
    </row>
    <row r="742" spans="2:114" ht="15.75" customHeight="1" x14ac:dyDescent="0.25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5"/>
      <c r="BZ742" s="656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5"/>
      <c r="DJ742" s="116"/>
    </row>
    <row r="743" spans="2:114" ht="15.75" customHeight="1" x14ac:dyDescent="0.25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5"/>
      <c r="BZ743" s="656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5"/>
      <c r="DJ743" s="116"/>
    </row>
    <row r="744" spans="2:114" ht="15.75" customHeight="1" x14ac:dyDescent="0.25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5"/>
      <c r="BZ744" s="656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5"/>
      <c r="DJ744" s="116"/>
    </row>
    <row r="745" spans="2:114" ht="15.75" customHeight="1" x14ac:dyDescent="0.25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5"/>
      <c r="BZ745" s="656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5"/>
      <c r="DJ745" s="116"/>
    </row>
    <row r="746" spans="2:114" ht="15.75" customHeight="1" x14ac:dyDescent="0.25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5"/>
      <c r="BZ746" s="656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5"/>
      <c r="DJ746" s="116"/>
    </row>
    <row r="747" spans="2:114" ht="15.75" customHeight="1" x14ac:dyDescent="0.25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5"/>
      <c r="BZ747" s="656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5"/>
      <c r="DJ747" s="116"/>
    </row>
    <row r="748" spans="2:114" ht="15.75" customHeight="1" x14ac:dyDescent="0.25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5"/>
      <c r="BZ748" s="656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5"/>
      <c r="DJ748" s="116"/>
    </row>
    <row r="749" spans="2:114" ht="15.75" customHeight="1" x14ac:dyDescent="0.25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5"/>
      <c r="BZ749" s="656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5"/>
      <c r="DJ749" s="116"/>
    </row>
    <row r="750" spans="2:114" ht="15.75" customHeight="1" x14ac:dyDescent="0.25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5"/>
      <c r="BZ750" s="656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5"/>
      <c r="DJ750" s="116"/>
    </row>
    <row r="751" spans="2:114" ht="15.75" customHeight="1" x14ac:dyDescent="0.25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5"/>
      <c r="BZ751" s="656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5"/>
      <c r="DJ751" s="116"/>
    </row>
    <row r="752" spans="2:114" ht="15.75" customHeight="1" x14ac:dyDescent="0.25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5"/>
      <c r="BZ752" s="656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5"/>
      <c r="DJ752" s="116"/>
    </row>
    <row r="753" spans="2:114" ht="15.75" customHeight="1" x14ac:dyDescent="0.25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5"/>
      <c r="BZ753" s="656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5"/>
      <c r="DJ753" s="116"/>
    </row>
    <row r="754" spans="2:114" ht="15.75" customHeight="1" x14ac:dyDescent="0.25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5"/>
      <c r="BZ754" s="656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5"/>
      <c r="DJ754" s="116"/>
    </row>
    <row r="755" spans="2:114" ht="15.75" customHeight="1" x14ac:dyDescent="0.25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5"/>
      <c r="BZ755" s="656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5"/>
      <c r="DJ755" s="116"/>
    </row>
    <row r="756" spans="2:114" ht="15.75" customHeight="1" x14ac:dyDescent="0.25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5"/>
      <c r="BZ756" s="656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5"/>
      <c r="DJ756" s="116"/>
    </row>
    <row r="757" spans="2:114" ht="15.75" customHeight="1" x14ac:dyDescent="0.25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5"/>
      <c r="BZ757" s="656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5"/>
      <c r="DJ757" s="116"/>
    </row>
    <row r="758" spans="2:114" ht="15.75" customHeight="1" x14ac:dyDescent="0.25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5"/>
      <c r="BZ758" s="656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5"/>
      <c r="DJ758" s="116"/>
    </row>
    <row r="759" spans="2:114" ht="15.75" customHeight="1" x14ac:dyDescent="0.25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5"/>
      <c r="BZ759" s="656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5"/>
      <c r="DJ759" s="116"/>
    </row>
    <row r="760" spans="2:114" ht="15.75" customHeight="1" x14ac:dyDescent="0.25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5"/>
      <c r="BZ760" s="656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5"/>
      <c r="DJ760" s="116"/>
    </row>
    <row r="761" spans="2:114" ht="15.75" customHeight="1" x14ac:dyDescent="0.25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5"/>
      <c r="BZ761" s="656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5"/>
      <c r="DJ761" s="116"/>
    </row>
    <row r="762" spans="2:114" ht="15.75" customHeight="1" x14ac:dyDescent="0.25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5"/>
      <c r="BZ762" s="656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5"/>
      <c r="DJ762" s="116"/>
    </row>
    <row r="763" spans="2:114" ht="15.75" customHeight="1" x14ac:dyDescent="0.25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5"/>
      <c r="BZ763" s="656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5"/>
      <c r="DJ763" s="116"/>
    </row>
    <row r="764" spans="2:114" ht="15.75" customHeight="1" x14ac:dyDescent="0.25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5"/>
      <c r="BZ764" s="656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5"/>
      <c r="DJ764" s="116"/>
    </row>
    <row r="765" spans="2:114" ht="15.75" customHeight="1" x14ac:dyDescent="0.25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5"/>
      <c r="BZ765" s="656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5"/>
      <c r="DJ765" s="116"/>
    </row>
    <row r="766" spans="2:114" ht="15.75" customHeight="1" x14ac:dyDescent="0.25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5"/>
      <c r="BZ766" s="656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5"/>
      <c r="DJ766" s="116"/>
    </row>
    <row r="767" spans="2:114" ht="15.75" customHeight="1" x14ac:dyDescent="0.25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5"/>
      <c r="BZ767" s="656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5"/>
      <c r="DJ767" s="116"/>
    </row>
    <row r="768" spans="2:114" ht="15.75" customHeight="1" x14ac:dyDescent="0.25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5"/>
      <c r="BZ768" s="656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5"/>
      <c r="DJ768" s="116"/>
    </row>
    <row r="769" spans="2:114" ht="15.75" customHeight="1" x14ac:dyDescent="0.25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5"/>
      <c r="BZ769" s="656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5"/>
      <c r="DJ769" s="116"/>
    </row>
    <row r="770" spans="2:114" ht="15.75" customHeight="1" x14ac:dyDescent="0.25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5"/>
      <c r="BZ770" s="656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5"/>
      <c r="DJ770" s="116"/>
    </row>
    <row r="771" spans="2:114" ht="15.75" customHeight="1" x14ac:dyDescent="0.25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5"/>
      <c r="BZ771" s="656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5"/>
      <c r="DJ771" s="116"/>
    </row>
    <row r="772" spans="2:114" ht="15.75" customHeight="1" x14ac:dyDescent="0.25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5"/>
      <c r="BZ772" s="656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5"/>
      <c r="DJ772" s="116"/>
    </row>
    <row r="773" spans="2:114" ht="15.75" customHeight="1" x14ac:dyDescent="0.25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5"/>
      <c r="BZ773" s="656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5"/>
      <c r="DJ773" s="116"/>
    </row>
    <row r="774" spans="2:114" ht="15.75" customHeight="1" x14ac:dyDescent="0.25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5"/>
      <c r="BZ774" s="656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5"/>
      <c r="DJ774" s="116"/>
    </row>
    <row r="775" spans="2:114" ht="15.75" customHeight="1" x14ac:dyDescent="0.25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5"/>
      <c r="BZ775" s="656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5"/>
      <c r="DJ775" s="116"/>
    </row>
    <row r="776" spans="2:114" ht="15.75" customHeight="1" x14ac:dyDescent="0.25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5"/>
      <c r="BZ776" s="656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5"/>
      <c r="DJ776" s="116"/>
    </row>
    <row r="777" spans="2:114" ht="15.75" customHeight="1" x14ac:dyDescent="0.25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5"/>
      <c r="BZ777" s="656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5"/>
      <c r="DJ777" s="116"/>
    </row>
    <row r="778" spans="2:114" ht="15.75" customHeight="1" x14ac:dyDescent="0.25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5"/>
      <c r="BZ778" s="656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5"/>
      <c r="DJ778" s="116"/>
    </row>
    <row r="779" spans="2:114" ht="15.75" customHeight="1" x14ac:dyDescent="0.25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5"/>
      <c r="BZ779" s="656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5"/>
      <c r="DJ779" s="116"/>
    </row>
    <row r="780" spans="2:114" ht="15.75" customHeight="1" x14ac:dyDescent="0.25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5"/>
      <c r="BZ780" s="656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5"/>
      <c r="DJ780" s="116"/>
    </row>
    <row r="781" spans="2:114" ht="15.75" customHeight="1" x14ac:dyDescent="0.25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5"/>
      <c r="BZ781" s="656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5"/>
      <c r="DJ781" s="116"/>
    </row>
    <row r="782" spans="2:114" ht="15.75" customHeight="1" x14ac:dyDescent="0.25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5"/>
      <c r="BZ782" s="656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5"/>
      <c r="DJ782" s="116"/>
    </row>
    <row r="783" spans="2:114" ht="15.75" customHeight="1" x14ac:dyDescent="0.25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5"/>
      <c r="BZ783" s="656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5"/>
      <c r="DJ783" s="116"/>
    </row>
    <row r="784" spans="2:114" ht="15.75" customHeight="1" x14ac:dyDescent="0.25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5"/>
      <c r="BZ784" s="656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5"/>
      <c r="DJ784" s="116"/>
    </row>
    <row r="785" spans="2:114" ht="15.75" customHeight="1" x14ac:dyDescent="0.25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5"/>
      <c r="BZ785" s="656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5"/>
      <c r="DJ785" s="116"/>
    </row>
    <row r="786" spans="2:114" ht="15.75" customHeight="1" x14ac:dyDescent="0.25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5"/>
      <c r="BZ786" s="656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5"/>
      <c r="DJ786" s="116"/>
    </row>
    <row r="787" spans="2:114" ht="15.75" customHeight="1" x14ac:dyDescent="0.25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5"/>
      <c r="BZ787" s="656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5"/>
      <c r="DJ787" s="116"/>
    </row>
    <row r="788" spans="2:114" ht="15.75" customHeight="1" x14ac:dyDescent="0.25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5"/>
      <c r="BZ788" s="656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5"/>
      <c r="DJ788" s="116"/>
    </row>
    <row r="789" spans="2:114" ht="15.75" customHeight="1" x14ac:dyDescent="0.25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5"/>
      <c r="BZ789" s="656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5"/>
      <c r="DJ789" s="116"/>
    </row>
    <row r="790" spans="2:114" ht="15.75" customHeight="1" x14ac:dyDescent="0.25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5"/>
      <c r="BZ790" s="656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5"/>
      <c r="DJ790" s="116"/>
    </row>
    <row r="791" spans="2:114" ht="15.75" customHeight="1" x14ac:dyDescent="0.25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5"/>
      <c r="BZ791" s="656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5"/>
      <c r="DJ791" s="116"/>
    </row>
    <row r="792" spans="2:114" ht="15.75" customHeight="1" x14ac:dyDescent="0.25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5"/>
      <c r="BZ792" s="656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5"/>
      <c r="DJ792" s="116"/>
    </row>
    <row r="793" spans="2:114" ht="15.75" customHeight="1" x14ac:dyDescent="0.25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5"/>
      <c r="BZ793" s="656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5"/>
      <c r="DJ793" s="116"/>
    </row>
    <row r="794" spans="2:114" ht="15.75" customHeight="1" x14ac:dyDescent="0.25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5"/>
      <c r="BZ794" s="656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5"/>
      <c r="DJ794" s="116"/>
    </row>
    <row r="795" spans="2:114" ht="15.75" customHeight="1" x14ac:dyDescent="0.25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5"/>
      <c r="BZ795" s="656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5"/>
      <c r="DJ795" s="116"/>
    </row>
    <row r="796" spans="2:114" ht="15.75" customHeight="1" x14ac:dyDescent="0.25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5"/>
      <c r="BZ796" s="656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5"/>
      <c r="DJ796" s="116"/>
    </row>
    <row r="797" spans="2:114" ht="15.75" customHeight="1" x14ac:dyDescent="0.25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5"/>
      <c r="BZ797" s="656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5"/>
      <c r="DJ797" s="116"/>
    </row>
    <row r="798" spans="2:114" ht="15.75" customHeight="1" x14ac:dyDescent="0.25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5"/>
      <c r="BZ798" s="656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5"/>
      <c r="DJ798" s="116"/>
    </row>
    <row r="799" spans="2:114" ht="15.75" customHeight="1" x14ac:dyDescent="0.25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5"/>
      <c r="BZ799" s="656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5"/>
      <c r="DJ799" s="116"/>
    </row>
    <row r="800" spans="2:114" ht="15.75" customHeight="1" x14ac:dyDescent="0.25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5"/>
      <c r="BZ800" s="656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5"/>
      <c r="DJ800" s="116"/>
    </row>
    <row r="801" spans="2:114" ht="15.75" customHeight="1" x14ac:dyDescent="0.25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5"/>
      <c r="BZ801" s="656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5"/>
      <c r="DJ801" s="116"/>
    </row>
    <row r="802" spans="2:114" ht="15.75" customHeight="1" x14ac:dyDescent="0.25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5"/>
      <c r="BZ802" s="656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5"/>
      <c r="DJ802" s="116"/>
    </row>
    <row r="803" spans="2:114" ht="15.75" customHeight="1" x14ac:dyDescent="0.25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5"/>
      <c r="BZ803" s="656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5"/>
      <c r="DJ803" s="116"/>
    </row>
    <row r="804" spans="2:114" ht="15.75" customHeight="1" x14ac:dyDescent="0.25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5"/>
      <c r="BZ804" s="656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5"/>
      <c r="DJ804" s="116"/>
    </row>
    <row r="805" spans="2:114" ht="15.75" customHeight="1" x14ac:dyDescent="0.25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5"/>
      <c r="BZ805" s="656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5"/>
      <c r="DJ805" s="116"/>
    </row>
    <row r="806" spans="2:114" ht="15.75" customHeight="1" x14ac:dyDescent="0.25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5"/>
      <c r="BZ806" s="656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5"/>
      <c r="DJ806" s="116"/>
    </row>
    <row r="807" spans="2:114" ht="15.75" customHeight="1" x14ac:dyDescent="0.25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5"/>
      <c r="BZ807" s="656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5"/>
      <c r="DJ807" s="116"/>
    </row>
    <row r="808" spans="2:114" ht="15.75" customHeight="1" x14ac:dyDescent="0.25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5"/>
      <c r="BZ808" s="656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5"/>
      <c r="DJ808" s="116"/>
    </row>
    <row r="809" spans="2:114" ht="15.75" customHeight="1" x14ac:dyDescent="0.25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5"/>
      <c r="BZ809" s="656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5"/>
      <c r="DJ809" s="116"/>
    </row>
    <row r="810" spans="2:114" ht="15.75" customHeight="1" x14ac:dyDescent="0.25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5"/>
      <c r="BZ810" s="656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5"/>
      <c r="DJ810" s="116"/>
    </row>
    <row r="811" spans="2:114" ht="15.75" customHeight="1" x14ac:dyDescent="0.25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5"/>
      <c r="BZ811" s="656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5"/>
      <c r="DJ811" s="116"/>
    </row>
    <row r="812" spans="2:114" ht="15.75" customHeight="1" x14ac:dyDescent="0.25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5"/>
      <c r="BZ812" s="656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5"/>
      <c r="DJ812" s="116"/>
    </row>
    <row r="813" spans="2:114" ht="15.75" customHeight="1" x14ac:dyDescent="0.25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5"/>
      <c r="BZ813" s="656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5"/>
      <c r="DJ813" s="116"/>
    </row>
    <row r="814" spans="2:114" ht="15.75" customHeight="1" x14ac:dyDescent="0.25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5"/>
      <c r="BZ814" s="656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5"/>
      <c r="DJ814" s="116"/>
    </row>
    <row r="815" spans="2:114" ht="15.75" customHeight="1" x14ac:dyDescent="0.25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5"/>
      <c r="BZ815" s="656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5"/>
      <c r="DJ815" s="116"/>
    </row>
    <row r="816" spans="2:114" ht="15.75" customHeight="1" x14ac:dyDescent="0.25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5"/>
      <c r="BZ816" s="656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5"/>
      <c r="DJ816" s="116"/>
    </row>
    <row r="817" spans="2:114" ht="15.75" customHeight="1" x14ac:dyDescent="0.25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5"/>
      <c r="BZ817" s="656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5"/>
      <c r="DJ817" s="116"/>
    </row>
    <row r="818" spans="2:114" ht="15.75" customHeight="1" x14ac:dyDescent="0.25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5"/>
      <c r="BZ818" s="656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5"/>
      <c r="DJ818" s="116"/>
    </row>
    <row r="819" spans="2:114" ht="15.75" customHeight="1" x14ac:dyDescent="0.25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5"/>
      <c r="BZ819" s="656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5"/>
      <c r="DJ819" s="116"/>
    </row>
    <row r="820" spans="2:114" ht="15.75" customHeight="1" x14ac:dyDescent="0.25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5"/>
      <c r="BZ820" s="656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5"/>
      <c r="DJ820" s="116"/>
    </row>
    <row r="821" spans="2:114" ht="15.75" customHeight="1" x14ac:dyDescent="0.25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5"/>
      <c r="BZ821" s="656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5"/>
      <c r="DJ821" s="116"/>
    </row>
    <row r="822" spans="2:114" ht="15.75" customHeight="1" x14ac:dyDescent="0.25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5"/>
      <c r="BZ822" s="656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5"/>
      <c r="DJ822" s="116"/>
    </row>
    <row r="823" spans="2:114" ht="15.75" customHeight="1" x14ac:dyDescent="0.25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5"/>
      <c r="BZ823" s="656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5"/>
      <c r="DJ823" s="116"/>
    </row>
    <row r="824" spans="2:114" ht="15.75" customHeight="1" x14ac:dyDescent="0.25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5"/>
      <c r="BZ824" s="656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5"/>
      <c r="DJ824" s="116"/>
    </row>
    <row r="825" spans="2:114" ht="15.75" customHeight="1" x14ac:dyDescent="0.25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5"/>
      <c r="BZ825" s="656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5"/>
      <c r="DJ825" s="116"/>
    </row>
    <row r="826" spans="2:114" ht="15.75" customHeight="1" x14ac:dyDescent="0.25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5"/>
      <c r="BZ826" s="656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5"/>
      <c r="DJ826" s="116"/>
    </row>
    <row r="827" spans="2:114" ht="15.75" customHeight="1" x14ac:dyDescent="0.25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5"/>
      <c r="BZ827" s="656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5"/>
      <c r="DJ827" s="116"/>
    </row>
    <row r="828" spans="2:114" ht="15.75" customHeight="1" x14ac:dyDescent="0.25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5"/>
      <c r="BZ828" s="656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5"/>
      <c r="DJ828" s="116"/>
    </row>
    <row r="829" spans="2:114" ht="15.75" customHeight="1" x14ac:dyDescent="0.25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5"/>
      <c r="BZ829" s="656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5"/>
      <c r="DJ829" s="116"/>
    </row>
    <row r="830" spans="2:114" ht="15.75" customHeight="1" x14ac:dyDescent="0.25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5"/>
      <c r="BZ830" s="656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5"/>
      <c r="DJ830" s="116"/>
    </row>
    <row r="831" spans="2:114" ht="15.75" customHeight="1" x14ac:dyDescent="0.25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5"/>
      <c r="BZ831" s="656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5"/>
      <c r="DJ831" s="116"/>
    </row>
    <row r="832" spans="2:114" ht="15.75" customHeight="1" x14ac:dyDescent="0.25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5"/>
      <c r="BZ832" s="656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5"/>
      <c r="DJ832" s="116"/>
    </row>
    <row r="833" spans="2:114" ht="15.75" customHeight="1" x14ac:dyDescent="0.25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5"/>
      <c r="BZ833" s="656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5"/>
      <c r="DJ833" s="116"/>
    </row>
    <row r="834" spans="2:114" ht="15.75" customHeight="1" x14ac:dyDescent="0.25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5"/>
      <c r="BZ834" s="656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5"/>
      <c r="DJ834" s="116"/>
    </row>
    <row r="835" spans="2:114" ht="15.75" customHeight="1" x14ac:dyDescent="0.25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5"/>
      <c r="BZ835" s="656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5"/>
      <c r="DJ835" s="116"/>
    </row>
    <row r="836" spans="2:114" ht="15.75" customHeight="1" x14ac:dyDescent="0.25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5"/>
      <c r="BZ836" s="656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5"/>
      <c r="DJ836" s="116"/>
    </row>
    <row r="837" spans="2:114" ht="15.75" customHeight="1" x14ac:dyDescent="0.25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5"/>
      <c r="BZ837" s="656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5"/>
      <c r="DJ837" s="116"/>
    </row>
    <row r="838" spans="2:114" ht="15.75" customHeight="1" x14ac:dyDescent="0.25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5"/>
      <c r="BZ838" s="656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5"/>
      <c r="DJ838" s="116"/>
    </row>
    <row r="839" spans="2:114" ht="15.75" customHeight="1" x14ac:dyDescent="0.25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5"/>
      <c r="BZ839" s="656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5"/>
      <c r="DJ839" s="116"/>
    </row>
    <row r="840" spans="2:114" ht="15.75" customHeight="1" x14ac:dyDescent="0.25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5"/>
      <c r="BZ840" s="656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5"/>
      <c r="DJ840" s="116"/>
    </row>
    <row r="841" spans="2:114" ht="15.75" customHeight="1" x14ac:dyDescent="0.25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5"/>
      <c r="BZ841" s="656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5"/>
      <c r="DJ841" s="116"/>
    </row>
    <row r="842" spans="2:114" ht="15.75" customHeight="1" x14ac:dyDescent="0.25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5"/>
      <c r="BZ842" s="656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5"/>
      <c r="DJ842" s="116"/>
    </row>
    <row r="843" spans="2:114" ht="15.75" customHeight="1" x14ac:dyDescent="0.25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5"/>
      <c r="BZ843" s="656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5"/>
      <c r="DJ843" s="116"/>
    </row>
    <row r="844" spans="2:114" ht="15.75" customHeight="1" x14ac:dyDescent="0.25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5"/>
      <c r="BZ844" s="656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5"/>
      <c r="DJ844" s="116"/>
    </row>
    <row r="845" spans="2:114" ht="15.75" customHeight="1" x14ac:dyDescent="0.25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5"/>
      <c r="BZ845" s="656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5"/>
      <c r="DJ845" s="116"/>
    </row>
    <row r="846" spans="2:114" ht="15.75" customHeight="1" x14ac:dyDescent="0.25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5"/>
      <c r="BZ846" s="656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5"/>
      <c r="DJ846" s="116"/>
    </row>
    <row r="847" spans="2:114" ht="15.75" customHeight="1" x14ac:dyDescent="0.25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5"/>
      <c r="BZ847" s="656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5"/>
      <c r="DJ847" s="116"/>
    </row>
    <row r="848" spans="2:114" ht="15.75" customHeight="1" x14ac:dyDescent="0.25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5"/>
      <c r="BZ848" s="656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5"/>
      <c r="DJ848" s="116"/>
    </row>
    <row r="849" spans="2:114" ht="15.75" customHeight="1" x14ac:dyDescent="0.25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5"/>
      <c r="BZ849" s="656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5"/>
      <c r="DJ849" s="116"/>
    </row>
    <row r="850" spans="2:114" ht="15.75" customHeight="1" x14ac:dyDescent="0.25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5"/>
      <c r="BZ850" s="656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5"/>
      <c r="DJ850" s="116"/>
    </row>
    <row r="851" spans="2:114" ht="15.75" customHeight="1" x14ac:dyDescent="0.25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5"/>
      <c r="BZ851" s="656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5"/>
      <c r="DJ851" s="116"/>
    </row>
    <row r="852" spans="2:114" ht="15.75" customHeight="1" x14ac:dyDescent="0.25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5"/>
      <c r="BZ852" s="656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5"/>
      <c r="DJ852" s="116"/>
    </row>
    <row r="853" spans="2:114" ht="15.75" customHeight="1" x14ac:dyDescent="0.25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5"/>
      <c r="BZ853" s="656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5"/>
      <c r="DJ853" s="116"/>
    </row>
    <row r="854" spans="2:114" ht="15.75" customHeight="1" x14ac:dyDescent="0.25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5"/>
      <c r="BZ854" s="656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5"/>
      <c r="DJ854" s="116"/>
    </row>
    <row r="855" spans="2:114" ht="15.75" customHeight="1" x14ac:dyDescent="0.25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5"/>
      <c r="BZ855" s="656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5"/>
      <c r="DJ855" s="116"/>
    </row>
    <row r="856" spans="2:114" ht="15.75" customHeight="1" x14ac:dyDescent="0.25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5"/>
      <c r="BZ856" s="656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5"/>
      <c r="DJ856" s="116"/>
    </row>
    <row r="857" spans="2:114" ht="15.75" customHeight="1" x14ac:dyDescent="0.25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5"/>
      <c r="BZ857" s="656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5"/>
      <c r="DJ857" s="116"/>
    </row>
    <row r="858" spans="2:114" ht="15.75" customHeight="1" x14ac:dyDescent="0.25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5"/>
      <c r="BZ858" s="656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5"/>
      <c r="DJ858" s="116"/>
    </row>
    <row r="859" spans="2:114" ht="15.75" customHeight="1" x14ac:dyDescent="0.25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5"/>
      <c r="BZ859" s="656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5"/>
      <c r="DJ859" s="116"/>
    </row>
    <row r="860" spans="2:114" ht="15.75" customHeight="1" x14ac:dyDescent="0.25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5"/>
      <c r="BZ860" s="656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5"/>
      <c r="DJ860" s="116"/>
    </row>
    <row r="861" spans="2:114" ht="15.75" customHeight="1" x14ac:dyDescent="0.25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5"/>
      <c r="BZ861" s="656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5"/>
      <c r="DJ861" s="116"/>
    </row>
    <row r="862" spans="2:114" ht="15.75" customHeight="1" x14ac:dyDescent="0.25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5"/>
      <c r="BZ862" s="656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5"/>
      <c r="DJ862" s="116"/>
    </row>
    <row r="863" spans="2:114" ht="15.75" customHeight="1" x14ac:dyDescent="0.25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5"/>
      <c r="BZ863" s="656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5"/>
      <c r="DJ863" s="116"/>
    </row>
    <row r="864" spans="2:114" ht="15.75" customHeight="1" x14ac:dyDescent="0.25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5"/>
      <c r="BZ864" s="656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5"/>
      <c r="DJ864" s="116"/>
    </row>
    <row r="865" spans="2:114" ht="15.75" customHeight="1" x14ac:dyDescent="0.25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5"/>
      <c r="BZ865" s="656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5"/>
      <c r="DJ865" s="116"/>
    </row>
    <row r="866" spans="2:114" ht="15.75" customHeight="1" x14ac:dyDescent="0.25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5"/>
      <c r="BZ866" s="656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5"/>
      <c r="DJ866" s="116"/>
    </row>
    <row r="867" spans="2:114" ht="15.75" customHeight="1" x14ac:dyDescent="0.25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5"/>
      <c r="BZ867" s="656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5"/>
      <c r="DJ867" s="116"/>
    </row>
    <row r="868" spans="2:114" ht="15.75" customHeight="1" x14ac:dyDescent="0.25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5"/>
      <c r="BZ868" s="656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5"/>
      <c r="DJ868" s="116"/>
    </row>
    <row r="869" spans="2:114" ht="15.75" customHeight="1" x14ac:dyDescent="0.25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5"/>
      <c r="BZ869" s="656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5"/>
      <c r="DJ869" s="116"/>
    </row>
    <row r="870" spans="2:114" ht="15.75" customHeight="1" x14ac:dyDescent="0.25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5"/>
      <c r="BZ870" s="656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5"/>
      <c r="DJ870" s="116"/>
    </row>
    <row r="871" spans="2:114" ht="15.75" customHeight="1" x14ac:dyDescent="0.25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5"/>
      <c r="BZ871" s="656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5"/>
      <c r="DJ871" s="116"/>
    </row>
    <row r="872" spans="2:114" ht="15.75" customHeight="1" x14ac:dyDescent="0.25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5"/>
      <c r="BZ872" s="656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5"/>
      <c r="DJ872" s="116"/>
    </row>
    <row r="873" spans="2:114" ht="15.75" customHeight="1" x14ac:dyDescent="0.25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5"/>
      <c r="BZ873" s="656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5"/>
      <c r="DJ873" s="116"/>
    </row>
    <row r="874" spans="2:114" ht="15.75" customHeight="1" x14ac:dyDescent="0.25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5"/>
      <c r="BZ874" s="656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5"/>
      <c r="DJ874" s="116"/>
    </row>
    <row r="875" spans="2:114" ht="15.75" customHeight="1" x14ac:dyDescent="0.25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5"/>
      <c r="BZ875" s="656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5"/>
      <c r="DJ875" s="116"/>
    </row>
    <row r="876" spans="2:114" ht="15.75" customHeight="1" x14ac:dyDescent="0.25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5"/>
      <c r="BZ876" s="656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5"/>
      <c r="DJ876" s="116"/>
    </row>
    <row r="877" spans="2:114" ht="15.75" customHeight="1" x14ac:dyDescent="0.25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5"/>
      <c r="BZ877" s="656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5"/>
      <c r="DJ877" s="116"/>
    </row>
    <row r="878" spans="2:114" ht="15.75" customHeight="1" x14ac:dyDescent="0.25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5"/>
      <c r="BZ878" s="656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5"/>
      <c r="DJ878" s="116"/>
    </row>
    <row r="879" spans="2:114" ht="15.75" customHeight="1" x14ac:dyDescent="0.25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5"/>
      <c r="BZ879" s="656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5"/>
      <c r="DJ879" s="116"/>
    </row>
    <row r="880" spans="2:114" ht="15.75" customHeight="1" x14ac:dyDescent="0.25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5"/>
      <c r="BZ880" s="656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5"/>
      <c r="DJ880" s="116"/>
    </row>
    <row r="881" spans="2:114" ht="15.75" customHeight="1" x14ac:dyDescent="0.25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5"/>
      <c r="BZ881" s="656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5"/>
      <c r="DJ881" s="116"/>
    </row>
    <row r="882" spans="2:114" ht="15.75" customHeight="1" x14ac:dyDescent="0.25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5"/>
      <c r="BZ882" s="656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5"/>
      <c r="DJ882" s="116"/>
    </row>
    <row r="883" spans="2:114" ht="15.75" customHeight="1" x14ac:dyDescent="0.25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5"/>
      <c r="BZ883" s="656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5"/>
      <c r="DJ883" s="116"/>
    </row>
    <row r="884" spans="2:114" ht="15.75" customHeight="1" x14ac:dyDescent="0.25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5"/>
      <c r="BZ884" s="656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5"/>
      <c r="DJ884" s="116"/>
    </row>
    <row r="885" spans="2:114" ht="15.75" customHeight="1" x14ac:dyDescent="0.25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5"/>
      <c r="BZ885" s="656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5"/>
      <c r="DJ885" s="116"/>
    </row>
    <row r="886" spans="2:114" ht="15.75" customHeight="1" x14ac:dyDescent="0.25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5"/>
      <c r="BZ886" s="656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5"/>
      <c r="DJ886" s="116"/>
    </row>
    <row r="887" spans="2:114" ht="15.75" customHeight="1" x14ac:dyDescent="0.25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5"/>
      <c r="BZ887" s="656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5"/>
      <c r="DJ887" s="116"/>
    </row>
    <row r="888" spans="2:114" ht="15.75" customHeight="1" x14ac:dyDescent="0.25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5"/>
      <c r="BZ888" s="656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5"/>
      <c r="DJ888" s="116"/>
    </row>
    <row r="889" spans="2:114" ht="15.75" customHeight="1" x14ac:dyDescent="0.25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5"/>
      <c r="BZ889" s="656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5"/>
      <c r="DJ889" s="116"/>
    </row>
    <row r="890" spans="2:114" ht="15.75" customHeight="1" x14ac:dyDescent="0.25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5"/>
      <c r="BZ890" s="656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5"/>
      <c r="DJ890" s="116"/>
    </row>
    <row r="891" spans="2:114" ht="15.75" customHeight="1" x14ac:dyDescent="0.25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5"/>
      <c r="BZ891" s="656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5"/>
      <c r="DJ891" s="116"/>
    </row>
    <row r="892" spans="2:114" ht="15.75" customHeight="1" x14ac:dyDescent="0.25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5"/>
      <c r="BZ892" s="656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5"/>
      <c r="DJ892" s="116"/>
    </row>
    <row r="893" spans="2:114" ht="15.75" customHeight="1" x14ac:dyDescent="0.25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5"/>
      <c r="BZ893" s="656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5"/>
      <c r="DJ893" s="116"/>
    </row>
    <row r="894" spans="2:114" ht="15.75" customHeight="1" x14ac:dyDescent="0.25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5"/>
      <c r="BZ894" s="656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5"/>
      <c r="DJ894" s="116"/>
    </row>
    <row r="895" spans="2:114" ht="15.75" customHeight="1" x14ac:dyDescent="0.25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5"/>
      <c r="BZ895" s="656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5"/>
      <c r="DJ895" s="116"/>
    </row>
    <row r="896" spans="2:114" ht="15.75" customHeight="1" x14ac:dyDescent="0.25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5"/>
      <c r="BZ896" s="656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5"/>
      <c r="DJ896" s="116"/>
    </row>
    <row r="897" spans="2:114" ht="15.75" customHeight="1" x14ac:dyDescent="0.25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5"/>
      <c r="BZ897" s="656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5"/>
      <c r="DJ897" s="116"/>
    </row>
    <row r="898" spans="2:114" ht="15.75" customHeight="1" x14ac:dyDescent="0.25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5"/>
      <c r="BZ898" s="656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5"/>
      <c r="DJ898" s="116"/>
    </row>
    <row r="899" spans="2:114" ht="15.75" customHeight="1" x14ac:dyDescent="0.25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5"/>
      <c r="BZ899" s="656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5"/>
      <c r="DJ899" s="116"/>
    </row>
    <row r="900" spans="2:114" ht="15.75" customHeight="1" x14ac:dyDescent="0.25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5"/>
      <c r="BZ900" s="656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5"/>
      <c r="DJ900" s="116"/>
    </row>
    <row r="901" spans="2:114" ht="15.75" customHeight="1" x14ac:dyDescent="0.25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5"/>
      <c r="BZ901" s="656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5"/>
      <c r="DJ901" s="116"/>
    </row>
    <row r="902" spans="2:114" ht="15.75" customHeight="1" x14ac:dyDescent="0.25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5"/>
      <c r="BZ902" s="656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5"/>
      <c r="DJ902" s="116"/>
    </row>
    <row r="903" spans="2:114" ht="15.75" customHeight="1" x14ac:dyDescent="0.25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5"/>
      <c r="BZ903" s="656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5"/>
      <c r="DJ903" s="116"/>
    </row>
    <row r="904" spans="2:114" ht="15.75" customHeight="1" x14ac:dyDescent="0.25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5"/>
      <c r="BZ904" s="656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5"/>
      <c r="DJ904" s="116"/>
    </row>
    <row r="905" spans="2:114" ht="15.75" customHeight="1" x14ac:dyDescent="0.25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5"/>
      <c r="BZ905" s="656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5"/>
      <c r="DJ905" s="116"/>
    </row>
    <row r="906" spans="2:114" ht="15.75" customHeight="1" x14ac:dyDescent="0.25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5"/>
      <c r="BZ906" s="656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5"/>
      <c r="DJ906" s="116"/>
    </row>
    <row r="907" spans="2:114" ht="15.75" customHeight="1" x14ac:dyDescent="0.25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5"/>
      <c r="BZ907" s="656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5"/>
      <c r="DJ907" s="116"/>
    </row>
    <row r="908" spans="2:114" ht="15.75" customHeight="1" x14ac:dyDescent="0.25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5"/>
      <c r="BZ908" s="656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5"/>
      <c r="DJ908" s="116"/>
    </row>
    <row r="909" spans="2:114" ht="15.75" customHeight="1" x14ac:dyDescent="0.25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5"/>
      <c r="BZ909" s="656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5"/>
      <c r="DJ909" s="116"/>
    </row>
    <row r="910" spans="2:114" ht="15.75" customHeight="1" x14ac:dyDescent="0.25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5"/>
      <c r="BZ910" s="656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5"/>
      <c r="DJ910" s="116"/>
    </row>
    <row r="911" spans="2:114" ht="15.75" customHeight="1" x14ac:dyDescent="0.25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5"/>
      <c r="BZ911" s="656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5"/>
      <c r="DJ911" s="116"/>
    </row>
    <row r="912" spans="2:114" ht="15.75" customHeight="1" x14ac:dyDescent="0.25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5"/>
      <c r="BZ912" s="656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5"/>
      <c r="DJ912" s="116"/>
    </row>
    <row r="913" spans="2:114" ht="15.75" customHeight="1" x14ac:dyDescent="0.25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5"/>
      <c r="BZ913" s="656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5"/>
      <c r="DJ913" s="116"/>
    </row>
    <row r="914" spans="2:114" ht="15.75" customHeight="1" x14ac:dyDescent="0.25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5"/>
      <c r="BZ914" s="656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5"/>
      <c r="DJ914" s="116"/>
    </row>
    <row r="915" spans="2:114" ht="15.75" customHeight="1" x14ac:dyDescent="0.25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5"/>
      <c r="BZ915" s="656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5"/>
      <c r="DJ915" s="116"/>
    </row>
    <row r="916" spans="2:114" ht="15.75" customHeight="1" x14ac:dyDescent="0.25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5"/>
      <c r="BZ916" s="656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5"/>
      <c r="DJ916" s="116"/>
    </row>
    <row r="917" spans="2:114" ht="15.75" customHeight="1" x14ac:dyDescent="0.25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5"/>
      <c r="BZ917" s="656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5"/>
      <c r="DJ917" s="116"/>
    </row>
    <row r="918" spans="2:114" ht="15.75" customHeight="1" x14ac:dyDescent="0.25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5"/>
      <c r="BZ918" s="656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5"/>
      <c r="DJ918" s="116"/>
    </row>
    <row r="919" spans="2:114" ht="15.75" customHeight="1" x14ac:dyDescent="0.25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5"/>
      <c r="BZ919" s="656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5"/>
      <c r="DJ919" s="116"/>
    </row>
    <row r="920" spans="2:114" ht="15.75" customHeight="1" x14ac:dyDescent="0.25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5"/>
      <c r="BZ920" s="656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5"/>
      <c r="DJ920" s="116"/>
    </row>
    <row r="921" spans="2:114" ht="15.75" customHeight="1" x14ac:dyDescent="0.25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5"/>
      <c r="BZ921" s="656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5"/>
      <c r="DJ921" s="116"/>
    </row>
    <row r="922" spans="2:114" ht="15.75" customHeight="1" x14ac:dyDescent="0.25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5"/>
      <c r="BZ922" s="656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5"/>
      <c r="DJ922" s="116"/>
    </row>
    <row r="923" spans="2:114" ht="15.75" customHeight="1" x14ac:dyDescent="0.25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5"/>
      <c r="BZ923" s="656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5"/>
      <c r="DJ923" s="116"/>
    </row>
    <row r="924" spans="2:114" ht="15.75" customHeight="1" x14ac:dyDescent="0.25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5"/>
      <c r="BZ924" s="656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5"/>
      <c r="DJ924" s="116"/>
    </row>
    <row r="925" spans="2:114" ht="15.75" customHeight="1" x14ac:dyDescent="0.25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5"/>
      <c r="BZ925" s="656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5"/>
      <c r="DJ925" s="116"/>
    </row>
    <row r="926" spans="2:114" ht="15.75" customHeight="1" x14ac:dyDescent="0.25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5"/>
      <c r="BZ926" s="656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5"/>
      <c r="DJ926" s="116"/>
    </row>
    <row r="927" spans="2:114" ht="15.75" customHeight="1" x14ac:dyDescent="0.25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5"/>
      <c r="BZ927" s="656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5"/>
      <c r="DJ927" s="116"/>
    </row>
    <row r="928" spans="2:114" ht="15.75" customHeight="1" x14ac:dyDescent="0.25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5"/>
      <c r="BZ928" s="656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5"/>
      <c r="DJ928" s="116"/>
    </row>
    <row r="929" spans="2:114" ht="15.75" customHeight="1" x14ac:dyDescent="0.25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5"/>
      <c r="BZ929" s="656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5"/>
      <c r="DJ929" s="116"/>
    </row>
    <row r="930" spans="2:114" ht="15.75" customHeight="1" x14ac:dyDescent="0.25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5"/>
      <c r="BZ930" s="656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5"/>
      <c r="DJ930" s="116"/>
    </row>
    <row r="931" spans="2:114" ht="15.75" customHeight="1" x14ac:dyDescent="0.25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5"/>
      <c r="BZ931" s="656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5"/>
      <c r="DJ931" s="116"/>
    </row>
    <row r="932" spans="2:114" ht="15.75" customHeight="1" x14ac:dyDescent="0.25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5"/>
      <c r="BZ932" s="656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5"/>
      <c r="DJ932" s="116"/>
    </row>
    <row r="933" spans="2:114" ht="15.75" customHeight="1" x14ac:dyDescent="0.25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5"/>
      <c r="BZ933" s="656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5"/>
      <c r="DJ933" s="116"/>
    </row>
    <row r="934" spans="2:114" ht="15.75" customHeight="1" x14ac:dyDescent="0.25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5"/>
      <c r="BZ934" s="656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5"/>
      <c r="DJ934" s="116"/>
    </row>
    <row r="935" spans="2:114" ht="15.75" customHeight="1" x14ac:dyDescent="0.25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5"/>
      <c r="BZ935" s="656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5"/>
      <c r="DJ935" s="116"/>
    </row>
    <row r="936" spans="2:114" ht="15.75" customHeight="1" x14ac:dyDescent="0.25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5"/>
      <c r="BZ936" s="656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5"/>
      <c r="DJ936" s="116"/>
    </row>
    <row r="937" spans="2:114" ht="15.75" customHeight="1" x14ac:dyDescent="0.25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5"/>
      <c r="BZ937" s="656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5"/>
      <c r="DJ937" s="116"/>
    </row>
    <row r="938" spans="2:114" ht="15.75" customHeight="1" x14ac:dyDescent="0.25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5"/>
      <c r="BZ938" s="656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5"/>
      <c r="DJ938" s="116"/>
    </row>
    <row r="939" spans="2:114" ht="15.75" customHeight="1" x14ac:dyDescent="0.25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5"/>
      <c r="BZ939" s="656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5"/>
      <c r="DJ939" s="116"/>
    </row>
    <row r="940" spans="2:114" ht="15.75" customHeight="1" x14ac:dyDescent="0.25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5"/>
      <c r="BZ940" s="656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5"/>
      <c r="DJ940" s="116"/>
    </row>
    <row r="941" spans="2:114" ht="15.75" customHeight="1" x14ac:dyDescent="0.25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5"/>
      <c r="BZ941" s="656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5"/>
      <c r="DJ941" s="116"/>
    </row>
    <row r="942" spans="2:114" ht="15.75" customHeight="1" x14ac:dyDescent="0.25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5"/>
      <c r="BZ942" s="656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5"/>
      <c r="DJ942" s="116"/>
    </row>
    <row r="943" spans="2:114" ht="15.75" customHeight="1" x14ac:dyDescent="0.25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5"/>
      <c r="BZ943" s="656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5"/>
      <c r="DJ943" s="116"/>
    </row>
    <row r="944" spans="2:114" ht="15.75" customHeight="1" x14ac:dyDescent="0.25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5"/>
      <c r="BZ944" s="656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5"/>
      <c r="DJ944" s="116"/>
    </row>
    <row r="945" spans="2:114" ht="15.75" customHeight="1" x14ac:dyDescent="0.25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5"/>
      <c r="BZ945" s="656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5"/>
      <c r="DJ945" s="116"/>
    </row>
    <row r="946" spans="2:114" ht="15.75" customHeight="1" x14ac:dyDescent="0.25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5"/>
      <c r="BZ946" s="656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5"/>
      <c r="DJ946" s="116"/>
    </row>
    <row r="947" spans="2:114" ht="15.75" customHeight="1" x14ac:dyDescent="0.25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5"/>
      <c r="BZ947" s="656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5"/>
      <c r="DJ947" s="116"/>
    </row>
    <row r="948" spans="2:114" ht="15.75" customHeight="1" x14ac:dyDescent="0.25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5"/>
      <c r="BZ948" s="656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5"/>
      <c r="DJ948" s="116"/>
    </row>
    <row r="949" spans="2:114" ht="15.75" customHeight="1" x14ac:dyDescent="0.25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5"/>
      <c r="BZ949" s="656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5"/>
      <c r="DJ949" s="116"/>
    </row>
    <row r="950" spans="2:114" ht="15.75" customHeight="1" x14ac:dyDescent="0.25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5"/>
      <c r="BZ950" s="656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5"/>
      <c r="DJ950" s="116"/>
    </row>
    <row r="951" spans="2:114" ht="15.75" customHeight="1" x14ac:dyDescent="0.25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5"/>
      <c r="BZ951" s="656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5"/>
      <c r="DJ951" s="116"/>
    </row>
    <row r="952" spans="2:114" ht="15.75" customHeight="1" x14ac:dyDescent="0.25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5"/>
      <c r="BZ952" s="656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5"/>
      <c r="DJ952" s="116"/>
    </row>
    <row r="953" spans="2:114" ht="15.75" customHeight="1" x14ac:dyDescent="0.25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5"/>
      <c r="BZ953" s="656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5"/>
      <c r="DJ953" s="116"/>
    </row>
    <row r="954" spans="2:114" ht="15.75" customHeight="1" x14ac:dyDescent="0.25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5"/>
      <c r="BZ954" s="656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5"/>
      <c r="DJ954" s="116"/>
    </row>
    <row r="955" spans="2:114" ht="15.75" customHeight="1" x14ac:dyDescent="0.25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5"/>
      <c r="BZ955" s="656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5"/>
      <c r="DJ955" s="116"/>
    </row>
    <row r="956" spans="2:114" ht="15.75" customHeight="1" x14ac:dyDescent="0.25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5"/>
      <c r="BZ956" s="656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5"/>
      <c r="DJ956" s="116"/>
    </row>
    <row r="957" spans="2:114" ht="15.75" customHeight="1" x14ac:dyDescent="0.25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5"/>
      <c r="BZ957" s="656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5"/>
      <c r="DJ957" s="116"/>
    </row>
    <row r="958" spans="2:114" ht="15.75" customHeight="1" x14ac:dyDescent="0.25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5"/>
      <c r="BZ958" s="656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5"/>
      <c r="DJ958" s="116"/>
    </row>
    <row r="959" spans="2:114" ht="15.75" customHeight="1" x14ac:dyDescent="0.25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5"/>
      <c r="BZ959" s="656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5"/>
      <c r="DJ959" s="116"/>
    </row>
    <row r="960" spans="2:114" ht="15.75" customHeight="1" x14ac:dyDescent="0.25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5"/>
      <c r="BZ960" s="656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5"/>
      <c r="DJ960" s="116"/>
    </row>
    <row r="961" spans="2:114" ht="15.75" customHeight="1" x14ac:dyDescent="0.25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5"/>
      <c r="BZ961" s="656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5"/>
      <c r="DJ961" s="116"/>
    </row>
    <row r="962" spans="2:114" ht="15.75" customHeight="1" x14ac:dyDescent="0.25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5"/>
      <c r="BZ962" s="656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5"/>
      <c r="DJ962" s="116"/>
    </row>
    <row r="963" spans="2:114" ht="15.75" customHeight="1" x14ac:dyDescent="0.25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5"/>
      <c r="BZ963" s="656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5"/>
      <c r="DJ963" s="116"/>
    </row>
    <row r="964" spans="2:114" ht="15.75" customHeight="1" x14ac:dyDescent="0.25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5"/>
      <c r="BZ964" s="656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5"/>
      <c r="DJ964" s="116"/>
    </row>
    <row r="965" spans="2:114" ht="15.75" customHeight="1" x14ac:dyDescent="0.25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5"/>
      <c r="BZ965" s="656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5"/>
      <c r="DJ965" s="116"/>
    </row>
    <row r="966" spans="2:114" ht="15.75" customHeight="1" x14ac:dyDescent="0.25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5"/>
      <c r="BZ966" s="656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5"/>
      <c r="DJ966" s="116"/>
    </row>
    <row r="967" spans="2:114" ht="15.75" customHeight="1" x14ac:dyDescent="0.25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5"/>
      <c r="BZ967" s="656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5"/>
      <c r="DJ967" s="116"/>
    </row>
    <row r="968" spans="2:114" ht="15.75" customHeight="1" x14ac:dyDescent="0.25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5"/>
      <c r="BZ968" s="656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5"/>
      <c r="DJ968" s="116"/>
    </row>
    <row r="969" spans="2:114" ht="15.75" customHeight="1" x14ac:dyDescent="0.25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5"/>
      <c r="BZ969" s="656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5"/>
      <c r="DJ969" s="116"/>
    </row>
    <row r="970" spans="2:114" ht="15.75" customHeight="1" x14ac:dyDescent="0.25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5"/>
      <c r="BZ970" s="656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5"/>
      <c r="DJ970" s="116"/>
    </row>
    <row r="971" spans="2:114" ht="15.75" customHeight="1" x14ac:dyDescent="0.25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5"/>
      <c r="BZ971" s="656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5"/>
      <c r="DJ971" s="116"/>
    </row>
    <row r="972" spans="2:114" ht="15.75" customHeight="1" x14ac:dyDescent="0.25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5"/>
      <c r="BZ972" s="656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5"/>
      <c r="DJ972" s="116"/>
    </row>
    <row r="973" spans="2:114" ht="15.75" customHeight="1" x14ac:dyDescent="0.25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5"/>
      <c r="BZ973" s="656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5"/>
      <c r="DJ973" s="116"/>
    </row>
    <row r="974" spans="2:114" ht="15.75" customHeight="1" x14ac:dyDescent="0.25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5"/>
      <c r="BZ974" s="656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5"/>
      <c r="DJ974" s="116"/>
    </row>
    <row r="975" spans="2:114" ht="15.75" customHeight="1" x14ac:dyDescent="0.25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5"/>
      <c r="BZ975" s="656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5"/>
      <c r="DJ975" s="116"/>
    </row>
    <row r="976" spans="2:114" ht="15.75" customHeight="1" x14ac:dyDescent="0.25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5"/>
      <c r="BZ976" s="656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5"/>
      <c r="DJ976" s="116"/>
    </row>
    <row r="977" spans="2:114" ht="15.75" customHeight="1" x14ac:dyDescent="0.25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5"/>
      <c r="BZ977" s="656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5"/>
      <c r="DJ977" s="116"/>
    </row>
    <row r="978" spans="2:114" ht="15.75" customHeight="1" x14ac:dyDescent="0.25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5"/>
      <c r="BZ978" s="656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5"/>
      <c r="DJ978" s="116"/>
    </row>
    <row r="979" spans="2:114" ht="15.75" customHeight="1" x14ac:dyDescent="0.25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5"/>
      <c r="BZ979" s="656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5"/>
      <c r="DJ979" s="116"/>
    </row>
    <row r="980" spans="2:114" ht="15.75" customHeight="1" x14ac:dyDescent="0.25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5"/>
      <c r="BZ980" s="656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5"/>
      <c r="DJ980" s="116"/>
    </row>
    <row r="981" spans="2:114" ht="15.75" customHeight="1" x14ac:dyDescent="0.25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5"/>
      <c r="BZ981" s="656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5"/>
      <c r="DJ981" s="116"/>
    </row>
    <row r="982" spans="2:114" ht="15.75" customHeight="1" x14ac:dyDescent="0.25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5"/>
      <c r="BZ982" s="656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5"/>
      <c r="DJ982" s="116"/>
    </row>
    <row r="983" spans="2:114" ht="15.75" customHeight="1" x14ac:dyDescent="0.25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5"/>
      <c r="BZ983" s="656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5"/>
      <c r="DJ983" s="116"/>
    </row>
    <row r="984" spans="2:114" ht="15.75" customHeight="1" x14ac:dyDescent="0.25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5"/>
      <c r="BZ984" s="656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5"/>
      <c r="DJ984" s="116"/>
    </row>
    <row r="985" spans="2:114" ht="15.75" customHeight="1" x14ac:dyDescent="0.25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5"/>
      <c r="BZ985" s="656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5"/>
      <c r="DJ985" s="116"/>
    </row>
    <row r="986" spans="2:114" ht="15.75" customHeight="1" x14ac:dyDescent="0.25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5"/>
      <c r="BZ986" s="656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5"/>
      <c r="DJ986" s="116"/>
    </row>
    <row r="987" spans="2:114" ht="15.75" customHeight="1" x14ac:dyDescent="0.25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5"/>
      <c r="BZ987" s="656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5"/>
      <c r="DJ987" s="116"/>
    </row>
    <row r="988" spans="2:114" ht="15.75" customHeight="1" x14ac:dyDescent="0.25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5"/>
      <c r="BZ988" s="656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5"/>
      <c r="DJ988" s="116"/>
    </row>
    <row r="989" spans="2:114" ht="15.75" customHeight="1" x14ac:dyDescent="0.25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5"/>
      <c r="BZ989" s="656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5"/>
      <c r="DJ989" s="116"/>
    </row>
    <row r="990" spans="2:114" ht="15.75" customHeight="1" x14ac:dyDescent="0.25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5"/>
      <c r="BZ990" s="656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5"/>
      <c r="DJ990" s="116"/>
    </row>
    <row r="991" spans="2:114" ht="15.75" customHeight="1" x14ac:dyDescent="0.25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5"/>
      <c r="BZ991" s="656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5"/>
      <c r="DJ991" s="116"/>
    </row>
    <row r="992" spans="2:114" ht="15.75" customHeight="1" x14ac:dyDescent="0.25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5"/>
      <c r="BZ992" s="656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5"/>
      <c r="DJ992" s="116"/>
    </row>
    <row r="993" spans="2:114" ht="15.75" customHeight="1" x14ac:dyDescent="0.25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5"/>
      <c r="BZ993" s="656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5"/>
      <c r="DJ993" s="116"/>
    </row>
    <row r="994" spans="2:114" ht="15.75" customHeight="1" x14ac:dyDescent="0.25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5"/>
      <c r="BZ994" s="656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5"/>
      <c r="DJ994" s="116"/>
    </row>
    <row r="995" spans="2:114" ht="15.75" customHeight="1" x14ac:dyDescent="0.25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5"/>
      <c r="BZ995" s="656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5"/>
      <c r="DJ995" s="116"/>
    </row>
    <row r="996" spans="2:114" ht="15.75" customHeight="1" x14ac:dyDescent="0.25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5"/>
      <c r="BZ996" s="656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5"/>
      <c r="DJ996" s="116"/>
    </row>
    <row r="997" spans="2:114" ht="15.75" customHeight="1" x14ac:dyDescent="0.25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5"/>
      <c r="BZ997" s="656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5"/>
      <c r="DJ997" s="116"/>
    </row>
    <row r="998" spans="2:114" ht="15.75" customHeight="1" x14ac:dyDescent="0.25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5"/>
      <c r="BZ998" s="656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5"/>
      <c r="DJ998" s="116"/>
    </row>
    <row r="999" spans="2:114" ht="15.75" customHeight="1" x14ac:dyDescent="0.25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5"/>
      <c r="BZ999" s="656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5"/>
      <c r="DJ999" s="116"/>
    </row>
    <row r="1000" spans="2:114" ht="15.75" customHeight="1" x14ac:dyDescent="0.25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5"/>
      <c r="BZ1000" s="656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5"/>
      <c r="DJ1000" s="116"/>
    </row>
  </sheetData>
  <mergeCells count="20">
    <mergeCell ref="C3:H3"/>
    <mergeCell ref="L3:W3"/>
    <mergeCell ref="AE3:AK3"/>
    <mergeCell ref="AN3:BJ3"/>
    <mergeCell ref="BM3:BT3"/>
    <mergeCell ref="CA3:CN3"/>
    <mergeCell ref="CS3:CY3"/>
    <mergeCell ref="AS5:AZ5"/>
    <mergeCell ref="BM5:BO5"/>
    <mergeCell ref="CA5:CG5"/>
    <mergeCell ref="CI5:CO5"/>
    <mergeCell ref="CS5:CZ5"/>
    <mergeCell ref="DD5:DG5"/>
    <mergeCell ref="L5:O5"/>
    <mergeCell ref="Q5:S5"/>
    <mergeCell ref="U5:V5"/>
    <mergeCell ref="Y5:AA5"/>
    <mergeCell ref="AE5:AG5"/>
    <mergeCell ref="AI5:AK5"/>
    <mergeCell ref="AN5:AQ5"/>
  </mergeCells>
  <pageMargins left="0.7" right="0.7" top="0.75" bottom="0.75" header="0" footer="0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tabSelected="1" workbookViewId="0">
      <selection activeCell="F30" sqref="F30"/>
    </sheetView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5"/>
      <c r="I4" s="726"/>
      <c r="J4" s="726"/>
      <c r="K4" s="726"/>
      <c r="L4" s="726"/>
      <c r="M4" s="726"/>
      <c r="N4" s="727"/>
      <c r="O4" s="1"/>
      <c r="P4" s="725"/>
      <c r="Q4" s="726"/>
      <c r="R4" s="726"/>
      <c r="S4" s="726"/>
      <c r="T4" s="726"/>
      <c r="U4" s="726"/>
      <c r="V4" s="727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8"/>
      <c r="I5" s="1"/>
      <c r="J5" s="1"/>
      <c r="K5" s="1"/>
      <c r="L5" s="1"/>
      <c r="M5" s="1"/>
      <c r="N5" s="729"/>
      <c r="O5" s="1"/>
      <c r="P5" s="728"/>
      <c r="Q5" s="1"/>
      <c r="R5" s="1"/>
      <c r="S5" s="1"/>
      <c r="T5" s="1"/>
      <c r="U5" s="1"/>
      <c r="V5" s="729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8"/>
      <c r="I6" s="1"/>
      <c r="J6" s="941" t="s">
        <v>1575</v>
      </c>
      <c r="K6" s="940"/>
      <c r="L6" s="920"/>
      <c r="M6" s="730" t="s">
        <v>1576</v>
      </c>
      <c r="N6" s="729"/>
      <c r="O6" s="1"/>
      <c r="P6" s="728"/>
      <c r="Q6" s="1"/>
      <c r="R6" s="941" t="s">
        <v>1577</v>
      </c>
      <c r="S6" s="940"/>
      <c r="T6" s="920"/>
      <c r="U6" s="730" t="s">
        <v>1578</v>
      </c>
      <c r="V6" s="729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1" t="s">
        <v>1579</v>
      </c>
      <c r="E7" s="732" t="s">
        <v>1580</v>
      </c>
      <c r="F7" s="733" t="s">
        <v>1576</v>
      </c>
      <c r="G7" s="1"/>
      <c r="H7" s="728"/>
      <c r="I7" s="538"/>
      <c r="J7" s="734" t="s">
        <v>1490</v>
      </c>
      <c r="K7" s="735" t="s">
        <v>1581</v>
      </c>
      <c r="L7" s="736" t="s">
        <v>996</v>
      </c>
      <c r="M7" s="737" t="s">
        <v>996</v>
      </c>
      <c r="N7" s="729"/>
      <c r="O7" s="1"/>
      <c r="P7" s="728"/>
      <c r="Q7" s="538"/>
      <c r="R7" s="734" t="s">
        <v>1490</v>
      </c>
      <c r="S7" s="735" t="s">
        <v>1581</v>
      </c>
      <c r="T7" s="736" t="s">
        <v>996</v>
      </c>
      <c r="U7" s="737" t="s">
        <v>996</v>
      </c>
      <c r="V7" s="729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8" t="s">
        <v>1582</v>
      </c>
      <c r="D8" s="739">
        <f>+D9+D10+D11</f>
        <v>38.799999999999997</v>
      </c>
      <c r="E8" s="740"/>
      <c r="F8" s="741"/>
      <c r="G8" s="1"/>
      <c r="H8" s="728"/>
      <c r="I8" s="742" t="s">
        <v>1491</v>
      </c>
      <c r="J8" s="743">
        <f t="shared" ref="J8:L8" si="0">+SUM(J9:J11)</f>
        <v>16.216999999999999</v>
      </c>
      <c r="K8" s="744">
        <f t="shared" si="0"/>
        <v>22.582999999999998</v>
      </c>
      <c r="L8" s="745">
        <f t="shared" si="0"/>
        <v>38.799999999999997</v>
      </c>
      <c r="M8" s="746">
        <f>+SUM(M9:M12)</f>
        <v>1.9</v>
      </c>
      <c r="N8" s="729"/>
      <c r="O8" s="1"/>
      <c r="P8" s="728"/>
      <c r="Q8" s="742" t="s">
        <v>1491</v>
      </c>
      <c r="R8" s="743">
        <f t="shared" ref="R8:T8" si="1">+J8/1000</f>
        <v>1.6216999999999999E-2</v>
      </c>
      <c r="S8" s="744">
        <f t="shared" si="1"/>
        <v>2.2582999999999999E-2</v>
      </c>
      <c r="T8" s="744">
        <f t="shared" si="1"/>
        <v>3.8799999999999994E-2</v>
      </c>
      <c r="U8" s="746">
        <f t="shared" ref="U8:U12" si="2">+M8*(1/1000)*1000</f>
        <v>1.9</v>
      </c>
      <c r="V8" s="729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7" t="s">
        <v>1483</v>
      </c>
      <c r="D9" s="656">
        <v>14.3</v>
      </c>
      <c r="E9" s="655">
        <v>0.74</v>
      </c>
      <c r="F9" s="748">
        <v>0.3</v>
      </c>
      <c r="G9" s="1"/>
      <c r="H9" s="728"/>
      <c r="I9" s="749" t="s">
        <v>1483</v>
      </c>
      <c r="J9" s="750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1">
        <v>0.3</v>
      </c>
      <c r="N9" s="729"/>
      <c r="O9" s="1"/>
      <c r="P9" s="728"/>
      <c r="Q9" s="749" t="s">
        <v>1483</v>
      </c>
      <c r="R9" s="750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1">
        <f t="shared" si="2"/>
        <v>0.3</v>
      </c>
      <c r="V9" s="729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7" t="s">
        <v>1484</v>
      </c>
      <c r="D10" s="656">
        <v>5.3</v>
      </c>
      <c r="E10" s="655">
        <v>0.23</v>
      </c>
      <c r="F10" s="748">
        <v>0.4</v>
      </c>
      <c r="G10" s="1"/>
      <c r="H10" s="728"/>
      <c r="I10" s="749" t="s">
        <v>1492</v>
      </c>
      <c r="J10" s="750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1">
        <v>0.4</v>
      </c>
      <c r="N10" s="729"/>
      <c r="O10" s="1"/>
      <c r="P10" s="728"/>
      <c r="Q10" s="749" t="s">
        <v>1492</v>
      </c>
      <c r="R10" s="750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1">
        <f t="shared" si="2"/>
        <v>0.4</v>
      </c>
      <c r="V10" s="729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7" t="s">
        <v>1485</v>
      </c>
      <c r="D11" s="656">
        <v>19.2</v>
      </c>
      <c r="E11" s="655">
        <v>0.23</v>
      </c>
      <c r="F11" s="748">
        <v>0.5</v>
      </c>
      <c r="G11" s="1"/>
      <c r="H11" s="728"/>
      <c r="I11" s="752" t="s">
        <v>1485</v>
      </c>
      <c r="J11" s="750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1">
        <v>0.5</v>
      </c>
      <c r="N11" s="729"/>
      <c r="O11" s="1"/>
      <c r="P11" s="728"/>
      <c r="Q11" s="752" t="s">
        <v>1485</v>
      </c>
      <c r="R11" s="750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1">
        <f t="shared" si="2"/>
        <v>0.5</v>
      </c>
      <c r="V11" s="729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3" t="s">
        <v>1583</v>
      </c>
      <c r="D12" s="754">
        <v>16.100000000000001</v>
      </c>
      <c r="E12" s="755">
        <f>+SUMPRODUCT(D9:D11,E9:E11)</f>
        <v>16.216999999999999</v>
      </c>
      <c r="F12" s="756">
        <v>0.7</v>
      </c>
      <c r="G12" s="1"/>
      <c r="H12" s="728"/>
      <c r="I12" s="757" t="s">
        <v>1493</v>
      </c>
      <c r="J12" s="758">
        <f>+J8</f>
        <v>16.216999999999999</v>
      </c>
      <c r="K12" s="411"/>
      <c r="L12" s="759"/>
      <c r="M12" s="760">
        <v>0.7</v>
      </c>
      <c r="N12" s="729"/>
      <c r="O12" s="1"/>
      <c r="P12" s="728"/>
      <c r="Q12" s="757" t="s">
        <v>1493</v>
      </c>
      <c r="R12" s="758">
        <f>+R8</f>
        <v>1.6216999999999999E-2</v>
      </c>
      <c r="S12" s="411"/>
      <c r="T12" s="759"/>
      <c r="U12" s="760">
        <f t="shared" si="2"/>
        <v>0.7</v>
      </c>
      <c r="V12" s="729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1" t="s">
        <v>1579</v>
      </c>
      <c r="E13" s="762" t="s">
        <v>1580</v>
      </c>
      <c r="F13" s="763" t="s">
        <v>1576</v>
      </c>
      <c r="G13" s="1"/>
      <c r="H13" s="728"/>
      <c r="I13" s="1"/>
      <c r="J13" s="1"/>
      <c r="K13" s="1"/>
      <c r="L13" s="1"/>
      <c r="M13" s="1"/>
      <c r="N13" s="729"/>
      <c r="O13" s="1"/>
      <c r="P13" s="728"/>
      <c r="Q13" s="1"/>
      <c r="R13" s="1"/>
      <c r="S13" s="1"/>
      <c r="T13" s="1"/>
      <c r="U13" s="1"/>
      <c r="V13" s="729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3" t="s">
        <v>1584</v>
      </c>
      <c r="D14" s="764">
        <v>4</v>
      </c>
      <c r="E14" s="1"/>
      <c r="F14" s="765">
        <v>0.3</v>
      </c>
      <c r="G14" s="1"/>
      <c r="H14" s="728"/>
      <c r="I14" s="1"/>
      <c r="J14" s="1"/>
      <c r="K14" s="1"/>
      <c r="L14" s="1"/>
      <c r="M14" s="1"/>
      <c r="N14" s="729"/>
      <c r="O14" s="1"/>
      <c r="P14" s="728"/>
      <c r="Q14" s="1"/>
      <c r="R14" s="1"/>
      <c r="S14" s="1"/>
      <c r="T14" s="1"/>
      <c r="U14" s="1"/>
      <c r="V14" s="729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1" t="s">
        <v>1513</v>
      </c>
      <c r="D15" s="656">
        <v>4.5999999999999996</v>
      </c>
      <c r="E15" s="655">
        <v>1</v>
      </c>
      <c r="F15" s="748">
        <v>0.3</v>
      </c>
      <c r="G15" s="1"/>
      <c r="H15" s="728"/>
      <c r="I15" s="1"/>
      <c r="J15" s="1"/>
      <c r="K15" s="1"/>
      <c r="L15" s="1"/>
      <c r="M15" s="1"/>
      <c r="N15" s="729"/>
      <c r="O15" s="216"/>
      <c r="P15" s="728"/>
      <c r="Q15" s="1"/>
      <c r="R15" s="1"/>
      <c r="S15" s="1"/>
      <c r="T15" s="1"/>
      <c r="U15" s="1"/>
      <c r="V15" s="729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1" t="s">
        <v>1515</v>
      </c>
      <c r="D16" s="656">
        <v>3.9</v>
      </c>
      <c r="E16" s="655">
        <v>1</v>
      </c>
      <c r="F16" s="748">
        <v>0.3</v>
      </c>
      <c r="G16" s="1"/>
      <c r="H16" s="728"/>
      <c r="I16" s="1"/>
      <c r="J16" s="766" t="s">
        <v>1575</v>
      </c>
      <c r="K16" s="730" t="s">
        <v>1576</v>
      </c>
      <c r="L16" s="1"/>
      <c r="M16" s="1"/>
      <c r="N16" s="729"/>
      <c r="O16" s="1"/>
      <c r="P16" s="728"/>
      <c r="Q16" s="1"/>
      <c r="R16" s="766" t="s">
        <v>1577</v>
      </c>
      <c r="S16" s="730" t="s">
        <v>1576</v>
      </c>
      <c r="T16" s="1"/>
      <c r="U16" s="1"/>
      <c r="V16" s="729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0" t="s">
        <v>1585</v>
      </c>
      <c r="D17" s="656">
        <v>1.1000000000000001</v>
      </c>
      <c r="E17" s="655">
        <v>1</v>
      </c>
      <c r="F17" s="756">
        <v>0.3</v>
      </c>
      <c r="G17" s="1"/>
      <c r="H17" s="728"/>
      <c r="I17" s="754" t="s">
        <v>1586</v>
      </c>
      <c r="J17" s="767">
        <v>4</v>
      </c>
      <c r="K17" s="768">
        <v>0.3</v>
      </c>
      <c r="L17" s="1"/>
      <c r="M17" s="1"/>
      <c r="N17" s="729"/>
      <c r="O17" s="1"/>
      <c r="P17" s="728"/>
      <c r="Q17" s="754" t="s">
        <v>1586</v>
      </c>
      <c r="R17" s="767">
        <f t="shared" ref="R17:R20" si="9">+J17/1000</f>
        <v>4.0000000000000001E-3</v>
      </c>
      <c r="S17" s="768">
        <f t="shared" ref="S17:S20" si="10">+K17*1000/1000</f>
        <v>0.3</v>
      </c>
      <c r="T17" s="1"/>
      <c r="U17" s="1"/>
      <c r="V17" s="729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1" t="s">
        <v>1579</v>
      </c>
      <c r="E18" s="762" t="s">
        <v>1580</v>
      </c>
      <c r="F18" s="763" t="s">
        <v>1576</v>
      </c>
      <c r="G18" s="1"/>
      <c r="H18" s="728"/>
      <c r="I18" s="749" t="s">
        <v>1587</v>
      </c>
      <c r="J18" s="769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9"/>
      <c r="O18" s="1"/>
      <c r="P18" s="728"/>
      <c r="Q18" s="749" t="s">
        <v>1587</v>
      </c>
      <c r="R18" s="769">
        <f t="shared" si="9"/>
        <v>4.5999999999999999E-3</v>
      </c>
      <c r="S18" s="321">
        <f t="shared" si="10"/>
        <v>0.3</v>
      </c>
      <c r="T18" s="1"/>
      <c r="U18" s="1"/>
      <c r="V18" s="729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8" t="s">
        <v>1588</v>
      </c>
      <c r="D19" s="770">
        <f>+SUM(D20:D26)</f>
        <v>84.449999999999989</v>
      </c>
      <c r="E19" s="732"/>
      <c r="F19" s="765">
        <f>+SUM(F20:F27)</f>
        <v>5.6703000000000001</v>
      </c>
      <c r="G19" s="1"/>
      <c r="H19" s="728"/>
      <c r="I19" s="749" t="s">
        <v>1589</v>
      </c>
      <c r="J19" s="769">
        <f t="shared" si="11"/>
        <v>3.9</v>
      </c>
      <c r="K19" s="321">
        <f t="shared" si="12"/>
        <v>0.3</v>
      </c>
      <c r="L19" s="1"/>
      <c r="M19" s="1"/>
      <c r="N19" s="729"/>
      <c r="O19" s="1"/>
      <c r="P19" s="728"/>
      <c r="Q19" s="749" t="s">
        <v>1589</v>
      </c>
      <c r="R19" s="769">
        <f t="shared" si="9"/>
        <v>3.8999999999999998E-3</v>
      </c>
      <c r="S19" s="321">
        <f t="shared" si="10"/>
        <v>0.3</v>
      </c>
      <c r="T19" s="1"/>
      <c r="U19" s="1"/>
      <c r="V19" s="729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7" t="s">
        <v>1549</v>
      </c>
      <c r="D20" s="656">
        <v>0.5</v>
      </c>
      <c r="E20" s="655"/>
      <c r="F20" s="748">
        <v>0.03</v>
      </c>
      <c r="G20" s="1"/>
      <c r="H20" s="728"/>
      <c r="I20" s="752" t="s">
        <v>1590</v>
      </c>
      <c r="J20" s="771">
        <f t="shared" si="11"/>
        <v>1.1000000000000001</v>
      </c>
      <c r="K20" s="325">
        <f t="shared" si="12"/>
        <v>0.3</v>
      </c>
      <c r="L20" s="1"/>
      <c r="M20" s="1"/>
      <c r="N20" s="729"/>
      <c r="O20" s="1"/>
      <c r="P20" s="728"/>
      <c r="Q20" s="752" t="s">
        <v>1590</v>
      </c>
      <c r="R20" s="771">
        <f t="shared" si="9"/>
        <v>1.1000000000000001E-3</v>
      </c>
      <c r="S20" s="325">
        <f t="shared" si="10"/>
        <v>0.3</v>
      </c>
      <c r="T20" s="1"/>
      <c r="U20" s="1"/>
      <c r="V20" s="729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7" t="s">
        <v>1591</v>
      </c>
      <c r="D21" s="656">
        <v>0.02</v>
      </c>
      <c r="E21" s="655"/>
      <c r="F21" s="748">
        <v>2.0000000000000001E-4</v>
      </c>
      <c r="G21" s="1"/>
      <c r="H21" s="728"/>
      <c r="I21" s="1"/>
      <c r="J21" s="1"/>
      <c r="K21" s="1"/>
      <c r="L21" s="1"/>
      <c r="M21" s="1"/>
      <c r="N21" s="729"/>
      <c r="O21" s="1"/>
      <c r="P21" s="728"/>
      <c r="Q21" s="1"/>
      <c r="R21" s="1"/>
      <c r="S21" s="1"/>
      <c r="T21" s="1"/>
      <c r="U21" s="1"/>
      <c r="V21" s="729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7" t="s">
        <v>1592</v>
      </c>
      <c r="D22" s="656">
        <v>0.6</v>
      </c>
      <c r="E22" s="655"/>
      <c r="F22" s="748">
        <v>1E-4</v>
      </c>
      <c r="G22" s="1"/>
      <c r="H22" s="728"/>
      <c r="I22" s="1"/>
      <c r="J22" s="1"/>
      <c r="K22" s="1"/>
      <c r="L22" s="1"/>
      <c r="M22" s="1"/>
      <c r="N22" s="729"/>
      <c r="O22" s="1"/>
      <c r="P22" s="728"/>
      <c r="Q22" s="1"/>
      <c r="R22" s="1"/>
      <c r="S22" s="1"/>
      <c r="T22" s="1"/>
      <c r="U22" s="1"/>
      <c r="V22" s="729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7" t="s">
        <v>1593</v>
      </c>
      <c r="D23" s="656">
        <v>11.8</v>
      </c>
      <c r="E23" s="655"/>
      <c r="F23" s="748">
        <v>0.25</v>
      </c>
      <c r="G23" s="1"/>
      <c r="H23" s="728"/>
      <c r="I23" s="1"/>
      <c r="J23" s="1"/>
      <c r="K23" s="1"/>
      <c r="L23" s="1"/>
      <c r="M23" s="1"/>
      <c r="N23" s="729"/>
      <c r="O23" s="1"/>
      <c r="P23" s="728"/>
      <c r="Q23" s="1"/>
      <c r="R23" s="1"/>
      <c r="S23" s="1"/>
      <c r="T23" s="1"/>
      <c r="U23" s="1"/>
      <c r="V23" s="729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7" t="s">
        <v>1594</v>
      </c>
      <c r="D24" s="656">
        <v>11.83</v>
      </c>
      <c r="E24" s="655"/>
      <c r="F24" s="748">
        <v>0.17</v>
      </c>
      <c r="G24" s="1"/>
      <c r="H24" s="728"/>
      <c r="I24" s="1"/>
      <c r="J24" s="62" t="s">
        <v>1575</v>
      </c>
      <c r="K24" s="62" t="s">
        <v>1576</v>
      </c>
      <c r="L24" s="1"/>
      <c r="M24" s="1"/>
      <c r="N24" s="729"/>
      <c r="O24" s="1"/>
      <c r="P24" s="728"/>
      <c r="Q24" s="1"/>
      <c r="R24" s="62" t="s">
        <v>1577</v>
      </c>
      <c r="S24" s="62" t="s">
        <v>1576</v>
      </c>
      <c r="T24" s="1"/>
      <c r="U24" s="1"/>
      <c r="V24" s="729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7" t="s">
        <v>1595</v>
      </c>
      <c r="D25" s="656">
        <v>32.799999999999997</v>
      </c>
      <c r="E25" s="655">
        <v>0.99</v>
      </c>
      <c r="F25" s="748">
        <v>1.75</v>
      </c>
      <c r="G25" s="1"/>
      <c r="H25" s="728"/>
      <c r="I25" s="761" t="s">
        <v>1588</v>
      </c>
      <c r="J25" s="766">
        <v>84.45</v>
      </c>
      <c r="K25" s="763">
        <f>+SUM(F20:F27)</f>
        <v>5.6703000000000001</v>
      </c>
      <c r="L25" s="1"/>
      <c r="M25" s="1"/>
      <c r="N25" s="729"/>
      <c r="O25" s="1"/>
      <c r="P25" s="728"/>
      <c r="Q25" s="761" t="s">
        <v>1588</v>
      </c>
      <c r="R25" s="766">
        <f t="shared" ref="R25:R27" si="13">+J25/1000</f>
        <v>8.4449999999999997E-2</v>
      </c>
      <c r="S25" s="763">
        <f t="shared" ref="S25:S27" si="14">+K25*1000/1000</f>
        <v>5.6703000000000001</v>
      </c>
      <c r="T25" s="1"/>
      <c r="U25" s="1"/>
      <c r="V25" s="729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7" t="s">
        <v>1596</v>
      </c>
      <c r="D26" s="656">
        <v>26.9</v>
      </c>
      <c r="E26" s="655">
        <v>0.54</v>
      </c>
      <c r="F26" s="748">
        <v>0.56000000000000005</v>
      </c>
      <c r="G26" s="1"/>
      <c r="H26" s="728"/>
      <c r="I26" s="750" t="s">
        <v>1597</v>
      </c>
      <c r="J26" s="751">
        <f>+SUM(D20:D26)</f>
        <v>84.449999999999989</v>
      </c>
      <c r="K26" s="748">
        <f>+SUM(F20:F26)</f>
        <v>2.7603</v>
      </c>
      <c r="L26" s="1"/>
      <c r="M26" s="1"/>
      <c r="N26" s="729"/>
      <c r="O26" s="1"/>
      <c r="P26" s="728"/>
      <c r="Q26" s="750" t="s">
        <v>1597</v>
      </c>
      <c r="R26" s="751">
        <f t="shared" si="13"/>
        <v>8.4449999999999983E-2</v>
      </c>
      <c r="S26" s="748">
        <f t="shared" si="14"/>
        <v>2.7603</v>
      </c>
      <c r="T26" s="1"/>
      <c r="U26" s="1"/>
      <c r="V26" s="729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3" t="s">
        <v>1598</v>
      </c>
      <c r="D27" s="754">
        <v>64.400000000000006</v>
      </c>
      <c r="E27" s="772">
        <f>+SUMPRODUCT(D25:D26,E25:E26)</f>
        <v>46.99799999999999</v>
      </c>
      <c r="F27" s="756">
        <v>2.91</v>
      </c>
      <c r="G27" s="1"/>
      <c r="H27" s="728"/>
      <c r="I27" s="773" t="s">
        <v>1599</v>
      </c>
      <c r="J27" s="774">
        <f>+D27</f>
        <v>64.400000000000006</v>
      </c>
      <c r="K27" s="756">
        <f>+F27</f>
        <v>2.91</v>
      </c>
      <c r="L27" s="1"/>
      <c r="M27" s="1"/>
      <c r="N27" s="729"/>
      <c r="O27" s="1"/>
      <c r="P27" s="728"/>
      <c r="Q27" s="773" t="s">
        <v>1599</v>
      </c>
      <c r="R27" s="774">
        <f t="shared" si="13"/>
        <v>6.4399999999999999E-2</v>
      </c>
      <c r="S27" s="756">
        <f t="shared" si="14"/>
        <v>2.91</v>
      </c>
      <c r="T27" s="1"/>
      <c r="U27" s="1"/>
      <c r="V27" s="729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8"/>
      <c r="I28" s="1"/>
      <c r="J28" s="1"/>
      <c r="K28" s="1"/>
      <c r="L28" s="1"/>
      <c r="M28" s="1"/>
      <c r="N28" s="729"/>
      <c r="O28" s="1"/>
      <c r="P28" s="728"/>
      <c r="Q28" s="1"/>
      <c r="R28" s="1"/>
      <c r="S28" s="1"/>
      <c r="T28" s="1"/>
      <c r="U28" s="1"/>
      <c r="V28" s="729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5"/>
      <c r="I29" s="776"/>
      <c r="J29" s="776"/>
      <c r="K29" s="776"/>
      <c r="L29" s="776"/>
      <c r="M29" s="776"/>
      <c r="N29" s="777"/>
      <c r="O29" s="1"/>
      <c r="P29" s="775"/>
      <c r="Q29" s="776"/>
      <c r="R29" s="776"/>
      <c r="S29" s="776"/>
      <c r="T29" s="776"/>
      <c r="U29" s="776"/>
      <c r="V29" s="777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1600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8" t="s">
        <v>1582</v>
      </c>
      <c r="D51" s="779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7" t="s">
        <v>1483</v>
      </c>
      <c r="D52" s="780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7" t="s">
        <v>1484</v>
      </c>
      <c r="D53" s="780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7" t="s">
        <v>1485</v>
      </c>
      <c r="D54" s="780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3" t="s">
        <v>1583</v>
      </c>
      <c r="D55" s="759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972" t="s">
        <v>1601</v>
      </c>
      <c r="J5" s="925"/>
      <c r="K5" s="925"/>
      <c r="L5" s="925"/>
      <c r="M5" s="925"/>
      <c r="N5" s="925"/>
      <c r="O5" s="925"/>
      <c r="P5" s="925"/>
      <c r="Q5" s="925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1"/>
      <c r="J6" s="781">
        <v>2014</v>
      </c>
      <c r="K6" s="781">
        <v>2015</v>
      </c>
      <c r="L6" s="781">
        <v>2016</v>
      </c>
      <c r="M6" s="781">
        <v>2017</v>
      </c>
      <c r="N6" s="781">
        <v>2018</v>
      </c>
      <c r="O6" s="781">
        <v>2019</v>
      </c>
      <c r="P6" s="781">
        <v>2020</v>
      </c>
      <c r="Q6" s="781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2" t="s">
        <v>1602</v>
      </c>
      <c r="J7" s="103">
        <v>1972</v>
      </c>
      <c r="K7" s="103">
        <v>2084</v>
      </c>
      <c r="L7" s="103">
        <v>1849</v>
      </c>
      <c r="M7" s="782">
        <v>1598</v>
      </c>
      <c r="N7" s="782">
        <v>1659</v>
      </c>
      <c r="O7" s="782">
        <v>1727</v>
      </c>
      <c r="P7" s="782">
        <v>1893</v>
      </c>
      <c r="Q7" s="782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1603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1604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1605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1606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3" t="s">
        <v>1012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1607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1608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4" t="s">
        <v>1609</v>
      </c>
      <c r="J16" s="40" t="s">
        <v>1099</v>
      </c>
      <c r="K16" s="785">
        <v>0.29699999999999999</v>
      </c>
      <c r="L16" s="40" t="s">
        <v>1099</v>
      </c>
      <c r="M16" s="40" t="s">
        <v>1099</v>
      </c>
      <c r="N16" s="786">
        <v>0.3</v>
      </c>
      <c r="O16" s="786">
        <v>0.27</v>
      </c>
      <c r="P16" s="786">
        <v>0.28999999999999998</v>
      </c>
      <c r="Q16" s="786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1610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7" t="s">
        <v>1611</v>
      </c>
      <c r="J18" s="49" t="str">
        <f t="shared" ref="J18:Q18" si="2">+IF(J16="-","-",J16*J13)</f>
        <v>-</v>
      </c>
      <c r="K18" s="788">
        <f t="shared" si="2"/>
        <v>548.85599999999999</v>
      </c>
      <c r="L18" s="788" t="str">
        <f t="shared" si="2"/>
        <v>-</v>
      </c>
      <c r="M18" s="788" t="str">
        <f t="shared" si="2"/>
        <v>-</v>
      </c>
      <c r="N18" s="788">
        <f t="shared" si="2"/>
        <v>518.1</v>
      </c>
      <c r="O18" s="788">
        <f t="shared" si="2"/>
        <v>511.11</v>
      </c>
      <c r="P18" s="788">
        <f t="shared" si="2"/>
        <v>513.41599999999994</v>
      </c>
      <c r="Q18" s="788">
        <f t="shared" si="2"/>
        <v>560.42000000000007</v>
      </c>
    </row>
    <row r="20" spans="2:17" x14ac:dyDescent="0.25">
      <c r="I20" s="789" t="s">
        <v>1612</v>
      </c>
    </row>
    <row r="21" spans="2:17" ht="15.75" customHeight="1" x14ac:dyDescent="0.25">
      <c r="C21" s="12" t="s">
        <v>1331</v>
      </c>
      <c r="D21" s="343">
        <v>6117863200</v>
      </c>
      <c r="E21" s="12" t="s">
        <v>1394</v>
      </c>
      <c r="I21" s="112" t="s">
        <v>1613</v>
      </c>
      <c r="J21" s="790">
        <f t="shared" ref="J21:Q21" si="3">-SUM(J8:J11)/J12</f>
        <v>1.4609053497942386</v>
      </c>
      <c r="K21" s="790">
        <f t="shared" si="3"/>
        <v>5.9760956175298807E-2</v>
      </c>
      <c r="L21" s="790">
        <f t="shared" si="3"/>
        <v>-6.8085106382978725E-2</v>
      </c>
      <c r="M21" s="790">
        <f t="shared" si="3"/>
        <v>1.2606837606837606</v>
      </c>
      <c r="N21" s="790">
        <f t="shared" si="3"/>
        <v>1.2845188284518829</v>
      </c>
      <c r="O21" s="790">
        <f t="shared" si="3"/>
        <v>1.6859504132231404</v>
      </c>
      <c r="P21" s="790">
        <f t="shared" si="3"/>
        <v>0.48050847457627122</v>
      </c>
      <c r="Q21" s="790">
        <f t="shared" si="3"/>
        <v>2.002164502164502</v>
      </c>
    </row>
    <row r="22" spans="2:17" ht="15.75" customHeight="1" x14ac:dyDescent="0.25">
      <c r="C22" s="12" t="s">
        <v>1331</v>
      </c>
      <c r="D22" s="343">
        <f>+D21*1000/(1000000000000)</f>
        <v>6.1178632000000004</v>
      </c>
      <c r="E22" s="12" t="s">
        <v>1315</v>
      </c>
      <c r="I22" s="12" t="s">
        <v>1614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1615</v>
      </c>
      <c r="I23" s="12" t="s">
        <v>1616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1617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1618</v>
      </c>
      <c r="J25" s="791">
        <f t="shared" ref="J25:Q25" si="7">-J11/J12</f>
        <v>0</v>
      </c>
      <c r="K25" s="791">
        <f t="shared" si="7"/>
        <v>0</v>
      </c>
      <c r="L25" s="791">
        <f t="shared" si="7"/>
        <v>0</v>
      </c>
      <c r="M25" s="791">
        <f t="shared" si="7"/>
        <v>0.18803418803418803</v>
      </c>
      <c r="N25" s="791">
        <f t="shared" si="7"/>
        <v>0.2384937238493724</v>
      </c>
      <c r="O25" s="791">
        <f t="shared" si="7"/>
        <v>0.27685950413223143</v>
      </c>
      <c r="P25" s="791">
        <f t="shared" si="7"/>
        <v>0.12245762711864407</v>
      </c>
      <c r="Q25" s="791">
        <f t="shared" si="7"/>
        <v>-1.5151515151515152E-2</v>
      </c>
    </row>
    <row r="26" spans="2:17" ht="15.75" customHeight="1" x14ac:dyDescent="0.25"/>
    <row r="27" spans="2:17" ht="15.75" customHeight="1" x14ac:dyDescent="0.25">
      <c r="I27" s="781" t="s">
        <v>1619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1435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1620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1621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1622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1623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972" t="s">
        <v>1624</v>
      </c>
      <c r="J44" s="925"/>
      <c r="K44" s="925"/>
      <c r="L44" s="925"/>
      <c r="M44" s="925"/>
      <c r="N44" s="925"/>
      <c r="O44" s="925"/>
      <c r="P44" s="925"/>
      <c r="Q44" s="99"/>
    </row>
    <row r="45" spans="9:17" ht="15.75" customHeight="1" x14ac:dyDescent="0.25">
      <c r="I45" s="118"/>
      <c r="J45" s="973" t="s">
        <v>1625</v>
      </c>
      <c r="K45" s="925"/>
      <c r="L45" s="973" t="s">
        <v>1626</v>
      </c>
      <c r="M45" s="923"/>
      <c r="N45" s="792"/>
      <c r="O45" s="49" t="s">
        <v>1627</v>
      </c>
      <c r="P45" s="793" t="s">
        <v>1626</v>
      </c>
    </row>
    <row r="46" spans="9:17" ht="15.75" customHeight="1" x14ac:dyDescent="0.25">
      <c r="I46" s="12" t="s">
        <v>1628</v>
      </c>
      <c r="J46" s="14">
        <v>2234</v>
      </c>
      <c r="K46" s="14" t="s">
        <v>1629</v>
      </c>
      <c r="L46" s="402">
        <f>+('5. Data'!AF100+'5. Data'!AF101)*$D$7</f>
        <v>1536.6908880451988</v>
      </c>
      <c r="M46" s="14" t="s">
        <v>1629</v>
      </c>
      <c r="N46" s="794" t="s">
        <v>1628</v>
      </c>
      <c r="O46" s="295">
        <f t="shared" ref="O46:O51" si="10">+J46/$J$53</f>
        <v>0.59700694815606625</v>
      </c>
      <c r="P46" s="795">
        <f>+L46/$L$53</f>
        <v>0.82698632788465398</v>
      </c>
    </row>
    <row r="47" spans="9:17" ht="15.75" customHeight="1" x14ac:dyDescent="0.25">
      <c r="I47" s="12" t="s">
        <v>1264</v>
      </c>
      <c r="J47" s="14">
        <v>508</v>
      </c>
      <c r="K47" s="14" t="s">
        <v>1629</v>
      </c>
      <c r="L47" s="14" t="s">
        <v>1099</v>
      </c>
      <c r="M47" s="14"/>
      <c r="N47" s="794" t="s">
        <v>1264</v>
      </c>
      <c r="O47" s="295">
        <f t="shared" si="10"/>
        <v>0.13575628006413681</v>
      </c>
      <c r="P47" s="795" t="s">
        <v>1099</v>
      </c>
    </row>
    <row r="48" spans="9:17" ht="15.75" customHeight="1" x14ac:dyDescent="0.25">
      <c r="I48" s="12" t="s">
        <v>1222</v>
      </c>
      <c r="J48" s="14">
        <v>584</v>
      </c>
      <c r="K48" s="14" t="s">
        <v>1629</v>
      </c>
      <c r="L48" s="402">
        <f>+'5. Data'!AF99-'5. Data'!AF69</f>
        <v>243.24624083200007</v>
      </c>
      <c r="M48" s="14" t="s">
        <v>1629</v>
      </c>
      <c r="N48" s="794" t="s">
        <v>1222</v>
      </c>
      <c r="O48" s="295">
        <f t="shared" si="10"/>
        <v>0.15606627471940138</v>
      </c>
      <c r="P48" s="795">
        <f t="shared" ref="P48:P52" si="11">+L48/$L$53</f>
        <v>0.13090551720085761</v>
      </c>
    </row>
    <row r="49" spans="9:16" ht="15.75" customHeight="1" x14ac:dyDescent="0.25">
      <c r="I49" s="12" t="s">
        <v>1247</v>
      </c>
      <c r="J49" s="14">
        <v>226</v>
      </c>
      <c r="K49" s="14" t="s">
        <v>1629</v>
      </c>
      <c r="L49" s="402">
        <f>+'5. Data'!AF103</f>
        <v>30.707442634670208</v>
      </c>
      <c r="M49" s="14" t="s">
        <v>1629</v>
      </c>
      <c r="N49" s="794" t="s">
        <v>1247</v>
      </c>
      <c r="O49" s="295">
        <f t="shared" si="10"/>
        <v>6.0395510422234101E-2</v>
      </c>
      <c r="P49" s="795">
        <f t="shared" si="11"/>
        <v>1.6525532506722097E-2</v>
      </c>
    </row>
    <row r="50" spans="9:16" ht="15.75" customHeight="1" x14ac:dyDescent="0.25">
      <c r="I50" s="12" t="s">
        <v>1630</v>
      </c>
      <c r="J50" s="14">
        <v>168</v>
      </c>
      <c r="K50" s="14" t="s">
        <v>1629</v>
      </c>
      <c r="L50" s="402">
        <f>+'5. Data'!AF69</f>
        <v>23.492594688000001</v>
      </c>
      <c r="M50" s="14" t="s">
        <v>1629</v>
      </c>
      <c r="N50" s="794" t="s">
        <v>1630</v>
      </c>
      <c r="O50" s="295">
        <f t="shared" si="10"/>
        <v>4.4895777659005882E-2</v>
      </c>
      <c r="P50" s="795">
        <f t="shared" si="11"/>
        <v>1.2642786369499321E-2</v>
      </c>
    </row>
    <row r="51" spans="9:16" ht="15.75" customHeight="1" x14ac:dyDescent="0.25">
      <c r="I51" s="12" t="s">
        <v>1256</v>
      </c>
      <c r="J51" s="14">
        <v>22</v>
      </c>
      <c r="K51" s="14" t="s">
        <v>1629</v>
      </c>
      <c r="L51" s="402">
        <f>+'5. Data'!AF104</f>
        <v>13.932585988360662</v>
      </c>
      <c r="M51" s="14" t="s">
        <v>1629</v>
      </c>
      <c r="N51" s="794" t="s">
        <v>1256</v>
      </c>
      <c r="O51" s="295">
        <f t="shared" si="10"/>
        <v>5.8792089791555322E-3</v>
      </c>
      <c r="P51" s="795">
        <f t="shared" si="11"/>
        <v>7.4979673622641192E-3</v>
      </c>
    </row>
    <row r="52" spans="9:16" ht="15.75" customHeight="1" x14ac:dyDescent="0.25">
      <c r="I52" s="12" t="s">
        <v>1631</v>
      </c>
      <c r="J52" s="49" t="s">
        <v>1099</v>
      </c>
      <c r="K52" s="49"/>
      <c r="L52" s="788">
        <f>+'5. Data'!AF102</f>
        <v>10.111980967983444</v>
      </c>
      <c r="M52" s="793" t="s">
        <v>1629</v>
      </c>
      <c r="N52" s="792" t="s">
        <v>1631</v>
      </c>
      <c r="O52" s="796" t="s">
        <v>1099</v>
      </c>
      <c r="P52" s="797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1629</v>
      </c>
      <c r="L53" s="402">
        <f>+SUM(L46:L52)</f>
        <v>1858.1817331562133</v>
      </c>
      <c r="M53" s="14" t="s">
        <v>1629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972" t="s">
        <v>1632</v>
      </c>
      <c r="J57" s="925"/>
      <c r="K57" s="925"/>
      <c r="L57" s="925"/>
      <c r="M57" s="925"/>
      <c r="N57" s="925"/>
      <c r="O57" s="925"/>
      <c r="P57" s="925"/>
    </row>
    <row r="58" spans="9:16" ht="15.75" customHeight="1" x14ac:dyDescent="0.25">
      <c r="J58" s="798" t="s">
        <v>1633</v>
      </c>
      <c r="K58" s="798" t="s">
        <v>1634</v>
      </c>
      <c r="L58" s="798" t="s">
        <v>1635</v>
      </c>
      <c r="M58" s="799" t="s">
        <v>1633</v>
      </c>
      <c r="N58" s="798" t="s">
        <v>1634</v>
      </c>
      <c r="O58" s="800" t="s">
        <v>1635</v>
      </c>
    </row>
    <row r="59" spans="9:16" ht="15.75" customHeight="1" x14ac:dyDescent="0.25">
      <c r="I59" s="12" t="s">
        <v>1628</v>
      </c>
      <c r="J59" s="214">
        <v>2234</v>
      </c>
      <c r="K59" s="214">
        <v>322</v>
      </c>
      <c r="L59" s="214">
        <v>16</v>
      </c>
      <c r="M59" s="801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1264</v>
      </c>
      <c r="J60" s="214">
        <v>508</v>
      </c>
      <c r="K60" s="214">
        <v>223</v>
      </c>
      <c r="L60" s="214">
        <v>229</v>
      </c>
      <c r="M60" s="801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1222</v>
      </c>
      <c r="J61" s="214">
        <v>584</v>
      </c>
      <c r="K61" s="214">
        <v>22</v>
      </c>
      <c r="L61" s="214">
        <v>22</v>
      </c>
      <c r="M61" s="801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1247</v>
      </c>
      <c r="J62" s="214">
        <v>226</v>
      </c>
      <c r="K62" s="214">
        <v>115</v>
      </c>
      <c r="L62" s="214">
        <v>73</v>
      </c>
      <c r="M62" s="801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1630</v>
      </c>
      <c r="J63" s="214">
        <v>168</v>
      </c>
      <c r="K63" s="214">
        <v>85</v>
      </c>
      <c r="L63" s="214">
        <v>56</v>
      </c>
      <c r="M63" s="801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1256</v>
      </c>
      <c r="J64" s="214">
        <v>22</v>
      </c>
      <c r="K64" s="214">
        <v>0</v>
      </c>
      <c r="L64" s="214">
        <v>0</v>
      </c>
      <c r="M64" s="801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1631</v>
      </c>
      <c r="J65" s="214" t="s">
        <v>1099</v>
      </c>
      <c r="K65" s="214" t="s">
        <v>1099</v>
      </c>
      <c r="L65" s="214" t="s">
        <v>1099</v>
      </c>
      <c r="M65" s="801"/>
      <c r="N65" s="228"/>
      <c r="O65" s="363"/>
    </row>
    <row r="66" spans="9:17" ht="15.75" customHeight="1" x14ac:dyDescent="0.25">
      <c r="I66" s="12" t="s">
        <v>1636</v>
      </c>
      <c r="J66" s="214">
        <v>17</v>
      </c>
      <c r="K66" s="214">
        <v>8</v>
      </c>
      <c r="L66" s="214">
        <v>7</v>
      </c>
      <c r="M66" s="801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1637</v>
      </c>
      <c r="J67" s="214">
        <v>17</v>
      </c>
      <c r="K67" s="214">
        <v>7</v>
      </c>
      <c r="L67" s="214">
        <v>5</v>
      </c>
      <c r="M67" s="801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1638</v>
      </c>
      <c r="J68" s="214">
        <v>7</v>
      </c>
      <c r="K68" s="214">
        <v>9</v>
      </c>
      <c r="L68" s="214">
        <v>2</v>
      </c>
      <c r="M68" s="801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1639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2">
        <f t="shared" ref="M69:O69" si="22">+J69/J$69</f>
        <v>1</v>
      </c>
      <c r="N69" s="791">
        <f t="shared" si="22"/>
        <v>1</v>
      </c>
      <c r="O69" s="803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1620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4">
        <v>2021</v>
      </c>
    </row>
    <row r="77" spans="9:17" ht="15.75" customHeight="1" x14ac:dyDescent="0.25">
      <c r="I77" s="12" t="s">
        <v>1633</v>
      </c>
      <c r="J77" s="12">
        <f>+J69</f>
        <v>3783</v>
      </c>
      <c r="K77" s="12">
        <v>2949</v>
      </c>
      <c r="L77" s="12">
        <v>3164</v>
      </c>
      <c r="M77" s="801">
        <v>1</v>
      </c>
      <c r="N77" s="228">
        <v>1</v>
      </c>
      <c r="O77" s="363">
        <v>1</v>
      </c>
    </row>
    <row r="78" spans="9:17" ht="15.75" customHeight="1" x14ac:dyDescent="0.25">
      <c r="I78" s="12" t="s">
        <v>1634</v>
      </c>
      <c r="J78" s="12">
        <f>+K69</f>
        <v>791</v>
      </c>
      <c r="K78" s="12">
        <v>632</v>
      </c>
      <c r="L78" s="12">
        <v>689</v>
      </c>
      <c r="M78" s="801">
        <f t="shared" ref="M78:O78" si="23">+J78/J77</f>
        <v>0.2090933121860957</v>
      </c>
      <c r="N78" s="801">
        <f t="shared" si="23"/>
        <v>0.21430993557138012</v>
      </c>
      <c r="O78" s="801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1635</v>
      </c>
      <c r="J79" s="12">
        <f>+L69</f>
        <v>410</v>
      </c>
      <c r="K79" s="12">
        <v>450</v>
      </c>
      <c r="L79" s="12">
        <v>640</v>
      </c>
      <c r="M79" s="802">
        <f t="shared" ref="M79:O79" si="25">+J79/J77</f>
        <v>0.10837959291567539</v>
      </c>
      <c r="N79" s="802">
        <f t="shared" si="25"/>
        <v>0.1525940996948118</v>
      </c>
      <c r="O79" s="802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2022-12-14T07:57:27Z</dcterms:modified>
</cp:coreProperties>
</file>