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9398460E-EFE6-43FE-A5C4-554ECE63BFFF}" xr6:coauthVersionLast="47" xr6:coauthVersionMax="47" xr10:uidLastSave="{00000000-0000-0000-0000-000000000000}"/>
  <bookViews>
    <workbookView xWindow="-120" yWindow="-120" windowWidth="20730" windowHeight="11160" firstSheet="8" activeTab="1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28" i="13" l="1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15" i="13"/>
  <c r="AV30" i="13"/>
  <c r="AV27" i="13"/>
  <c r="AV24" i="13"/>
  <c r="AV21" i="13"/>
  <c r="AV18" i="13"/>
  <c r="AV14" i="13"/>
  <c r="AV11" i="13"/>
  <c r="AV13" i="13"/>
  <c r="AV29" i="13"/>
  <c r="AV26" i="13"/>
  <c r="AV23" i="13"/>
  <c r="AV20" i="13"/>
  <c r="AV17" i="13"/>
  <c r="AV10" i="13"/>
  <c r="AV28" i="13"/>
  <c r="AV12" i="13"/>
  <c r="AV16" i="13"/>
  <c r="AV19" i="13"/>
  <c r="AV22" i="13"/>
  <c r="AV25" i="13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Q56" i="13"/>
  <c r="AO37" i="13"/>
  <c r="AO35" i="13"/>
  <c r="AO33" i="13"/>
  <c r="AO31" i="13"/>
  <c r="AO29" i="13"/>
  <c r="AO27" i="13"/>
  <c r="AO25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Q19" i="13" l="1"/>
  <c r="AQ15" i="13"/>
  <c r="AQ11" i="13"/>
  <c r="AQ22" i="13"/>
  <c r="AQ18" i="13"/>
  <c r="AQ14" i="13"/>
  <c r="AQ10" i="13"/>
  <c r="AQ21" i="13"/>
  <c r="AQ17" i="13"/>
  <c r="AQ13" i="13"/>
  <c r="AQ20" i="13"/>
  <c r="AQ12" i="13"/>
  <c r="D78" i="4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S34" i="13" s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DE26" i="13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BI26" i="13"/>
  <c r="DE32" i="13"/>
  <c r="DI15" i="13" s="1"/>
  <c r="DE31" i="13"/>
  <c r="BI25" i="13"/>
  <c r="DE30" i="13"/>
  <c r="DI13" i="13" s="1"/>
  <c r="DE29" i="13"/>
  <c r="DD27" i="13"/>
  <c r="DD28" i="13" s="1"/>
  <c r="BI24" i="13"/>
  <c r="DH28" i="13"/>
  <c r="DE28" i="13"/>
  <c r="DI27" i="13"/>
  <c r="DE27" i="13"/>
  <c r="DI10" i="13" s="1"/>
  <c r="DN23" i="13"/>
  <c r="DS23" i="13" s="1"/>
  <c r="DX23" i="13" s="1"/>
  <c r="R22" i="13"/>
  <c r="BG21" i="13" a="1"/>
  <c r="BG22" i="13" s="1"/>
  <c r="BF21" i="13"/>
  <c r="BF22" i="13" s="1"/>
  <c r="AX28" i="13" a="1"/>
  <c r="AW29" i="13"/>
  <c r="AW30" i="13" s="1"/>
  <c r="R20" i="13"/>
  <c r="BG18" i="13" a="1"/>
  <c r="BF18" i="13"/>
  <c r="BF19" i="13" s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15" i="13" a="1"/>
  <c r="BF15" i="13"/>
  <c r="BF16" i="13" s="1"/>
  <c r="AX22" i="13" a="1"/>
  <c r="AX22" i="13" s="1"/>
  <c r="AW22" i="13"/>
  <c r="DO12" i="13" s="1"/>
  <c r="G15" i="13"/>
  <c r="DX14" i="13"/>
  <c r="DS14" i="13"/>
  <c r="DN14" i="13"/>
  <c r="DI14" i="13"/>
  <c r="G14" i="13"/>
  <c r="DX13" i="13"/>
  <c r="DS13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G13" i="13"/>
  <c r="DX12" i="13"/>
  <c r="DS12" i="13"/>
  <c r="DN12" i="13"/>
  <c r="DI12" i="13"/>
  <c r="CQ12" i="13"/>
  <c r="CM15" i="13" s="1"/>
  <c r="CM16" i="13" s="1"/>
  <c r="CI12" i="13"/>
  <c r="CE15" i="13" s="1"/>
  <c r="CE16" i="13" s="1"/>
  <c r="CH12" i="13"/>
  <c r="BG12" i="13" a="1"/>
  <c r="BF12" i="13"/>
  <c r="BF13" i="13" s="1"/>
  <c r="BF14" i="13" s="1"/>
  <c r="BD12" i="13" a="1"/>
  <c r="AX19" i="13" a="1"/>
  <c r="AW19" i="13"/>
  <c r="AW20" i="13" s="1"/>
  <c r="AW21" i="13" s="1"/>
  <c r="AU19" i="13" a="1"/>
  <c r="AU30" i="13" s="1"/>
  <c r="G12" i="13"/>
  <c r="DX11" i="13"/>
  <c r="DS11" i="13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G11" i="13"/>
  <c r="DX10" i="13"/>
  <c r="DS10" i="13"/>
  <c r="DN10" i="13"/>
  <c r="CQ10" i="13"/>
  <c r="CM11" i="13" s="1"/>
  <c r="CM12" i="13" s="1"/>
  <c r="CI10" i="13"/>
  <c r="CE11" i="13" s="1"/>
  <c r="CE12" i="13" s="1"/>
  <c r="CH10" i="13"/>
  <c r="R10" i="13"/>
  <c r="G10" i="13"/>
  <c r="DY9" i="13" a="1"/>
  <c r="DY13" i="13" s="1"/>
  <c r="CV31" i="13" s="1"/>
  <c r="DX9" i="13"/>
  <c r="DW9" i="13" a="1"/>
  <c r="DT9" i="13" a="1"/>
  <c r="DT14" i="13" s="1"/>
  <c r="DS9" i="13"/>
  <c r="DR9" i="13" a="1"/>
  <c r="DN9" i="13"/>
  <c r="DM9" i="13" a="1"/>
  <c r="DM11" i="13" s="1"/>
  <c r="DM24" i="13" s="1"/>
  <c r="DI9" i="13"/>
  <c r="CQ9" i="13"/>
  <c r="CM9" i="13" s="1"/>
  <c r="CM10" i="13" s="1"/>
  <c r="CK9" i="13"/>
  <c r="CO9" i="13" s="1"/>
  <c r="CH9" i="13"/>
  <c r="CC9" i="13"/>
  <c r="CG9" i="13" s="1"/>
  <c r="BG9" i="13" a="1"/>
  <c r="BG11" i="13" s="1"/>
  <c r="BF9" i="13"/>
  <c r="DD26" i="13" s="1"/>
  <c r="BD9" i="13" a="1"/>
  <c r="BD9" i="13" s="1"/>
  <c r="AX9" i="13" a="1"/>
  <c r="AX9" i="13" s="1"/>
  <c r="AW9" i="13"/>
  <c r="DO9" i="13" s="1"/>
  <c r="AU9" i="13" a="1"/>
  <c r="N9" i="13" a="1"/>
  <c r="N20" i="13" s="1"/>
  <c r="G9" i="13"/>
  <c r="AB226" i="12"/>
  <c r="AA226" i="12"/>
  <c r="Z226" i="12"/>
  <c r="BJ21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Z221" i="12"/>
  <c r="BJ24" i="13" s="1" a="1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T193" i="12"/>
  <c r="N196" i="12" s="1"/>
  <c r="CP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R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CL10" i="13"/>
  <c r="CL12" i="13" s="1"/>
  <c r="DO10" i="13"/>
  <c r="R12" i="13" s="1"/>
  <c r="R14" i="13" s="1"/>
  <c r="DO14" i="13"/>
  <c r="D54" i="1"/>
  <c r="D44" i="1"/>
  <c r="BX11" i="13" s="1"/>
  <c r="DD12" i="13" s="1"/>
  <c r="BG9" i="13"/>
  <c r="N85" i="2"/>
  <c r="AX26" i="13"/>
  <c r="D45" i="1"/>
  <c r="BX13" i="13" s="1"/>
  <c r="DD14" i="13" s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DY10" i="13"/>
  <c r="CV27" i="13" s="1"/>
  <c r="CV28" i="13" s="1"/>
  <c r="AA22" i="1"/>
  <c r="AL21" i="1"/>
  <c r="E45" i="1"/>
  <c r="AL27" i="1"/>
  <c r="AA23" i="1"/>
  <c r="AL22" i="1"/>
  <c r="Z31" i="1"/>
  <c r="I101" i="5" s="1"/>
  <c r="D49" i="1"/>
  <c r="BX21" i="13" s="1"/>
  <c r="DD20" i="13" s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BX9" i="13" s="1"/>
  <c r="DD10" i="13" s="1"/>
  <c r="D46" i="1"/>
  <c r="BX15" i="13" s="1"/>
  <c r="DD16" i="13" s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BX19" i="13" s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DW13" i="13"/>
  <c r="DW11" i="13"/>
  <c r="BD20" i="13"/>
  <c r="BD14" i="13"/>
  <c r="AW26" i="13"/>
  <c r="AW27" i="13" s="1"/>
  <c r="DO13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15" i="13" a="1"/>
  <c r="BJ17" i="13" s="1"/>
  <c r="BD22" i="13"/>
  <c r="L9" i="14"/>
  <c r="BJ12" i="13" a="1"/>
  <c r="BJ14" i="13" s="1"/>
  <c r="DM13" i="13"/>
  <c r="DM26" i="13" s="1"/>
  <c r="DM10" i="13"/>
  <c r="DM23" i="13" s="1"/>
  <c r="DM14" i="13"/>
  <c r="DM27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18" i="13" a="1"/>
  <c r="BJ18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DY14" i="13"/>
  <c r="CV32" i="13" s="1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DW10" i="13"/>
  <c r="AU20" i="13"/>
  <c r="BD13" i="13"/>
  <c r="BD21" i="13"/>
  <c r="DW14" i="13"/>
  <c r="DY11" i="13"/>
  <c r="CV29" i="13" s="1"/>
  <c r="DO11" i="13"/>
  <c r="AU28" i="13"/>
  <c r="AX21" i="13"/>
  <c r="BD17" i="13"/>
  <c r="AX23" i="13"/>
  <c r="CO24" i="13" a="1"/>
  <c r="CO24" i="13" s="1"/>
  <c r="BD18" i="13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K22" i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BX17" i="13" s="1"/>
  <c r="DD18" i="13" s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Y27" i="13"/>
  <c r="DO26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2" i="13"/>
  <c r="BJ21" i="13"/>
  <c r="BJ23" i="13"/>
  <c r="BF17" i="13"/>
  <c r="DD30" i="13" s="1"/>
  <c r="CL16" i="13"/>
  <c r="DD32" i="13"/>
  <c r="BF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DR12" i="13"/>
  <c r="DR9" i="13"/>
  <c r="DR11" i="13"/>
  <c r="DR14" i="13"/>
  <c r="DR13" i="13"/>
  <c r="DR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BF11" i="13"/>
  <c r="BF10" i="13"/>
  <c r="N198" i="12"/>
  <c r="CP28" i="13" s="1"/>
  <c r="BJ24" i="13"/>
  <c r="BJ26" i="13"/>
  <c r="BJ25" i="13"/>
  <c r="AX11" i="13"/>
  <c r="AX10" i="13"/>
  <c r="CO32" i="13"/>
  <c r="CO29" i="13"/>
  <c r="CO31" i="13"/>
  <c r="CO30" i="13"/>
  <c r="CO33" i="13"/>
  <c r="DT12" i="13"/>
  <c r="DT9" i="13"/>
  <c r="DT11" i="13"/>
  <c r="CD14" i="13" s="1"/>
  <c r="BG17" i="13"/>
  <c r="BG16" i="13"/>
  <c r="BG15" i="13"/>
  <c r="DD31" i="13"/>
  <c r="BF20" i="13"/>
  <c r="CL18" i="13" s="1"/>
  <c r="N195" i="12"/>
  <c r="CP25" i="13" s="1"/>
  <c r="DT10" i="13"/>
  <c r="CD12" i="13" s="1"/>
  <c r="CD10" i="13" s="1"/>
  <c r="CL14" i="13"/>
  <c r="DD29" i="13"/>
  <c r="AX30" i="13"/>
  <c r="AX29" i="13"/>
  <c r="AX28" i="13"/>
  <c r="BD11" i="13"/>
  <c r="BD10" i="13"/>
  <c r="DT13" i="13"/>
  <c r="AW10" i="13"/>
  <c r="AW11" i="13" s="1"/>
  <c r="BG14" i="13"/>
  <c r="BG13" i="13"/>
  <c r="BG12" i="13"/>
  <c r="BG20" i="13"/>
  <c r="BG19" i="13"/>
  <c r="BG18" i="13"/>
  <c r="AU23" i="13"/>
  <c r="AU27" i="13"/>
  <c r="BG21" i="13"/>
  <c r="O17" i="15"/>
  <c r="DM9" i="13"/>
  <c r="DM22" i="13" s="1"/>
  <c r="DM12" i="13"/>
  <c r="DM25" i="13" s="1"/>
  <c r="DW9" i="13"/>
  <c r="DW12" i="13"/>
  <c r="DY9" i="13"/>
  <c r="CV26" i="13" s="1"/>
  <c r="DY12" i="13"/>
  <c r="CV30" i="13" s="1"/>
  <c r="AU21" i="13"/>
  <c r="AU25" i="13"/>
  <c r="AU29" i="13"/>
  <c r="BD12" i="13"/>
  <c r="BD15" i="13"/>
  <c r="BD19" i="13"/>
  <c r="BD23" i="13"/>
  <c r="AX24" i="13"/>
  <c r="AX27" i="13"/>
  <c r="BG23" i="13"/>
  <c r="AU19" i="13"/>
  <c r="AU22" i="13"/>
  <c r="AU26" i="13"/>
  <c r="BD16" i="13"/>
  <c r="AQ70" i="13" l="1"/>
  <c r="AQ49" i="13"/>
  <c r="AQ65" i="13"/>
  <c r="AQ57" i="13"/>
  <c r="AQ53" i="13"/>
  <c r="AP70" i="13"/>
  <c r="AP53" i="13"/>
  <c r="AP65" i="13"/>
  <c r="AP49" i="13"/>
  <c r="AP57" i="13"/>
  <c r="AP61" i="13"/>
  <c r="BJ19" i="13"/>
  <c r="CP29" i="13" a="1"/>
  <c r="CP29" i="13" s="1"/>
  <c r="CO27" i="13"/>
  <c r="BJ15" i="13"/>
  <c r="BJ20" i="13"/>
  <c r="U25" i="13" a="1"/>
  <c r="U26" i="13" s="1"/>
  <c r="BJ16" i="13"/>
  <c r="AR9" i="13" a="1"/>
  <c r="AO48" i="13" s="1"/>
  <c r="DD22" i="13"/>
  <c r="AF9" i="13" a="1"/>
  <c r="AF11" i="13" s="1"/>
  <c r="BT12" i="13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CD16" i="13"/>
  <c r="CD18" i="13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2" i="13"/>
  <c r="Y85" i="12"/>
  <c r="L117" i="4"/>
  <c r="T15" i="11"/>
  <c r="AH15" i="11" s="1"/>
  <c r="N6" i="17"/>
  <c r="N6" i="16"/>
  <c r="CO26" i="13"/>
  <c r="BJ13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E15" i="13" s="1"/>
  <c r="AI20" i="13" s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O9" i="13" a="1"/>
  <c r="BO9" i="13" s="1"/>
  <c r="BS9" i="13" s="1" a="1"/>
  <c r="BS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Y9" i="13" a="1"/>
  <c r="Y9" i="13" s="1"/>
  <c r="BI9" i="13" a="1"/>
  <c r="BI14" i="13" s="1"/>
  <c r="DW22" i="13" a="1"/>
  <c r="DW25" i="13" s="1"/>
  <c r="U166" i="11"/>
  <c r="Q166" i="11"/>
  <c r="O166" i="11"/>
  <c r="AE12" i="13"/>
  <c r="AI14" i="13" s="1"/>
  <c r="AE9" i="13"/>
  <c r="AE13" i="13"/>
  <c r="AI16" i="13" s="1"/>
  <c r="AL40" i="1"/>
  <c r="AB10" i="11"/>
  <c r="AC10" i="11"/>
  <c r="AP10" i="11" s="1"/>
  <c r="BT13" i="13"/>
  <c r="BT11" i="13"/>
  <c r="BT14" i="13"/>
  <c r="U30" i="13"/>
  <c r="CP30" i="13"/>
  <c r="CP33" i="13"/>
  <c r="CP32" i="13"/>
  <c r="CP31" i="13"/>
  <c r="AC19" i="11"/>
  <c r="DR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W22" i="13" l="1"/>
  <c r="U28" i="13"/>
  <c r="AO56" i="13"/>
  <c r="AO64" i="13"/>
  <c r="DW27" i="13"/>
  <c r="DW26" i="13"/>
  <c r="U25" i="13"/>
  <c r="U27" i="13"/>
  <c r="DW23" i="13"/>
  <c r="DW24" i="13"/>
  <c r="U29" i="13"/>
  <c r="U31" i="13"/>
  <c r="AF14" i="13"/>
  <c r="V13" i="13"/>
  <c r="AF9" i="13"/>
  <c r="AF10" i="13"/>
  <c r="AF12" i="13"/>
  <c r="AF15" i="13"/>
  <c r="AF13" i="13"/>
  <c r="AR9" i="13"/>
  <c r="AO43" i="13" s="1"/>
  <c r="AO69" i="13"/>
  <c r="AO52" i="13"/>
  <c r="AO60" i="13"/>
  <c r="D9" i="13"/>
  <c r="R9" i="13" s="1"/>
  <c r="D14" i="13"/>
  <c r="R19" i="13" s="1"/>
  <c r="AL34" i="1"/>
  <c r="BT10" i="13"/>
  <c r="BT9" i="13"/>
  <c r="AL32" i="1"/>
  <c r="BT15" i="13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BI23" i="13"/>
  <c r="BI17" i="13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BI16" i="13"/>
  <c r="BI10" i="13"/>
  <c r="E62" i="16"/>
  <c r="E9" i="16"/>
  <c r="C10" i="16"/>
  <c r="E10" i="16" s="1"/>
  <c r="AP64" i="13"/>
  <c r="AP48" i="13"/>
  <c r="AP60" i="13"/>
  <c r="AP56" i="13"/>
  <c r="AP69" i="13"/>
  <c r="AP52" i="13"/>
  <c r="E112" i="17"/>
  <c r="BI20" i="13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B19" i="11"/>
  <c r="BI19" i="13"/>
  <c r="BI18" i="13"/>
  <c r="E15" i="16"/>
  <c r="F106" i="16"/>
  <c r="E13" i="16"/>
  <c r="F105" i="16"/>
  <c r="AA99" i="12"/>
  <c r="R156" i="12" s="1"/>
  <c r="BY10" i="13" s="1"/>
  <c r="BY9" i="13" s="1"/>
  <c r="Y11" i="13"/>
  <c r="BI9" i="13"/>
  <c r="BI12" i="13"/>
  <c r="BI21" i="13"/>
  <c r="BI22" i="13"/>
  <c r="Y14" i="13"/>
  <c r="Y13" i="13"/>
  <c r="DC19" i="13"/>
  <c r="Y10" i="13"/>
  <c r="BI15" i="13"/>
  <c r="BI11" i="13"/>
  <c r="BI13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7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R24" i="13"/>
  <c r="DR23" i="13"/>
  <c r="DR27" i="13"/>
  <c r="DR26" i="13"/>
  <c r="DR22" i="13"/>
  <c r="DR25" i="13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DC32" i="13" l="1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BE9" i="13" a="1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E15" i="13"/>
  <c r="BE14" i="13"/>
  <c r="BE20" i="13"/>
  <c r="BE9" i="13"/>
  <c r="BE18" i="13"/>
  <c r="BE16" i="13"/>
  <c r="BE11" i="13"/>
  <c r="BE10" i="13"/>
  <c r="BE12" i="13"/>
  <c r="BE23" i="13"/>
  <c r="BE22" i="13"/>
  <c r="BE21" i="13"/>
  <c r="BE17" i="13"/>
  <c r="BE19" i="13"/>
  <c r="BE13" i="13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<sst xmlns="http://schemas.openxmlformats.org/spreadsheetml/2006/main" count="5733" uniqueCount="1775">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</sst>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  <fill>
      <patternFill patternType="solid">
        <fgColor theme="0"/>
        <bgColor theme="5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2" fillId="27" borderId="0" applyNumberFormat="0" applyBorder="0" applyAlignment="0" applyProtection="0"/>
  </cellStyleXfs>
  <cellXfs count="1039">
    <xf numFmtId="0" fontId="0" fillId="0" borderId="0" xfId="0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 wrapText="1"/>
    </xf>
    <xf numFmtId="0" fontId="11" fillId="0" borderId="0" xfId="0" applyFont="1" applyAlignment="1">
      <alignment wrapText="1"/>
    </xf>
    <xf numFmtId="164" fontId="14" fillId="2" borderId="1" xfId="0" applyNumberFormat="1" applyFont="1" applyFill="1" applyBorder="1"/>
    <xf numFmtId="164" fontId="15" fillId="2" borderId="1" xfId="0" applyNumberFormat="1" applyFont="1" applyFill="1" applyBorder="1"/>
    <xf numFmtId="164" fontId="16" fillId="3" borderId="5" xfId="0" applyNumberFormat="1" applyFont="1" applyFill="1" applyBorder="1" applyAlignment="1">
      <alignment horizontal="left"/>
    </xf>
    <xf numFmtId="164" fontId="16" fillId="3" borderId="6" xfId="0" applyNumberFormat="1" applyFont="1" applyFill="1" applyBorder="1" applyAlignment="1">
      <alignment horizontal="left"/>
    </xf>
    <xf numFmtId="164" fontId="17" fillId="4" borderId="7" xfId="0" applyNumberFormat="1" applyFont="1" applyFill="1" applyBorder="1" applyAlignment="1">
      <alignment horizontal="left" wrapText="1"/>
    </xf>
    <xf numFmtId="165" fontId="11" fillId="0" borderId="0" xfId="0" applyNumberFormat="1" applyFont="1"/>
    <xf numFmtId="0" fontId="18" fillId="0" borderId="0" xfId="0" applyFont="1"/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14" fillId="0" borderId="0" xfId="0" applyNumberFormat="1" applyFont="1"/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165" fontId="11" fillId="2" borderId="1" xfId="0" applyNumberFormat="1" applyFont="1" applyFill="1" applyBorder="1"/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2" fillId="0" borderId="10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2" fillId="0" borderId="8" xfId="0" applyFont="1" applyBorder="1"/>
    <xf numFmtId="0" fontId="22" fillId="0" borderId="13" xfId="0" applyFont="1" applyBorder="1" applyAlignment="1">
      <alignment horizontal="left"/>
    </xf>
    <xf numFmtId="0" fontId="22" fillId="0" borderId="9" xfId="0" applyFont="1" applyBorder="1"/>
    <xf numFmtId="0" fontId="11" fillId="0" borderId="10" xfId="0" applyFont="1" applyBorder="1"/>
    <xf numFmtId="0" fontId="19" fillId="0" borderId="13" xfId="0" applyFont="1" applyBorder="1" applyAlignment="1">
      <alignment horizontal="left"/>
    </xf>
    <xf numFmtId="0" fontId="19" fillId="0" borderId="9" xfId="0" applyFont="1" applyBorder="1" applyAlignment="1">
      <alignment horizontal="left" vertical="center"/>
    </xf>
    <xf numFmtId="0" fontId="11" fillId="0" borderId="13" xfId="0" applyFont="1" applyBorder="1" applyAlignment="1">
      <alignment horizontal="center"/>
    </xf>
    <xf numFmtId="2" fontId="11" fillId="0" borderId="10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1" fillId="0" borderId="14" xfId="0" applyFont="1" applyBorder="1"/>
    <xf numFmtId="0" fontId="19" fillId="0" borderId="15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1" fillId="0" borderId="15" xfId="0" applyFont="1" applyBorder="1" applyAlignment="1">
      <alignment horizont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11" fillId="0" borderId="11" xfId="0" applyFont="1" applyBorder="1"/>
    <xf numFmtId="0" fontId="19" fillId="0" borderId="0" xfId="0" applyFont="1" applyAlignment="1">
      <alignment horizontal="left"/>
    </xf>
    <xf numFmtId="2" fontId="11" fillId="0" borderId="11" xfId="0" applyNumberFormat="1" applyFont="1" applyBorder="1" applyAlignment="1">
      <alignment vertical="center"/>
    </xf>
    <xf numFmtId="2" fontId="11" fillId="0" borderId="12" xfId="0" applyNumberFormat="1" applyFont="1" applyBorder="1" applyAlignment="1">
      <alignment vertical="center"/>
    </xf>
    <xf numFmtId="0" fontId="11" fillId="0" borderId="17" xfId="0" applyFont="1" applyBorder="1"/>
    <xf numFmtId="0" fontId="19" fillId="0" borderId="18" xfId="0" applyFont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11" fillId="0" borderId="17" xfId="0" applyNumberFormat="1" applyFont="1" applyBorder="1" applyAlignment="1">
      <alignment vertical="center"/>
    </xf>
    <xf numFmtId="2" fontId="11" fillId="0" borderId="19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2" fontId="11" fillId="0" borderId="17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0" fillId="0" borderId="15" xfId="0" applyFont="1" applyBorder="1" applyAlignment="1">
      <alignment horizontal="left"/>
    </xf>
    <xf numFmtId="0" fontId="20" fillId="0" borderId="15" xfId="0" applyFont="1" applyBorder="1" applyAlignment="1">
      <alignment horizontal="left" vertical="center"/>
    </xf>
    <xf numFmtId="0" fontId="12" fillId="2" borderId="20" xfId="0" applyFont="1" applyFill="1" applyBorder="1" applyAlignment="1">
      <alignment horizontal="center"/>
    </xf>
    <xf numFmtId="2" fontId="11" fillId="0" borderId="21" xfId="0" applyNumberFormat="1" applyFont="1" applyBorder="1" applyAlignment="1">
      <alignment horizontal="center"/>
    </xf>
    <xf numFmtId="2" fontId="11" fillId="0" borderId="14" xfId="0" applyNumberFormat="1" applyFont="1" applyBorder="1" applyAlignment="1">
      <alignment horizontal="center"/>
    </xf>
    <xf numFmtId="0" fontId="20" fillId="0" borderId="18" xfId="0" applyFont="1" applyBorder="1" applyAlignment="1">
      <alignment horizontal="left"/>
    </xf>
    <xf numFmtId="0" fontId="12" fillId="2" borderId="22" xfId="0" applyFont="1" applyFill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" fontId="20" fillId="0" borderId="0" xfId="0" applyNumberFormat="1" applyFont="1"/>
    <xf numFmtId="0" fontId="23" fillId="0" borderId="0" xfId="0" applyFont="1"/>
    <xf numFmtId="0" fontId="23" fillId="5" borderId="1" xfId="0" applyFont="1" applyFill="1" applyBorder="1" applyAlignment="1">
      <alignment horizontal="left"/>
    </xf>
    <xf numFmtId="9" fontId="23" fillId="5" borderId="1" xfId="0" applyNumberFormat="1" applyFont="1" applyFill="1" applyBorder="1" applyAlignment="1">
      <alignment horizontal="left"/>
    </xf>
    <xf numFmtId="0" fontId="23" fillId="0" borderId="0" xfId="0" applyFont="1" applyAlignment="1">
      <alignment horizontal="left"/>
    </xf>
    <xf numFmtId="10" fontId="23" fillId="0" borderId="0" xfId="0" applyNumberFormat="1" applyFont="1" applyAlignment="1">
      <alignment horizontal="left"/>
    </xf>
    <xf numFmtId="0" fontId="19" fillId="0" borderId="14" xfId="0" applyFont="1" applyBorder="1"/>
    <xf numFmtId="0" fontId="19" fillId="0" borderId="15" xfId="0" applyFont="1" applyBorder="1"/>
    <xf numFmtId="167" fontId="19" fillId="0" borderId="14" xfId="0" applyNumberFormat="1" applyFont="1" applyBorder="1"/>
    <xf numFmtId="167" fontId="19" fillId="0" borderId="16" xfId="0" applyNumberFormat="1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168" fontId="20" fillId="0" borderId="0" xfId="0" applyNumberFormat="1" applyFont="1"/>
    <xf numFmtId="2" fontId="11" fillId="0" borderId="24" xfId="0" applyNumberFormat="1" applyFont="1" applyBorder="1" applyAlignment="1">
      <alignment horizontal="center"/>
    </xf>
    <xf numFmtId="169" fontId="20" fillId="0" borderId="0" xfId="0" applyNumberFormat="1" applyFont="1"/>
    <xf numFmtId="167" fontId="20" fillId="0" borderId="0" xfId="0" applyNumberFormat="1" applyFont="1"/>
    <xf numFmtId="170" fontId="19" fillId="0" borderId="0" xfId="0" applyNumberFormat="1" applyFont="1"/>
    <xf numFmtId="1" fontId="19" fillId="0" borderId="0" xfId="0" applyNumberFormat="1" applyFont="1"/>
    <xf numFmtId="2" fontId="20" fillId="0" borderId="0" xfId="0" applyNumberFormat="1" applyFont="1"/>
    <xf numFmtId="0" fontId="22" fillId="0" borderId="24" xfId="0" applyFont="1" applyBorder="1"/>
    <xf numFmtId="0" fontId="22" fillId="0" borderId="16" xfId="0" applyFont="1" applyBorder="1"/>
    <xf numFmtId="0" fontId="19" fillId="0" borderId="24" xfId="0" applyFont="1" applyBorder="1"/>
    <xf numFmtId="0" fontId="20" fillId="0" borderId="15" xfId="0" applyFont="1" applyBorder="1"/>
    <xf numFmtId="0" fontId="20" fillId="0" borderId="16" xfId="0" applyFont="1" applyBorder="1" applyAlignment="1">
      <alignment horizontal="right"/>
    </xf>
    <xf numFmtId="0" fontId="12" fillId="0" borderId="2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9" fillId="0" borderId="21" xfId="0" applyFont="1" applyBorder="1"/>
    <xf numFmtId="0" fontId="20" fillId="0" borderId="0" xfId="0" applyFont="1" applyAlignment="1">
      <alignment horizontal="center"/>
    </xf>
    <xf numFmtId="0" fontId="20" fillId="0" borderId="12" xfId="0" applyFont="1" applyBorder="1" applyAlignment="1">
      <alignment horizontal="right"/>
    </xf>
    <xf numFmtId="0" fontId="12" fillId="0" borderId="0" xfId="0" applyFont="1"/>
    <xf numFmtId="0" fontId="20" fillId="0" borderId="0" xfId="0" applyFont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11" fillId="0" borderId="8" xfId="0" applyFont="1" applyBorder="1"/>
    <xf numFmtId="0" fontId="11" fillId="0" borderId="13" xfId="0" applyFont="1" applyBorder="1"/>
    <xf numFmtId="2" fontId="11" fillId="0" borderId="8" xfId="0" applyNumberFormat="1" applyFont="1" applyBorder="1" applyAlignment="1">
      <alignment horizontal="center"/>
    </xf>
    <xf numFmtId="171" fontId="11" fillId="0" borderId="9" xfId="0" applyNumberFormat="1" applyFont="1" applyBorder="1" applyAlignment="1">
      <alignment horizontal="center"/>
    </xf>
    <xf numFmtId="2" fontId="19" fillId="0" borderId="8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/>
    </xf>
    <xf numFmtId="0" fontId="19" fillId="0" borderId="13" xfId="0" applyFont="1" applyBorder="1"/>
    <xf numFmtId="0" fontId="20" fillId="0" borderId="9" xfId="0" applyFont="1" applyBorder="1" applyAlignment="1">
      <alignment horizontal="center" vertical="center"/>
    </xf>
    <xf numFmtId="170" fontId="20" fillId="0" borderId="12" xfId="0" applyNumberFormat="1" applyFont="1" applyBorder="1" applyAlignment="1">
      <alignment horizontal="right"/>
    </xf>
    <xf numFmtId="0" fontId="11" fillId="0" borderId="24" xfId="0" applyFont="1" applyBorder="1"/>
    <xf numFmtId="0" fontId="11" fillId="0" borderId="15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0" fontId="11" fillId="0" borderId="18" xfId="0" applyFont="1" applyBorder="1"/>
    <xf numFmtId="171" fontId="11" fillId="0" borderId="16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71" fontId="11" fillId="0" borderId="12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12" xfId="0" applyFont="1" applyBorder="1" applyAlignment="1">
      <alignment horizontal="center" vertical="center"/>
    </xf>
    <xf numFmtId="170" fontId="11" fillId="0" borderId="21" xfId="0" applyNumberFormat="1" applyFont="1" applyBorder="1" applyAlignment="1">
      <alignment horizontal="center"/>
    </xf>
    <xf numFmtId="171" fontId="11" fillId="0" borderId="19" xfId="0" applyNumberFormat="1" applyFont="1" applyBorder="1" applyAlignment="1">
      <alignment horizontal="center"/>
    </xf>
    <xf numFmtId="2" fontId="19" fillId="0" borderId="23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2" fontId="11" fillId="0" borderId="12" xfId="0" applyNumberFormat="1" applyFont="1" applyBorder="1" applyAlignment="1">
      <alignment horizontal="right"/>
    </xf>
    <xf numFmtId="170" fontId="19" fillId="0" borderId="24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right"/>
    </xf>
    <xf numFmtId="0" fontId="19" fillId="0" borderId="23" xfId="0" applyFont="1" applyBorder="1"/>
    <xf numFmtId="0" fontId="20" fillId="0" borderId="19" xfId="0" applyFont="1" applyBorder="1"/>
    <xf numFmtId="0" fontId="20" fillId="0" borderId="18" xfId="0" applyFont="1" applyBorder="1"/>
    <xf numFmtId="0" fontId="20" fillId="0" borderId="19" xfId="0" applyFont="1" applyBorder="1" applyAlignment="1">
      <alignment horizontal="right"/>
    </xf>
    <xf numFmtId="9" fontId="23" fillId="0" borderId="0" xfId="0" applyNumberFormat="1" applyFont="1" applyAlignment="1">
      <alignment horizontal="left"/>
    </xf>
    <xf numFmtId="172" fontId="19" fillId="0" borderId="0" xfId="0" applyNumberFormat="1" applyFont="1"/>
    <xf numFmtId="171" fontId="19" fillId="0" borderId="0" xfId="0" applyNumberFormat="1" applyFont="1"/>
    <xf numFmtId="0" fontId="25" fillId="0" borderId="0" xfId="0" applyFont="1"/>
    <xf numFmtId="0" fontId="22" fillId="0" borderId="0" xfId="0" applyFont="1"/>
    <xf numFmtId="0" fontId="26" fillId="0" borderId="25" xfId="0" applyFont="1" applyBorder="1" applyAlignment="1">
      <alignment vertical="center" wrapText="1"/>
    </xf>
    <xf numFmtId="0" fontId="26" fillId="0" borderId="26" xfId="0" applyFont="1" applyBorder="1" applyAlignment="1">
      <alignment vertical="center" wrapText="1"/>
    </xf>
    <xf numFmtId="173" fontId="19" fillId="0" borderId="0" xfId="0" applyNumberFormat="1" applyFont="1"/>
    <xf numFmtId="11" fontId="19" fillId="0" borderId="0" xfId="0" applyNumberFormat="1" applyFont="1"/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>
      <alignment vertical="center" wrapText="1"/>
    </xf>
    <xf numFmtId="0" fontId="27" fillId="6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horizontal="center" vertical="center"/>
    </xf>
    <xf numFmtId="0" fontId="28" fillId="7" borderId="33" xfId="0" applyFont="1" applyFill="1" applyBorder="1"/>
    <xf numFmtId="0" fontId="28" fillId="7" borderId="34" xfId="0" applyFont="1" applyFill="1" applyBorder="1"/>
    <xf numFmtId="0" fontId="28" fillId="7" borderId="32" xfId="0" applyFont="1" applyFill="1" applyBorder="1" applyAlignment="1">
      <alignment horizontal="center"/>
    </xf>
    <xf numFmtId="0" fontId="28" fillId="7" borderId="32" xfId="0" applyFont="1" applyFill="1" applyBorder="1" applyAlignment="1">
      <alignment horizontal="center" vertical="center" wrapText="1"/>
    </xf>
    <xf numFmtId="0" fontId="23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0" fontId="23" fillId="8" borderId="32" xfId="0" applyFont="1" applyFill="1" applyBorder="1" applyAlignment="1">
      <alignment horizontal="left" vertical="top"/>
    </xf>
    <xf numFmtId="0" fontId="23" fillId="8" borderId="32" xfId="0" applyFont="1" applyFill="1" applyBorder="1" applyAlignment="1">
      <alignment vertical="center" wrapText="1"/>
    </xf>
    <xf numFmtId="0" fontId="23" fillId="8" borderId="32" xfId="0" applyFont="1" applyFill="1" applyBorder="1"/>
    <xf numFmtId="171" fontId="23" fillId="8" borderId="32" xfId="0" applyNumberFormat="1" applyFont="1" applyFill="1" applyBorder="1"/>
    <xf numFmtId="174" fontId="23" fillId="8" borderId="32" xfId="0" applyNumberFormat="1" applyFont="1" applyFill="1" applyBorder="1"/>
    <xf numFmtId="0" fontId="29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1" fontId="30" fillId="0" borderId="32" xfId="0" applyNumberFormat="1" applyFont="1" applyBorder="1"/>
    <xf numFmtId="174" fontId="30" fillId="0" borderId="32" xfId="0" applyNumberFormat="1" applyFont="1" applyBorder="1"/>
    <xf numFmtId="171" fontId="29" fillId="0" borderId="32" xfId="0" applyNumberFormat="1" applyFont="1" applyBorder="1"/>
    <xf numFmtId="0" fontId="29" fillId="8" borderId="32" xfId="0" applyFont="1" applyFill="1" applyBorder="1" applyAlignment="1">
      <alignment horizontal="right" vertical="top"/>
    </xf>
    <xf numFmtId="0" fontId="23" fillId="8" borderId="32" xfId="0" applyFont="1" applyFill="1" applyBorder="1" applyAlignment="1">
      <alignment horizontal="left" vertical="center" wrapText="1"/>
    </xf>
    <xf numFmtId="0" fontId="29" fillId="0" borderId="32" xfId="0" applyFont="1" applyBorder="1" applyAlignment="1">
      <alignment horizontal="right" vertical="top"/>
    </xf>
    <xf numFmtId="0" fontId="23" fillId="0" borderId="32" xfId="0" applyFont="1" applyBorder="1" applyAlignment="1">
      <alignment horizontal="left" vertical="center" wrapText="1"/>
    </xf>
    <xf numFmtId="0" fontId="28" fillId="6" borderId="32" xfId="0" applyFont="1" applyFill="1" applyBorder="1" applyAlignment="1">
      <alignment vertical="center"/>
    </xf>
    <xf numFmtId="166" fontId="23" fillId="0" borderId="32" xfId="0" applyNumberFormat="1" applyFont="1" applyBorder="1"/>
    <xf numFmtId="175" fontId="23" fillId="0" borderId="32" xfId="0" applyNumberFormat="1" applyFont="1" applyBorder="1"/>
    <xf numFmtId="166" fontId="23" fillId="8" borderId="32" xfId="0" applyNumberFormat="1" applyFont="1" applyFill="1" applyBorder="1"/>
    <xf numFmtId="175" fontId="23" fillId="8" borderId="32" xfId="0" applyNumberFormat="1" applyFont="1" applyFill="1" applyBorder="1"/>
    <xf numFmtId="172" fontId="23" fillId="8" borderId="32" xfId="0" applyNumberFormat="1" applyFont="1" applyFill="1" applyBorder="1"/>
    <xf numFmtId="166" fontId="23" fillId="0" borderId="0" xfId="0" applyNumberFormat="1" applyFont="1"/>
    <xf numFmtId="175" fontId="23" fillId="0" borderId="0" xfId="0" applyNumberFormat="1" applyFont="1"/>
    <xf numFmtId="0" fontId="27" fillId="6" borderId="1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4" xfId="0" applyFont="1" applyFill="1" applyBorder="1" applyAlignment="1">
      <alignment horizontal="center" vertical="center" wrapText="1"/>
    </xf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66" fontId="31" fillId="2" borderId="33" xfId="0" applyNumberFormat="1" applyFont="1" applyFill="1" applyBorder="1"/>
    <xf numFmtId="166" fontId="31" fillId="2" borderId="34" xfId="0" applyNumberFormat="1" applyFont="1" applyFill="1" applyBorder="1"/>
    <xf numFmtId="175" fontId="31" fillId="2" borderId="32" xfId="0" applyNumberFormat="1" applyFont="1" applyFill="1" applyBorder="1"/>
    <xf numFmtId="166" fontId="31" fillId="2" borderId="32" xfId="0" applyNumberFormat="1" applyFont="1" applyFill="1" applyBorder="1"/>
    <xf numFmtId="166" fontId="28" fillId="7" borderId="32" xfId="0" applyNumberFormat="1" applyFont="1" applyFill="1" applyBorder="1" applyAlignment="1">
      <alignment horizontal="center" vertical="center" wrapText="1"/>
    </xf>
    <xf numFmtId="166" fontId="31" fillId="8" borderId="33" xfId="0" applyNumberFormat="1" applyFont="1" applyFill="1" applyBorder="1"/>
    <xf numFmtId="166" fontId="31" fillId="8" borderId="34" xfId="0" applyNumberFormat="1" applyFont="1" applyFill="1" applyBorder="1"/>
    <xf numFmtId="175" fontId="31" fillId="8" borderId="32" xfId="0" applyNumberFormat="1" applyFont="1" applyFill="1" applyBorder="1"/>
    <xf numFmtId="166" fontId="31" fillId="8" borderId="32" xfId="0" applyNumberFormat="1" applyFont="1" applyFill="1" applyBorder="1"/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169" fontId="11" fillId="0" borderId="0" xfId="0" applyNumberFormat="1" applyFont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/>
    <xf numFmtId="0" fontId="16" fillId="3" borderId="5" xfId="0" applyFont="1" applyFill="1" applyBorder="1" applyAlignment="1">
      <alignment horizontal="left"/>
    </xf>
    <xf numFmtId="0" fontId="16" fillId="3" borderId="6" xfId="0" applyFont="1" applyFill="1" applyBorder="1" applyAlignment="1">
      <alignment horizontal="left"/>
    </xf>
    <xf numFmtId="0" fontId="16" fillId="3" borderId="5" xfId="0" applyFont="1" applyFill="1" applyBorder="1" applyAlignment="1">
      <alignment horizontal="center" wrapText="1"/>
    </xf>
    <xf numFmtId="0" fontId="17" fillId="4" borderId="7" xfId="0" applyFont="1" applyFill="1" applyBorder="1" applyAlignment="1">
      <alignment horizontal="left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170" fontId="11" fillId="0" borderId="0" xfId="0" applyNumberFormat="1" applyFont="1"/>
    <xf numFmtId="0" fontId="11" fillId="5" borderId="1" xfId="0" applyFont="1" applyFill="1" applyBorder="1"/>
    <xf numFmtId="0" fontId="11" fillId="9" borderId="1" xfId="0" applyFont="1" applyFill="1" applyBorder="1"/>
    <xf numFmtId="9" fontId="11" fillId="9" borderId="1" xfId="0" applyNumberFormat="1" applyFont="1" applyFill="1" applyBorder="1"/>
    <xf numFmtId="0" fontId="34" fillId="10" borderId="1" xfId="0" applyFont="1" applyFill="1" applyBorder="1" applyAlignment="1">
      <alignment horizontal="center" vertical="center"/>
    </xf>
    <xf numFmtId="2" fontId="11" fillId="10" borderId="1" xfId="0" applyNumberFormat="1" applyFont="1" applyFill="1" applyBorder="1"/>
    <xf numFmtId="0" fontId="34" fillId="0" borderId="0" xfId="0" applyFont="1" applyAlignment="1">
      <alignment horizontal="center" vertical="center"/>
    </xf>
    <xf numFmtId="2" fontId="11" fillId="0" borderId="0" xfId="0" applyNumberFormat="1" applyFont="1"/>
    <xf numFmtId="170" fontId="11" fillId="9" borderId="1" xfId="0" applyNumberFormat="1" applyFont="1" applyFill="1" applyBorder="1"/>
    <xf numFmtId="169" fontId="11" fillId="9" borderId="1" xfId="0" applyNumberFormat="1" applyFont="1" applyFill="1" applyBorder="1"/>
    <xf numFmtId="167" fontId="11" fillId="9" borderId="1" xfId="0" applyNumberFormat="1" applyFont="1" applyFill="1" applyBorder="1"/>
    <xf numFmtId="169" fontId="11" fillId="10" borderId="1" xfId="0" applyNumberFormat="1" applyFont="1" applyFill="1" applyBorder="1"/>
    <xf numFmtId="0" fontId="34" fillId="0" borderId="0" xfId="0" applyFont="1" applyAlignment="1">
      <alignment horizontal="center"/>
    </xf>
    <xf numFmtId="9" fontId="11" fillId="0" borderId="0" xfId="0" applyNumberFormat="1" applyFont="1"/>
    <xf numFmtId="0" fontId="11" fillId="11" borderId="41" xfId="0" applyFont="1" applyFill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1" fontId="11" fillId="0" borderId="0" xfId="0" applyNumberFormat="1" applyFont="1"/>
    <xf numFmtId="176" fontId="11" fillId="11" borderId="41" xfId="0" applyNumberFormat="1" applyFont="1" applyFill="1" applyBorder="1" applyAlignment="1">
      <alignment horizontal="center" vertical="center"/>
    </xf>
    <xf numFmtId="0" fontId="19" fillId="2" borderId="1" xfId="0" applyFont="1" applyFill="1" applyBorder="1"/>
    <xf numFmtId="0" fontId="35" fillId="2" borderId="1" xfId="0" applyFont="1" applyFill="1" applyBorder="1"/>
    <xf numFmtId="0" fontId="35" fillId="0" borderId="0" xfId="0" applyFont="1"/>
    <xf numFmtId="164" fontId="35" fillId="0" borderId="0" xfId="0" applyNumberFormat="1" applyFont="1"/>
    <xf numFmtId="0" fontId="22" fillId="3" borderId="5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164" fontId="22" fillId="3" borderId="6" xfId="0" applyNumberFormat="1" applyFont="1" applyFill="1" applyBorder="1" applyAlignment="1">
      <alignment horizontal="left"/>
    </xf>
    <xf numFmtId="0" fontId="19" fillId="4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0" fontId="19" fillId="4" borderId="6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center" wrapText="1"/>
    </xf>
    <xf numFmtId="169" fontId="19" fillId="0" borderId="0" xfId="0" applyNumberFormat="1" applyFont="1"/>
    <xf numFmtId="0" fontId="19" fillId="0" borderId="0" xfId="0" applyFont="1" applyAlignment="1">
      <alignment horizontal="center" vertical="center"/>
    </xf>
    <xf numFmtId="169" fontId="19" fillId="2" borderId="1" xfId="0" applyNumberFormat="1" applyFont="1" applyFill="1" applyBorder="1"/>
    <xf numFmtId="0" fontId="15" fillId="2" borderId="1" xfId="0" applyFont="1" applyFill="1" applyBorder="1" applyAlignment="1">
      <alignment vertical="center" wrapText="1"/>
    </xf>
    <xf numFmtId="169" fontId="15" fillId="2" borderId="1" xfId="0" applyNumberFormat="1" applyFont="1" applyFill="1" applyBorder="1" applyAlignment="1">
      <alignment wrapText="1"/>
    </xf>
    <xf numFmtId="164" fontId="19" fillId="0" borderId="0" xfId="0" applyNumberFormat="1" applyFont="1" applyAlignment="1">
      <alignment wrapText="1"/>
    </xf>
    <xf numFmtId="0" fontId="19" fillId="0" borderId="0" xfId="0" applyFont="1" applyAlignment="1">
      <alignment wrapText="1"/>
    </xf>
    <xf numFmtId="9" fontId="19" fillId="0" borderId="0" xfId="0" applyNumberFormat="1" applyFont="1" applyAlignment="1">
      <alignment horizontal="center" vertical="center" wrapText="1"/>
    </xf>
    <xf numFmtId="9" fontId="19" fillId="0" borderId="0" xfId="0" applyNumberFormat="1" applyFont="1" applyAlignment="1">
      <alignment wrapText="1"/>
    </xf>
    <xf numFmtId="164" fontId="19" fillId="2" borderId="1" xfId="0" applyNumberFormat="1" applyFont="1" applyFill="1" applyBorder="1" applyAlignment="1">
      <alignment horizontal="left" wrapText="1"/>
    </xf>
    <xf numFmtId="164" fontId="19" fillId="0" borderId="0" xfId="0" applyNumberFormat="1" applyFont="1"/>
    <xf numFmtId="9" fontId="19" fillId="0" borderId="0" xfId="0" applyNumberFormat="1" applyFont="1" applyAlignment="1">
      <alignment horizontal="center" vertical="center"/>
    </xf>
    <xf numFmtId="9" fontId="19" fillId="0" borderId="0" xfId="0" applyNumberFormat="1" applyFont="1"/>
    <xf numFmtId="0" fontId="11" fillId="11" borderId="1" xfId="0" applyFont="1" applyFill="1" applyBorder="1"/>
    <xf numFmtId="0" fontId="12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 vertical="center"/>
    </xf>
    <xf numFmtId="9" fontId="11" fillId="11" borderId="1" xfId="0" applyNumberFormat="1" applyFont="1" applyFill="1" applyBorder="1"/>
    <xf numFmtId="10" fontId="11" fillId="0" borderId="0" xfId="0" applyNumberFormat="1" applyFont="1"/>
    <xf numFmtId="177" fontId="11" fillId="0" borderId="0" xfId="0" applyNumberFormat="1" applyFont="1"/>
    <xf numFmtId="0" fontId="14" fillId="0" borderId="0" xfId="0" applyFont="1"/>
    <xf numFmtId="0" fontId="15" fillId="0" borderId="0" xfId="0" applyFont="1"/>
    <xf numFmtId="0" fontId="16" fillId="3" borderId="6" xfId="0" applyFont="1" applyFill="1" applyBorder="1" applyAlignment="1">
      <alignment vertical="center"/>
    </xf>
    <xf numFmtId="0" fontId="16" fillId="3" borderId="6" xfId="0" applyFont="1" applyFill="1" applyBorder="1" applyAlignment="1">
      <alignment horizontal="center" vertical="center"/>
    </xf>
    <xf numFmtId="169" fontId="15" fillId="2" borderId="1" xfId="0" applyNumberFormat="1" applyFont="1" applyFill="1" applyBorder="1" applyAlignment="1">
      <alignment horizontal="center"/>
    </xf>
    <xf numFmtId="169" fontId="11" fillId="2" borderId="1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8" fillId="0" borderId="0" xfId="0" applyNumberFormat="1" applyFont="1"/>
    <xf numFmtId="0" fontId="22" fillId="0" borderId="11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6" fillId="2" borderId="1" xfId="0" applyFont="1" applyFill="1" applyBorder="1"/>
    <xf numFmtId="0" fontId="36" fillId="0" borderId="0" xfId="0" applyFont="1"/>
    <xf numFmtId="178" fontId="11" fillId="0" borderId="0" xfId="0" applyNumberFormat="1" applyFont="1"/>
    <xf numFmtId="0" fontId="11" fillId="12" borderId="1" xfId="0" applyFont="1" applyFill="1" applyBorder="1"/>
    <xf numFmtId="0" fontId="37" fillId="0" borderId="0" xfId="0" applyFont="1"/>
    <xf numFmtId="0" fontId="14" fillId="0" borderId="0" xfId="0" applyFont="1" applyAlignment="1">
      <alignment horizontal="left"/>
    </xf>
    <xf numFmtId="0" fontId="16" fillId="3" borderId="7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horizontal="center" vertical="center"/>
    </xf>
    <xf numFmtId="166" fontId="32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66" fontId="11" fillId="0" borderId="0" xfId="0" applyNumberFormat="1" applyFont="1"/>
    <xf numFmtId="166" fontId="11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/>
    </xf>
    <xf numFmtId="174" fontId="11" fillId="0" borderId="0" xfId="0" applyNumberFormat="1" applyFont="1"/>
    <xf numFmtId="0" fontId="23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171" fontId="11" fillId="0" borderId="0" xfId="0" applyNumberFormat="1" applyFont="1"/>
    <xf numFmtId="0" fontId="23" fillId="10" borderId="43" xfId="0" applyFont="1" applyFill="1" applyBorder="1"/>
    <xf numFmtId="0" fontId="12" fillId="10" borderId="5" xfId="0" applyFont="1" applyFill="1" applyBorder="1"/>
    <xf numFmtId="0" fontId="11" fillId="10" borderId="5" xfId="0" applyFont="1" applyFill="1" applyBorder="1"/>
    <xf numFmtId="0" fontId="11" fillId="10" borderId="44" xfId="0" applyFont="1" applyFill="1" applyBorder="1"/>
    <xf numFmtId="0" fontId="23" fillId="0" borderId="21" xfId="0" applyFont="1" applyBorder="1"/>
    <xf numFmtId="0" fontId="11" fillId="0" borderId="12" xfId="0" applyFont="1" applyBorder="1"/>
    <xf numFmtId="0" fontId="11" fillId="10" borderId="1" xfId="0" applyFont="1" applyFill="1" applyBorder="1"/>
    <xf numFmtId="9" fontId="11" fillId="10" borderId="1" xfId="0" applyNumberFormat="1" applyFont="1" applyFill="1" applyBorder="1"/>
    <xf numFmtId="0" fontId="23" fillId="10" borderId="45" xfId="0" applyFont="1" applyFill="1" applyBorder="1"/>
    <xf numFmtId="9" fontId="11" fillId="2" borderId="1" xfId="0" applyNumberFormat="1" applyFont="1" applyFill="1" applyBorder="1"/>
    <xf numFmtId="0" fontId="23" fillId="0" borderId="23" xfId="0" applyFont="1" applyBorder="1"/>
    <xf numFmtId="10" fontId="11" fillId="0" borderId="18" xfId="0" applyNumberFormat="1" applyFont="1" applyBorder="1"/>
    <xf numFmtId="0" fontId="11" fillId="0" borderId="19" xfId="0" applyFont="1" applyBorder="1"/>
    <xf numFmtId="10" fontId="11" fillId="0" borderId="0" xfId="0" applyNumberFormat="1" applyFont="1" applyAlignment="1">
      <alignment horizontal="center" vertical="center"/>
    </xf>
    <xf numFmtId="10" fontId="11" fillId="0" borderId="0" xfId="0" applyNumberFormat="1" applyFont="1" applyAlignment="1">
      <alignment horizontal="center"/>
    </xf>
    <xf numFmtId="2" fontId="11" fillId="0" borderId="15" xfId="0" applyNumberFormat="1" applyFont="1" applyBorder="1"/>
    <xf numFmtId="2" fontId="11" fillId="0" borderId="16" xfId="0" applyNumberFormat="1" applyFont="1" applyBorder="1"/>
    <xf numFmtId="2" fontId="11" fillId="0" borderId="12" xfId="0" applyNumberFormat="1" applyFont="1" applyBorder="1"/>
    <xf numFmtId="2" fontId="11" fillId="0" borderId="18" xfId="0" applyNumberFormat="1" applyFont="1" applyBorder="1"/>
    <xf numFmtId="2" fontId="11" fillId="0" borderId="19" xfId="0" applyNumberFormat="1" applyFont="1" applyBorder="1"/>
    <xf numFmtId="0" fontId="11" fillId="2" borderId="45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 vertical="center"/>
    </xf>
    <xf numFmtId="9" fontId="11" fillId="2" borderId="46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64" fontId="40" fillId="0" borderId="0" xfId="0" applyNumberFormat="1" applyFont="1"/>
    <xf numFmtId="0" fontId="11" fillId="0" borderId="0" xfId="0" applyFont="1"/>
    <xf numFmtId="0" fontId="40" fillId="0" borderId="0" xfId="0" applyFont="1"/>
    <xf numFmtId="0" fontId="11" fillId="0" borderId="0" xfId="0" applyFont="1" applyAlignment="1">
      <alignment horizontal="right"/>
    </xf>
    <xf numFmtId="164" fontId="12" fillId="3" borderId="51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2" fillId="3" borderId="52" xfId="0" applyNumberFormat="1" applyFont="1" applyFill="1" applyBorder="1" applyAlignment="1">
      <alignment horizontal="left"/>
    </xf>
    <xf numFmtId="0" fontId="16" fillId="10" borderId="51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16" fillId="13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2" fontId="15" fillId="9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179" fontId="11" fillId="0" borderId="0" xfId="0" applyNumberFormat="1" applyFont="1"/>
    <xf numFmtId="0" fontId="11" fillId="2" borderId="1" xfId="0" applyFont="1" applyFill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41" fillId="0" borderId="0" xfId="0" applyNumberFormat="1" applyFont="1"/>
    <xf numFmtId="0" fontId="41" fillId="0" borderId="0" xfId="0" applyFont="1"/>
    <xf numFmtId="164" fontId="40" fillId="2" borderId="1" xfId="0" applyNumberFormat="1" applyFont="1" applyFill="1" applyBorder="1"/>
    <xf numFmtId="16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left" wrapText="1"/>
    </xf>
    <xf numFmtId="0" fontId="11" fillId="14" borderId="1" xfId="0" applyFont="1" applyFill="1" applyBorder="1" applyAlignment="1">
      <alignment horizontal="right"/>
    </xf>
    <xf numFmtId="170" fontId="11" fillId="14" borderId="1" xfId="0" applyNumberFormat="1" applyFont="1" applyFill="1" applyBorder="1"/>
    <xf numFmtId="0" fontId="11" fillId="14" borderId="1" xfId="0" applyFont="1" applyFill="1" applyBorder="1"/>
    <xf numFmtId="0" fontId="12" fillId="10" borderId="5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/>
    <xf numFmtId="0" fontId="11" fillId="16" borderId="1" xfId="0" applyFont="1" applyFill="1" applyBorder="1"/>
    <xf numFmtId="0" fontId="12" fillId="12" borderId="6" xfId="0" applyFont="1" applyFill="1" applyBorder="1" applyAlignment="1">
      <alignment horizontal="center" vertical="center"/>
    </xf>
    <xf numFmtId="10" fontId="42" fillId="0" borderId="0" xfId="0" applyNumberFormat="1" applyFont="1"/>
    <xf numFmtId="2" fontId="11" fillId="0" borderId="0" xfId="0" applyNumberFormat="1" applyFont="1" applyAlignment="1">
      <alignment horizontal="right"/>
    </xf>
    <xf numFmtId="9" fontId="11" fillId="0" borderId="12" xfId="0" applyNumberFormat="1" applyFont="1" applyBorder="1"/>
    <xf numFmtId="0" fontId="12" fillId="0" borderId="18" xfId="0" applyFont="1" applyBorder="1" applyAlignment="1">
      <alignment horizontal="right"/>
    </xf>
    <xf numFmtId="2" fontId="11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right"/>
    </xf>
    <xf numFmtId="9" fontId="42" fillId="0" borderId="0" xfId="0" applyNumberFormat="1" applyFont="1" applyAlignment="1">
      <alignment horizontal="center"/>
    </xf>
    <xf numFmtId="9" fontId="42" fillId="0" borderId="0" xfId="0" applyNumberFormat="1" applyFont="1"/>
    <xf numFmtId="9" fontId="11" fillId="2" borderId="53" xfId="0" applyNumberFormat="1" applyFont="1" applyFill="1" applyBorder="1"/>
    <xf numFmtId="2" fontId="11" fillId="2" borderId="1" xfId="0" applyNumberFormat="1" applyFont="1" applyFill="1" applyBorder="1"/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0" fontId="43" fillId="0" borderId="0" xfId="0" applyNumberFormat="1" applyFont="1"/>
    <xf numFmtId="0" fontId="11" fillId="5" borderId="1" xfId="0" applyFont="1" applyFill="1" applyBorder="1" applyAlignment="1">
      <alignment horizontal="right"/>
    </xf>
    <xf numFmtId="9" fontId="11" fillId="5" borderId="1" xfId="0" applyNumberFormat="1" applyFont="1" applyFill="1" applyBorder="1"/>
    <xf numFmtId="9" fontId="11" fillId="14" borderId="1" xfId="0" applyNumberFormat="1" applyFont="1" applyFill="1" applyBorder="1"/>
    <xf numFmtId="0" fontId="34" fillId="0" borderId="0" xfId="0" applyFont="1" applyAlignment="1">
      <alignment horizontal="right"/>
    </xf>
    <xf numFmtId="0" fontId="34" fillId="0" borderId="0" xfId="0" applyFont="1"/>
    <xf numFmtId="171" fontId="11" fillId="2" borderId="1" xfId="0" applyNumberFormat="1" applyFont="1" applyFill="1" applyBorder="1"/>
    <xf numFmtId="0" fontId="40" fillId="0" borderId="0" xfId="0" applyFont="1" applyAlignment="1">
      <alignment horizontal="center" vertical="center"/>
    </xf>
    <xf numFmtId="0" fontId="12" fillId="10" borderId="52" xfId="0" applyFont="1" applyFill="1" applyBorder="1" applyAlignment="1">
      <alignment horizontal="center" vertical="center" wrapText="1"/>
    </xf>
    <xf numFmtId="17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/>
    <xf numFmtId="164" fontId="11" fillId="0" borderId="0" xfId="0" applyNumberFormat="1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170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/>
    </xf>
    <xf numFmtId="170" fontId="11" fillId="2" borderId="1" xfId="0" applyNumberFormat="1" applyFont="1" applyFill="1" applyBorder="1"/>
    <xf numFmtId="1" fontId="11" fillId="0" borderId="0" xfId="0" applyNumberFormat="1" applyFont="1" applyAlignment="1">
      <alignment horizontal="center"/>
    </xf>
    <xf numFmtId="2" fontId="11" fillId="14" borderId="1" xfId="0" applyNumberFormat="1" applyFont="1" applyFill="1" applyBorder="1"/>
    <xf numFmtId="170" fontId="11" fillId="2" borderId="1" xfId="0" applyNumberFormat="1" applyFont="1" applyFill="1" applyBorder="1" applyAlignment="1">
      <alignment horizontal="right"/>
    </xf>
    <xf numFmtId="0" fontId="16" fillId="10" borderId="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2" fontId="15" fillId="5" borderId="1" xfId="0" applyNumberFormat="1" applyFont="1" applyFill="1" applyBorder="1" applyAlignment="1">
      <alignment horizontal="center" vertical="center"/>
    </xf>
    <xf numFmtId="169" fontId="11" fillId="2" borderId="1" xfId="0" applyNumberFormat="1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/>
    </xf>
    <xf numFmtId="0" fontId="11" fillId="2" borderId="6" xfId="0" applyFont="1" applyFill="1" applyBorder="1"/>
    <xf numFmtId="10" fontId="15" fillId="5" borderId="52" xfId="0" applyNumberFormat="1" applyFont="1" applyFill="1" applyBorder="1" applyAlignment="1">
      <alignment horizontal="center" vertical="center"/>
    </xf>
    <xf numFmtId="10" fontId="15" fillId="2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/>
    <xf numFmtId="2" fontId="15" fillId="2" borderId="1" xfId="0" applyNumberFormat="1" applyFont="1" applyFill="1" applyBorder="1" applyAlignment="1">
      <alignment horizontal="center" vertical="center"/>
    </xf>
    <xf numFmtId="167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164" fontId="15" fillId="14" borderId="1" xfId="0" applyNumberFormat="1" applyFont="1" applyFill="1" applyBorder="1" applyAlignment="1">
      <alignment horizontal="center"/>
    </xf>
    <xf numFmtId="181" fontId="11" fillId="0" borderId="0" xfId="0" applyNumberFormat="1" applyFont="1"/>
    <xf numFmtId="1" fontId="11" fillId="0" borderId="0" xfId="0" applyNumberFormat="1" applyFont="1" applyAlignment="1">
      <alignment horizontal="center" vertical="center"/>
    </xf>
    <xf numFmtId="9" fontId="11" fillId="0" borderId="11" xfId="0" applyNumberFormat="1" applyFont="1" applyBorder="1"/>
    <xf numFmtId="2" fontId="11" fillId="11" borderId="1" xfId="0" applyNumberFormat="1" applyFont="1" applyFill="1" applyBorder="1" applyAlignment="1">
      <alignment horizontal="center"/>
    </xf>
    <xf numFmtId="9" fontId="11" fillId="0" borderId="17" xfId="0" applyNumberFormat="1" applyFont="1" applyBorder="1" applyAlignment="1">
      <alignment horizontal="right"/>
    </xf>
    <xf numFmtId="0" fontId="12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 wrapText="1"/>
    </xf>
    <xf numFmtId="169" fontId="19" fillId="2" borderId="5" xfId="0" applyNumberFormat="1" applyFont="1" applyFill="1" applyBorder="1" applyAlignment="1">
      <alignment horizontal="center" vertical="center" wrapText="1"/>
    </xf>
    <xf numFmtId="1" fontId="19" fillId="5" borderId="5" xfId="0" applyNumberFormat="1" applyFont="1" applyFill="1" applyBorder="1" applyAlignment="1">
      <alignment horizontal="center" vertical="center" wrapText="1"/>
    </xf>
    <xf numFmtId="0" fontId="11" fillId="16" borderId="5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9" fontId="19" fillId="4" borderId="5" xfId="0" applyNumberFormat="1" applyFont="1" applyFill="1" applyBorder="1" applyAlignment="1">
      <alignment horizontal="center" vertical="center" wrapText="1"/>
    </xf>
    <xf numFmtId="1" fontId="19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/>
    <xf numFmtId="0" fontId="12" fillId="0" borderId="0" xfId="0" applyFont="1" applyAlignment="1">
      <alignment horizontal="center" vertical="center"/>
    </xf>
    <xf numFmtId="0" fontId="19" fillId="16" borderId="5" xfId="0" applyFont="1" applyFill="1" applyBorder="1" applyAlignment="1">
      <alignment horizontal="center" vertical="center"/>
    </xf>
    <xf numFmtId="166" fontId="11" fillId="16" borderId="1" xfId="0" applyNumberFormat="1" applyFont="1" applyFill="1" applyBorder="1"/>
    <xf numFmtId="9" fontId="11" fillId="16" borderId="1" xfId="0" applyNumberFormat="1" applyFont="1" applyFill="1" applyBorder="1"/>
    <xf numFmtId="169" fontId="11" fillId="2" borderId="1" xfId="0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11" fillId="9" borderId="53" xfId="0" applyFont="1" applyFill="1" applyBorder="1"/>
    <xf numFmtId="0" fontId="21" fillId="5" borderId="10" xfId="0" applyFont="1" applyFill="1" applyBorder="1" applyAlignment="1">
      <alignment vertical="center"/>
    </xf>
    <xf numFmtId="0" fontId="11" fillId="5" borderId="10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12" fillId="5" borderId="43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5" xfId="0" applyFont="1" applyFill="1" applyBorder="1"/>
    <xf numFmtId="0" fontId="12" fillId="5" borderId="44" xfId="0" applyFont="1" applyFill="1" applyBorder="1"/>
    <xf numFmtId="0" fontId="12" fillId="9" borderId="43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5" xfId="0" applyFont="1" applyFill="1" applyBorder="1"/>
    <xf numFmtId="0" fontId="12" fillId="9" borderId="1" xfId="0" applyFont="1" applyFill="1" applyBorder="1" applyAlignment="1">
      <alignment horizontal="center" vertical="center"/>
    </xf>
    <xf numFmtId="0" fontId="46" fillId="0" borderId="0" xfId="0" applyFont="1"/>
    <xf numFmtId="0" fontId="12" fillId="5" borderId="10" xfId="0" applyFont="1" applyFill="1" applyBorder="1" applyAlignment="1">
      <alignment horizontal="center" vertical="center"/>
    </xf>
    <xf numFmtId="0" fontId="12" fillId="5" borderId="10" xfId="0" applyFont="1" applyFill="1" applyBorder="1"/>
    <xf numFmtId="1" fontId="11" fillId="5" borderId="1" xfId="0" applyNumberFormat="1" applyFont="1" applyFill="1" applyBorder="1"/>
    <xf numFmtId="169" fontId="11" fillId="9" borderId="1" xfId="0" applyNumberFormat="1" applyFont="1" applyFill="1" applyBorder="1" applyAlignment="1">
      <alignment horizontal="center" vertical="center"/>
    </xf>
    <xf numFmtId="169" fontId="46" fillId="5" borderId="1" xfId="0" applyNumberFormat="1" applyFont="1" applyFill="1" applyBorder="1" applyAlignment="1">
      <alignment horizontal="center" vertical="center"/>
    </xf>
    <xf numFmtId="169" fontId="11" fillId="5" borderId="1" xfId="0" applyNumberFormat="1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 wrapText="1"/>
    </xf>
    <xf numFmtId="166" fontId="11" fillId="0" borderId="24" xfId="0" applyNumberFormat="1" applyFont="1" applyBorder="1"/>
    <xf numFmtId="166" fontId="11" fillId="0" borderId="15" xfId="0" applyNumberFormat="1" applyFont="1" applyBorder="1"/>
    <xf numFmtId="166" fontId="11" fillId="0" borderId="16" xfId="0" applyNumberFormat="1" applyFont="1" applyBorder="1"/>
    <xf numFmtId="0" fontId="47" fillId="0" borderId="11" xfId="0" applyFont="1" applyBorder="1" applyAlignment="1">
      <alignment horizontal="center"/>
    </xf>
    <xf numFmtId="166" fontId="11" fillId="0" borderId="21" xfId="0" applyNumberFormat="1" applyFont="1" applyBorder="1"/>
    <xf numFmtId="166" fontId="11" fillId="0" borderId="12" xfId="0" applyNumberFormat="1" applyFont="1" applyBorder="1"/>
    <xf numFmtId="0" fontId="11" fillId="0" borderId="11" xfId="0" applyFont="1" applyBorder="1" applyAlignment="1">
      <alignment horizontal="center"/>
    </xf>
    <xf numFmtId="0" fontId="47" fillId="0" borderId="17" xfId="0" applyFont="1" applyBorder="1" applyAlignment="1">
      <alignment horizontal="center"/>
    </xf>
    <xf numFmtId="166" fontId="11" fillId="0" borderId="23" xfId="0" applyNumberFormat="1" applyFont="1" applyBorder="1"/>
    <xf numFmtId="166" fontId="11" fillId="0" borderId="18" xfId="0" applyNumberFormat="1" applyFont="1" applyBorder="1"/>
    <xf numFmtId="166" fontId="11" fillId="0" borderId="19" xfId="0" applyNumberFormat="1" applyFont="1" applyBorder="1"/>
    <xf numFmtId="0" fontId="47" fillId="0" borderId="0" xfId="0" applyFont="1" applyAlignment="1">
      <alignment horizontal="center"/>
    </xf>
    <xf numFmtId="182" fontId="11" fillId="0" borderId="0" xfId="0" applyNumberFormat="1" applyFont="1"/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1" fillId="17" borderId="1" xfId="0" applyFont="1" applyFill="1" applyBorder="1"/>
    <xf numFmtId="1" fontId="11" fillId="4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/>
    <xf numFmtId="11" fontId="11" fillId="0" borderId="0" xfId="0" applyNumberFormat="1" applyFont="1"/>
    <xf numFmtId="0" fontId="11" fillId="18" borderId="1" xfId="0" applyFont="1" applyFill="1" applyBorder="1"/>
    <xf numFmtId="0" fontId="34" fillId="16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12" fillId="5" borderId="1" xfId="0" applyFont="1" applyFill="1" applyBorder="1" applyAlignment="1">
      <alignment horizontal="center" vertical="center"/>
    </xf>
    <xf numFmtId="0" fontId="12" fillId="5" borderId="43" xfId="0" applyFont="1" applyFill="1" applyBorder="1"/>
    <xf numFmtId="0" fontId="34" fillId="16" borderId="1" xfId="0" applyFont="1" applyFill="1" applyBorder="1"/>
    <xf numFmtId="9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10" borderId="1" xfId="0" applyFont="1" applyFill="1" applyBorder="1"/>
    <xf numFmtId="0" fontId="12" fillId="18" borderId="59" xfId="0" applyFont="1" applyFill="1" applyBorder="1"/>
    <xf numFmtId="1" fontId="11" fillId="18" borderId="43" xfId="0" applyNumberFormat="1" applyFont="1" applyFill="1" applyBorder="1" applyAlignment="1">
      <alignment horizontal="center"/>
    </xf>
    <xf numFmtId="1" fontId="11" fillId="18" borderId="5" xfId="0" applyNumberFormat="1" applyFont="1" applyFill="1" applyBorder="1" applyAlignment="1">
      <alignment horizontal="center"/>
    </xf>
    <xf numFmtId="1" fontId="11" fillId="18" borderId="44" xfId="0" applyNumberFormat="1" applyFont="1" applyFill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1" fontId="11" fillId="5" borderId="1" xfId="0" applyNumberFormat="1" applyFont="1" applyFill="1" applyBorder="1" applyAlignment="1">
      <alignment horizontal="center"/>
    </xf>
    <xf numFmtId="1" fontId="11" fillId="18" borderId="45" xfId="0" applyNumberFormat="1" applyFont="1" applyFill="1" applyBorder="1" applyAlignment="1">
      <alignment horizontal="center"/>
    </xf>
    <xf numFmtId="1" fontId="11" fillId="18" borderId="1" xfId="0" applyNumberFormat="1" applyFont="1" applyFill="1" applyBorder="1" applyAlignment="1">
      <alignment horizontal="center"/>
    </xf>
    <xf numFmtId="1" fontId="11" fillId="18" borderId="46" xfId="0" applyNumberFormat="1" applyFont="1" applyFill="1" applyBorder="1" applyAlignment="1">
      <alignment horizontal="center"/>
    </xf>
    <xf numFmtId="0" fontId="12" fillId="2" borderId="1" xfId="0" applyFont="1" applyFill="1" applyBorder="1"/>
    <xf numFmtId="1" fontId="12" fillId="5" borderId="10" xfId="0" applyNumberFormat="1" applyFont="1" applyFill="1" applyBorder="1" applyAlignment="1">
      <alignment horizontal="center" vertical="center"/>
    </xf>
    <xf numFmtId="176" fontId="34" fillId="16" borderId="1" xfId="0" applyNumberFormat="1" applyFont="1" applyFill="1" applyBorder="1"/>
    <xf numFmtId="176" fontId="12" fillId="0" borderId="0" xfId="0" applyNumberFormat="1" applyFont="1" applyAlignment="1">
      <alignment horizontal="center" vertical="center"/>
    </xf>
    <xf numFmtId="167" fontId="34" fillId="16" borderId="1" xfId="0" applyNumberFormat="1" applyFont="1" applyFill="1" applyBorder="1"/>
    <xf numFmtId="167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12" fillId="18" borderId="22" xfId="0" applyFont="1" applyFill="1" applyBorder="1"/>
    <xf numFmtId="1" fontId="11" fillId="18" borderId="48" xfId="0" applyNumberFormat="1" applyFont="1" applyFill="1" applyBorder="1" applyAlignment="1">
      <alignment horizontal="center"/>
    </xf>
    <xf numFmtId="1" fontId="11" fillId="18" borderId="53" xfId="0" applyNumberFormat="1" applyFont="1" applyFill="1" applyBorder="1" applyAlignment="1">
      <alignment horizontal="center"/>
    </xf>
    <xf numFmtId="1" fontId="11" fillId="18" borderId="50" xfId="0" applyNumberFormat="1" applyFont="1" applyFill="1" applyBorder="1" applyAlignment="1">
      <alignment horizontal="center"/>
    </xf>
    <xf numFmtId="167" fontId="34" fillId="0" borderId="0" xfId="0" applyNumberFormat="1" applyFont="1"/>
    <xf numFmtId="0" fontId="12" fillId="5" borderId="59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/>
    <xf numFmtId="1" fontId="12" fillId="18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9" fontId="12" fillId="18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169" fontId="11" fillId="2" borderId="1" xfId="0" applyNumberFormat="1" applyFont="1" applyFill="1" applyBorder="1" applyAlignment="1">
      <alignment horizontal="center" vertical="center"/>
    </xf>
    <xf numFmtId="9" fontId="34" fillId="2" borderId="1" xfId="0" applyNumberFormat="1" applyFont="1" applyFill="1" applyBorder="1" applyAlignment="1">
      <alignment horizontal="center" vertical="center"/>
    </xf>
    <xf numFmtId="170" fontId="19" fillId="2" borderId="5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69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0" fontId="12" fillId="11" borderId="1" xfId="0" applyFont="1" applyFill="1" applyBorder="1"/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/>
    </xf>
    <xf numFmtId="0" fontId="21" fillId="2" borderId="1" xfId="0" applyFont="1" applyFill="1" applyBorder="1"/>
    <xf numFmtId="0" fontId="21" fillId="18" borderId="51" xfId="0" applyFont="1" applyFill="1" applyBorder="1"/>
    <xf numFmtId="0" fontId="21" fillId="18" borderId="6" xfId="0" applyFont="1" applyFill="1" applyBorder="1"/>
    <xf numFmtId="0" fontId="21" fillId="18" borderId="52" xfId="0" applyFont="1" applyFill="1" applyBorder="1"/>
    <xf numFmtId="0" fontId="37" fillId="14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18" borderId="45" xfId="0" applyFont="1" applyFill="1" applyBorder="1" applyAlignment="1">
      <alignment horizontal="center" vertical="center"/>
    </xf>
    <xf numFmtId="0" fontId="12" fillId="18" borderId="46" xfId="0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 wrapText="1"/>
    </xf>
    <xf numFmtId="9" fontId="19" fillId="14" borderId="5" xfId="0" applyNumberFormat="1" applyFont="1" applyFill="1" applyBorder="1" applyAlignment="1">
      <alignment horizontal="center" vertical="center" wrapText="1"/>
    </xf>
    <xf numFmtId="169" fontId="19" fillId="14" borderId="5" xfId="0" applyNumberFormat="1" applyFont="1" applyFill="1" applyBorder="1" applyAlignment="1">
      <alignment horizontal="center" vertical="center" wrapText="1"/>
    </xf>
    <xf numFmtId="9" fontId="19" fillId="16" borderId="5" xfId="0" applyNumberFormat="1" applyFont="1" applyFill="1" applyBorder="1" applyAlignment="1">
      <alignment horizontal="center" vertical="center" wrapText="1"/>
    </xf>
    <xf numFmtId="9" fontId="19" fillId="11" borderId="5" xfId="0" applyNumberFormat="1" applyFont="1" applyFill="1" applyBorder="1" applyAlignment="1">
      <alignment horizontal="center" vertical="center" wrapText="1"/>
    </xf>
    <xf numFmtId="1" fontId="11" fillId="4" borderId="6" xfId="0" applyNumberFormat="1" applyFont="1" applyFill="1" applyBorder="1" applyAlignment="1">
      <alignment horizontal="center" vertical="center"/>
    </xf>
    <xf numFmtId="169" fontId="11" fillId="4" borderId="6" xfId="0" applyNumberFormat="1" applyFont="1" applyFill="1" applyBorder="1"/>
    <xf numFmtId="1" fontId="11" fillId="14" borderId="6" xfId="0" applyNumberFormat="1" applyFont="1" applyFill="1" applyBorder="1"/>
    <xf numFmtId="0" fontId="11" fillId="14" borderId="6" xfId="0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/>
    </xf>
    <xf numFmtId="9" fontId="11" fillId="18" borderId="45" xfId="0" applyNumberFormat="1" applyFont="1" applyFill="1" applyBorder="1" applyAlignment="1">
      <alignment horizontal="center"/>
    </xf>
    <xf numFmtId="9" fontId="11" fillId="18" borderId="1" xfId="0" applyNumberFormat="1" applyFont="1" applyFill="1" applyBorder="1" applyAlignment="1">
      <alignment horizontal="center"/>
    </xf>
    <xf numFmtId="9" fontId="11" fillId="18" borderId="46" xfId="0" applyNumberFormat="1" applyFont="1" applyFill="1" applyBorder="1" applyAlignment="1">
      <alignment horizontal="center"/>
    </xf>
    <xf numFmtId="2" fontId="11" fillId="18" borderId="45" xfId="0" applyNumberFormat="1" applyFont="1" applyFill="1" applyBorder="1" applyAlignment="1">
      <alignment horizontal="center"/>
    </xf>
    <xf numFmtId="2" fontId="11" fillId="18" borderId="1" xfId="0" applyNumberFormat="1" applyFont="1" applyFill="1" applyBorder="1" applyAlignment="1">
      <alignment horizontal="center"/>
    </xf>
    <xf numFmtId="2" fontId="11" fillId="18" borderId="46" xfId="0" applyNumberFormat="1" applyFont="1" applyFill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1" fillId="2" borderId="46" xfId="0" applyNumberFormat="1" applyFont="1" applyFill="1" applyBorder="1" applyAlignment="1">
      <alignment horizontal="center"/>
    </xf>
    <xf numFmtId="169" fontId="19" fillId="2" borderId="5" xfId="0" applyNumberFormat="1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/>
    </xf>
    <xf numFmtId="9" fontId="19" fillId="14" borderId="5" xfId="0" applyNumberFormat="1" applyFont="1" applyFill="1" applyBorder="1" applyAlignment="1">
      <alignment horizontal="center" vertical="center"/>
    </xf>
    <xf numFmtId="169" fontId="19" fillId="14" borderId="5" xfId="0" applyNumberFormat="1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/>
    </xf>
    <xf numFmtId="9" fontId="19" fillId="16" borderId="5" xfId="0" applyNumberFormat="1" applyFont="1" applyFill="1" applyBorder="1" applyAlignment="1">
      <alignment horizontal="center" vertical="center"/>
    </xf>
    <xf numFmtId="9" fontId="19" fillId="11" borderId="5" xfId="0" applyNumberFormat="1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170" fontId="19" fillId="5" borderId="5" xfId="0" applyNumberFormat="1" applyFont="1" applyFill="1" applyBorder="1" applyAlignment="1">
      <alignment horizontal="center" vertical="center"/>
    </xf>
    <xf numFmtId="174" fontId="19" fillId="2" borderId="1" xfId="0" applyNumberFormat="1" applyFont="1" applyFill="1" applyBorder="1" applyAlignment="1">
      <alignment horizontal="center"/>
    </xf>
    <xf numFmtId="175" fontId="19" fillId="2" borderId="1" xfId="0" applyNumberFormat="1" applyFont="1" applyFill="1" applyBorder="1" applyAlignment="1">
      <alignment horizontal="center"/>
    </xf>
    <xf numFmtId="9" fontId="11" fillId="18" borderId="48" xfId="0" applyNumberFormat="1" applyFont="1" applyFill="1" applyBorder="1" applyAlignment="1">
      <alignment horizontal="center"/>
    </xf>
    <xf numFmtId="9" fontId="11" fillId="18" borderId="53" xfId="0" applyNumberFormat="1" applyFont="1" applyFill="1" applyBorder="1" applyAlignment="1">
      <alignment horizontal="center"/>
    </xf>
    <xf numFmtId="9" fontId="11" fillId="18" borderId="50" xfId="0" applyNumberFormat="1" applyFont="1" applyFill="1" applyBorder="1" applyAlignment="1">
      <alignment horizontal="center"/>
    </xf>
    <xf numFmtId="2" fontId="11" fillId="18" borderId="48" xfId="0" applyNumberFormat="1" applyFont="1" applyFill="1" applyBorder="1" applyAlignment="1">
      <alignment horizontal="center"/>
    </xf>
    <xf numFmtId="2" fontId="11" fillId="18" borderId="53" xfId="0" applyNumberFormat="1" applyFont="1" applyFill="1" applyBorder="1" applyAlignment="1">
      <alignment horizontal="center"/>
    </xf>
    <xf numFmtId="2" fontId="11" fillId="18" borderId="50" xfId="0" applyNumberFormat="1" applyFont="1" applyFill="1" applyBorder="1" applyAlignment="1">
      <alignment horizontal="center"/>
    </xf>
    <xf numFmtId="169" fontId="11" fillId="4" borderId="6" xfId="0" applyNumberFormat="1" applyFont="1" applyFill="1" applyBorder="1" applyAlignment="1">
      <alignment horizontal="center"/>
    </xf>
    <xf numFmtId="2" fontId="11" fillId="18" borderId="43" xfId="0" applyNumberFormat="1" applyFont="1" applyFill="1" applyBorder="1" applyAlignment="1">
      <alignment horizontal="center"/>
    </xf>
    <xf numFmtId="2" fontId="11" fillId="18" borderId="5" xfId="0" applyNumberFormat="1" applyFont="1" applyFill="1" applyBorder="1" applyAlignment="1">
      <alignment horizontal="center"/>
    </xf>
    <xf numFmtId="2" fontId="11" fillId="17" borderId="5" xfId="0" applyNumberFormat="1" applyFont="1" applyFill="1" applyBorder="1" applyAlignment="1">
      <alignment horizontal="center"/>
    </xf>
    <xf numFmtId="2" fontId="11" fillId="18" borderId="44" xfId="0" applyNumberFormat="1" applyFont="1" applyFill="1" applyBorder="1" applyAlignment="1">
      <alignment horizontal="center"/>
    </xf>
    <xf numFmtId="169" fontId="11" fillId="14" borderId="6" xfId="0" applyNumberFormat="1" applyFont="1" applyFill="1" applyBorder="1"/>
    <xf numFmtId="2" fontId="11" fillId="2" borderId="53" xfId="0" applyNumberFormat="1" applyFont="1" applyFill="1" applyBorder="1" applyAlignment="1">
      <alignment horizontal="center"/>
    </xf>
    <xf numFmtId="2" fontId="11" fillId="2" borderId="50" xfId="0" applyNumberFormat="1" applyFont="1" applyFill="1" applyBorder="1" applyAlignment="1">
      <alignment horizontal="center"/>
    </xf>
    <xf numFmtId="169" fontId="19" fillId="14" borderId="1" xfId="0" applyNumberFormat="1" applyFont="1" applyFill="1" applyBorder="1" applyAlignment="1">
      <alignment horizontal="center" vertical="center" wrapText="1"/>
    </xf>
    <xf numFmtId="169" fontId="19" fillId="5" borderId="1" xfId="0" applyNumberFormat="1" applyFont="1" applyFill="1" applyBorder="1" applyAlignment="1">
      <alignment horizontal="center" vertical="center" wrapText="1"/>
    </xf>
    <xf numFmtId="9" fontId="19" fillId="16" borderId="1" xfId="0" applyNumberFormat="1" applyFont="1" applyFill="1" applyBorder="1" applyAlignment="1">
      <alignment horizontal="center" vertical="center" wrapText="1"/>
    </xf>
    <xf numFmtId="9" fontId="19" fillId="11" borderId="1" xfId="0" applyNumberFormat="1" applyFont="1" applyFill="1" applyBorder="1" applyAlignment="1">
      <alignment horizontal="center" vertical="center" wrapText="1"/>
    </xf>
    <xf numFmtId="9" fontId="12" fillId="2" borderId="1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/>
    </xf>
    <xf numFmtId="2" fontId="48" fillId="0" borderId="0" xfId="0" applyNumberFormat="1" applyFont="1"/>
    <xf numFmtId="0" fontId="21" fillId="2" borderId="53" xfId="0" applyFont="1" applyFill="1" applyBorder="1" applyAlignment="1">
      <alignment horizontal="center" vertical="center" wrapText="1"/>
    </xf>
    <xf numFmtId="0" fontId="37" fillId="14" borderId="53" xfId="0" applyFont="1" applyFill="1" applyBorder="1" applyAlignment="1">
      <alignment horizontal="center" vertical="center" wrapText="1"/>
    </xf>
    <xf numFmtId="0" fontId="37" fillId="5" borderId="53" xfId="0" applyFont="1" applyFill="1" applyBorder="1" applyAlignment="1">
      <alignment horizontal="center" vertical="center" wrapText="1"/>
    </xf>
    <xf numFmtId="0" fontId="37" fillId="16" borderId="53" xfId="0" applyFont="1" applyFill="1" applyBorder="1" applyAlignment="1">
      <alignment horizontal="center" vertical="center" wrapText="1"/>
    </xf>
    <xf numFmtId="0" fontId="37" fillId="11" borderId="5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1" fontId="47" fillId="0" borderId="13" xfId="0" applyNumberFormat="1" applyFont="1" applyBorder="1" applyAlignment="1">
      <alignment horizontal="center"/>
    </xf>
    <xf numFmtId="9" fontId="47" fillId="14" borderId="6" xfId="0" applyNumberFormat="1" applyFont="1" applyFill="1" applyBorder="1" applyAlignment="1">
      <alignment horizontal="center"/>
    </xf>
    <xf numFmtId="1" fontId="47" fillId="14" borderId="6" xfId="0" applyNumberFormat="1" applyFont="1" applyFill="1" applyBorder="1" applyAlignment="1">
      <alignment horizontal="center"/>
    </xf>
    <xf numFmtId="1" fontId="47" fillId="9" borderId="6" xfId="0" applyNumberFormat="1" applyFont="1" applyFill="1" applyBorder="1" applyAlignment="1">
      <alignment horizontal="center"/>
    </xf>
    <xf numFmtId="2" fontId="47" fillId="9" borderId="6" xfId="0" applyNumberFormat="1" applyFont="1" applyFill="1" applyBorder="1" applyAlignment="1">
      <alignment horizontal="center"/>
    </xf>
    <xf numFmtId="181" fontId="19" fillId="16" borderId="5" xfId="0" applyNumberFormat="1" applyFont="1" applyFill="1" applyBorder="1" applyAlignment="1">
      <alignment horizontal="center" vertical="center" wrapText="1"/>
    </xf>
    <xf numFmtId="1" fontId="47" fillId="4" borderId="6" xfId="0" applyNumberFormat="1" applyFont="1" applyFill="1" applyBorder="1" applyAlignment="1">
      <alignment horizontal="center"/>
    </xf>
    <xf numFmtId="169" fontId="47" fillId="4" borderId="6" xfId="0" applyNumberFormat="1" applyFont="1" applyFill="1" applyBorder="1" applyAlignment="1">
      <alignment horizontal="center"/>
    </xf>
    <xf numFmtId="1" fontId="11" fillId="14" borderId="6" xfId="0" applyNumberFormat="1" applyFont="1" applyFill="1" applyBorder="1" applyAlignment="1">
      <alignment horizontal="center" vertical="center"/>
    </xf>
    <xf numFmtId="1" fontId="47" fillId="0" borderId="0" xfId="0" applyNumberFormat="1" applyFont="1" applyAlignment="1">
      <alignment horizontal="center"/>
    </xf>
    <xf numFmtId="0" fontId="47" fillId="0" borderId="13" xfId="0" applyFont="1" applyBorder="1" applyAlignment="1">
      <alignment horizontal="center"/>
    </xf>
    <xf numFmtId="1" fontId="11" fillId="14" borderId="6" xfId="0" applyNumberFormat="1" applyFont="1" applyFill="1" applyBorder="1" applyAlignment="1">
      <alignment horizontal="center"/>
    </xf>
    <xf numFmtId="0" fontId="11" fillId="14" borderId="6" xfId="0" applyFont="1" applyFill="1" applyBorder="1" applyAlignment="1">
      <alignment horizontal="center"/>
    </xf>
    <xf numFmtId="9" fontId="19" fillId="16" borderId="6" xfId="0" applyNumberFormat="1" applyFont="1" applyFill="1" applyBorder="1" applyAlignment="1">
      <alignment horizontal="center" vertical="center" wrapText="1"/>
    </xf>
    <xf numFmtId="9" fontId="19" fillId="11" borderId="6" xfId="0" applyNumberFormat="1" applyFont="1" applyFill="1" applyBorder="1" applyAlignment="1">
      <alignment horizontal="center" vertical="center" wrapText="1"/>
    </xf>
    <xf numFmtId="1" fontId="11" fillId="0" borderId="14" xfId="0" applyNumberFormat="1" applyFont="1" applyBorder="1"/>
    <xf numFmtId="1" fontId="11" fillId="0" borderId="15" xfId="0" applyNumberFormat="1" applyFont="1" applyBorder="1"/>
    <xf numFmtId="1" fontId="11" fillId="0" borderId="24" xfId="0" applyNumberFormat="1" applyFont="1" applyBorder="1"/>
    <xf numFmtId="1" fontId="11" fillId="0" borderId="16" xfId="0" applyNumberFormat="1" applyFont="1" applyBorder="1"/>
    <xf numFmtId="1" fontId="11" fillId="0" borderId="18" xfId="0" applyNumberFormat="1" applyFont="1" applyBorder="1"/>
    <xf numFmtId="1" fontId="11" fillId="0" borderId="23" xfId="0" applyNumberFormat="1" applyFont="1" applyBorder="1"/>
    <xf numFmtId="1" fontId="11" fillId="0" borderId="19" xfId="0" applyNumberFormat="1" applyFont="1" applyBorder="1"/>
    <xf numFmtId="0" fontId="21" fillId="2" borderId="53" xfId="0" applyFont="1" applyFill="1" applyBorder="1" applyAlignment="1">
      <alignment horizontal="left" vertical="center"/>
    </xf>
    <xf numFmtId="0" fontId="37" fillId="2" borderId="53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" fontId="47" fillId="2" borderId="1" xfId="0" applyNumberFormat="1" applyFont="1" applyFill="1" applyBorder="1" applyAlignment="1">
      <alignment horizontal="center"/>
    </xf>
    <xf numFmtId="176" fontId="15" fillId="2" borderId="1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wrapText="1"/>
    </xf>
    <xf numFmtId="1" fontId="50" fillId="0" borderId="0" xfId="0" applyNumberFormat="1" applyFont="1"/>
    <xf numFmtId="0" fontId="50" fillId="0" borderId="0" xfId="0" applyFont="1"/>
    <xf numFmtId="0" fontId="11" fillId="5" borderId="5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/>
    </xf>
    <xf numFmtId="1" fontId="11" fillId="11" borderId="1" xfId="0" applyNumberFormat="1" applyFont="1" applyFill="1" applyBorder="1"/>
    <xf numFmtId="167" fontId="11" fillId="0" borderId="0" xfId="0" applyNumberFormat="1" applyFont="1"/>
    <xf numFmtId="0" fontId="12" fillId="0" borderId="0" xfId="0" applyFont="1" applyAlignment="1">
      <alignment horizontal="center" vertical="center" wrapText="1"/>
    </xf>
    <xf numFmtId="169" fontId="11" fillId="1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2" fontId="11" fillId="12" borderId="1" xfId="0" applyNumberFormat="1" applyFont="1" applyFill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0" fontId="11" fillId="2" borderId="46" xfId="0" applyFont="1" applyFill="1" applyBorder="1"/>
    <xf numFmtId="0" fontId="11" fillId="2" borderId="45" xfId="0" applyFont="1" applyFill="1" applyBorder="1"/>
    <xf numFmtId="0" fontId="38" fillId="2" borderId="46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0" borderId="21" xfId="0" applyFont="1" applyBorder="1"/>
    <xf numFmtId="0" fontId="51" fillId="0" borderId="0" xfId="0" applyFont="1"/>
    <xf numFmtId="0" fontId="51" fillId="0" borderId="21" xfId="0" applyFont="1" applyBorder="1"/>
    <xf numFmtId="0" fontId="51" fillId="2" borderId="46" xfId="0" applyFont="1" applyFill="1" applyBorder="1"/>
    <xf numFmtId="0" fontId="51" fillId="0" borderId="0" xfId="0" applyFont="1" applyAlignment="1">
      <alignment horizontal="center"/>
    </xf>
    <xf numFmtId="0" fontId="51" fillId="2" borderId="1" xfId="0" applyFont="1" applyFill="1" applyBorder="1" applyAlignment="1">
      <alignment horizontal="center"/>
    </xf>
    <xf numFmtId="0" fontId="51" fillId="2" borderId="1" xfId="0" applyFont="1" applyFill="1" applyBorder="1"/>
    <xf numFmtId="0" fontId="51" fillId="2" borderId="1" xfId="0" applyFont="1" applyFill="1" applyBorder="1" applyAlignment="1">
      <alignment horizontal="left"/>
    </xf>
    <xf numFmtId="0" fontId="51" fillId="0" borderId="11" xfId="0" applyFont="1" applyBorder="1"/>
    <xf numFmtId="0" fontId="51" fillId="0" borderId="0" xfId="0" applyFont="1" applyAlignment="1">
      <alignment horizontal="left"/>
    </xf>
    <xf numFmtId="0" fontId="51" fillId="2" borderId="45" xfId="0" applyFont="1" applyFill="1" applyBorder="1"/>
    <xf numFmtId="0" fontId="51" fillId="0" borderId="12" xfId="0" applyFont="1" applyBorder="1"/>
    <xf numFmtId="0" fontId="12" fillId="3" borderId="6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10" borderId="51" xfId="0" applyFont="1" applyFill="1" applyBorder="1" applyAlignment="1">
      <alignment horizontal="left" vertical="center"/>
    </xf>
    <xf numFmtId="0" fontId="12" fillId="3" borderId="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2" borderId="45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left"/>
    </xf>
    <xf numFmtId="0" fontId="16" fillId="19" borderId="51" xfId="0" applyFont="1" applyFill="1" applyBorder="1" applyAlignment="1">
      <alignment horizontal="center" vertical="center"/>
    </xf>
    <xf numFmtId="0" fontId="16" fillId="19" borderId="52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0" fontId="16" fillId="2" borderId="46" xfId="0" applyFont="1" applyFill="1" applyBorder="1" applyAlignment="1">
      <alignment horizontal="center"/>
    </xf>
    <xf numFmtId="176" fontId="11" fillId="5" borderId="1" xfId="0" applyNumberFormat="1" applyFont="1" applyFill="1" applyBorder="1" applyAlignment="1">
      <alignment horizontal="center"/>
    </xf>
    <xf numFmtId="9" fontId="11" fillId="2" borderId="46" xfId="0" applyNumberFormat="1" applyFont="1" applyFill="1" applyBorder="1" applyAlignment="1">
      <alignment horizontal="center"/>
    </xf>
    <xf numFmtId="10" fontId="11" fillId="0" borderId="0" xfId="0" applyNumberFormat="1" applyFont="1" applyAlignment="1">
      <alignment horizontal="left"/>
    </xf>
    <xf numFmtId="10" fontId="11" fillId="2" borderId="1" xfId="0" applyNumberFormat="1" applyFont="1" applyFill="1" applyBorder="1"/>
    <xf numFmtId="10" fontId="11" fillId="2" borderId="46" xfId="0" applyNumberFormat="1" applyFont="1" applyFill="1" applyBorder="1"/>
    <xf numFmtId="183" fontId="11" fillId="2" borderId="1" xfId="0" applyNumberFormat="1" applyFont="1" applyFill="1" applyBorder="1"/>
    <xf numFmtId="165" fontId="11" fillId="2" borderId="46" xfId="0" applyNumberFormat="1" applyFont="1" applyFill="1" applyBorder="1"/>
    <xf numFmtId="165" fontId="11" fillId="2" borderId="1" xfId="0" applyNumberFormat="1" applyFont="1" applyFill="1" applyBorder="1" applyAlignment="1">
      <alignment horizontal="center" vertical="center"/>
    </xf>
    <xf numFmtId="2" fontId="11" fillId="12" borderId="1" xfId="0" applyNumberFormat="1" applyFont="1" applyFill="1" applyBorder="1"/>
    <xf numFmtId="9" fontId="11" fillId="2" borderId="46" xfId="0" applyNumberFormat="1" applyFont="1" applyFill="1" applyBorder="1"/>
    <xf numFmtId="9" fontId="11" fillId="2" borderId="45" xfId="0" applyNumberFormat="1" applyFont="1" applyFill="1" applyBorder="1"/>
    <xf numFmtId="10" fontId="11" fillId="2" borderId="1" xfId="0" applyNumberFormat="1" applyFont="1" applyFill="1" applyBorder="1" applyAlignment="1">
      <alignment horizontal="center"/>
    </xf>
    <xf numFmtId="10" fontId="11" fillId="2" borderId="1" xfId="0" applyNumberFormat="1" applyFont="1" applyFill="1" applyBorder="1" applyAlignment="1">
      <alignment horizontal="center" vertical="center"/>
    </xf>
    <xf numFmtId="10" fontId="11" fillId="2" borderId="46" xfId="0" applyNumberFormat="1" applyFont="1" applyFill="1" applyBorder="1" applyAlignment="1">
      <alignment horizontal="center"/>
    </xf>
    <xf numFmtId="9" fontId="43" fillId="0" borderId="0" xfId="0" applyNumberFormat="1" applyFont="1"/>
    <xf numFmtId="9" fontId="34" fillId="2" borderId="45" xfId="0" applyNumberFormat="1" applyFont="1" applyFill="1" applyBorder="1"/>
    <xf numFmtId="9" fontId="34" fillId="2" borderId="1" xfId="0" applyNumberFormat="1" applyFont="1" applyFill="1" applyBorder="1"/>
    <xf numFmtId="0" fontId="12" fillId="10" borderId="52" xfId="0" applyFont="1" applyFill="1" applyBorder="1"/>
    <xf numFmtId="2" fontId="11" fillId="2" borderId="46" xfId="0" applyNumberFormat="1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 vertical="center"/>
    </xf>
    <xf numFmtId="2" fontId="11" fillId="2" borderId="45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/>
    </xf>
    <xf numFmtId="9" fontId="18" fillId="0" borderId="0" xfId="0" applyNumberFormat="1" applyFont="1"/>
    <xf numFmtId="9" fontId="11" fillId="0" borderId="0" xfId="0" applyNumberFormat="1" applyFont="1" applyAlignment="1">
      <alignment horizontal="left"/>
    </xf>
    <xf numFmtId="184" fontId="11" fillId="0" borderId="0" xfId="0" applyNumberFormat="1" applyFont="1" applyAlignment="1">
      <alignment horizontal="center"/>
    </xf>
    <xf numFmtId="0" fontId="16" fillId="13" borderId="6" xfId="0" applyFont="1" applyFill="1" applyBorder="1" applyAlignment="1">
      <alignment horizontal="right" vertical="center"/>
    </xf>
    <xf numFmtId="2" fontId="11" fillId="0" borderId="0" xfId="0" applyNumberFormat="1" applyFont="1" applyAlignment="1">
      <alignment horizontal="right" vertical="center"/>
    </xf>
    <xf numFmtId="0" fontId="11" fillId="2" borderId="65" xfId="0" applyFont="1" applyFill="1" applyBorder="1"/>
    <xf numFmtId="0" fontId="11" fillId="2" borderId="66" xfId="0" applyFont="1" applyFill="1" applyBorder="1"/>
    <xf numFmtId="0" fontId="11" fillId="2" borderId="67" xfId="0" applyFont="1" applyFill="1" applyBorder="1"/>
    <xf numFmtId="0" fontId="11" fillId="2" borderId="68" xfId="0" applyFont="1" applyFill="1" applyBorder="1"/>
    <xf numFmtId="0" fontId="11" fillId="2" borderId="69" xfId="0" applyFont="1" applyFill="1" applyBorder="1"/>
    <xf numFmtId="0" fontId="12" fillId="2" borderId="52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0" xfId="0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52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43" xfId="0" applyFont="1" applyFill="1" applyBorder="1"/>
    <xf numFmtId="0" fontId="34" fillId="2" borderId="43" xfId="0" applyFont="1" applyFill="1" applyBorder="1"/>
    <xf numFmtId="0" fontId="11" fillId="2" borderId="44" xfId="0" applyFont="1" applyFill="1" applyBorder="1"/>
    <xf numFmtId="0" fontId="11" fillId="2" borderId="20" xfId="0" applyFont="1" applyFill="1" applyBorder="1"/>
    <xf numFmtId="0" fontId="11" fillId="2" borderId="51" xfId="0" applyFont="1" applyFill="1" applyBorder="1"/>
    <xf numFmtId="0" fontId="11" fillId="9" borderId="51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52" xfId="0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left"/>
    </xf>
    <xf numFmtId="0" fontId="11" fillId="2" borderId="59" xfId="0" applyFont="1" applyFill="1" applyBorder="1"/>
    <xf numFmtId="0" fontId="11" fillId="2" borderId="59" xfId="0" applyFont="1" applyFill="1" applyBorder="1" applyAlignment="1">
      <alignment horizontal="left"/>
    </xf>
    <xf numFmtId="0" fontId="11" fillId="2" borderId="4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left"/>
    </xf>
    <xf numFmtId="0" fontId="11" fillId="2" borderId="51" xfId="0" applyFont="1" applyFill="1" applyBorder="1" applyAlignment="1">
      <alignment horizontal="left"/>
    </xf>
    <xf numFmtId="0" fontId="11" fillId="2" borderId="10" xfId="0" applyFont="1" applyFill="1" applyBorder="1"/>
    <xf numFmtId="169" fontId="11" fillId="2" borderId="50" xfId="0" applyNumberFormat="1" applyFont="1" applyFill="1" applyBorder="1"/>
    <xf numFmtId="0" fontId="11" fillId="2" borderId="22" xfId="0" applyFont="1" applyFill="1" applyBorder="1"/>
    <xf numFmtId="0" fontId="11" fillId="2" borderId="10" xfId="0" applyFont="1" applyFill="1" applyBorder="1" applyAlignment="1">
      <alignment horizontal="left"/>
    </xf>
    <xf numFmtId="0" fontId="11" fillId="9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12" fillId="2" borderId="52" xfId="0" applyFont="1" applyFill="1" applyBorder="1"/>
    <xf numFmtId="0" fontId="12" fillId="2" borderId="10" xfId="0" applyFont="1" applyFill="1" applyBorder="1"/>
    <xf numFmtId="0" fontId="12" fillId="2" borderId="45" xfId="0" applyFont="1" applyFill="1" applyBorder="1"/>
    <xf numFmtId="0" fontId="12" fillId="2" borderId="59" xfId="0" applyFont="1" applyFill="1" applyBorder="1"/>
    <xf numFmtId="0" fontId="12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 vertical="center"/>
    </xf>
    <xf numFmtId="0" fontId="46" fillId="2" borderId="43" xfId="0" applyFont="1" applyFill="1" applyBorder="1"/>
    <xf numFmtId="0" fontId="11" fillId="2" borderId="22" xfId="0" applyFont="1" applyFill="1" applyBorder="1" applyAlignment="1">
      <alignment horizontal="center" vertical="center"/>
    </xf>
    <xf numFmtId="2" fontId="11" fillId="2" borderId="52" xfId="0" applyNumberFormat="1" applyFont="1" applyFill="1" applyBorder="1"/>
    <xf numFmtId="0" fontId="11" fillId="2" borderId="48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2" borderId="70" xfId="0" applyFont="1" applyFill="1" applyBorder="1"/>
    <xf numFmtId="0" fontId="11" fillId="2" borderId="71" xfId="0" applyFont="1" applyFill="1" applyBorder="1"/>
    <xf numFmtId="0" fontId="11" fillId="2" borderId="7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 applyAlignment="1">
      <alignment horizontal="center"/>
    </xf>
    <xf numFmtId="0" fontId="11" fillId="2" borderId="46" xfId="0" applyFont="1" applyFill="1" applyBorder="1" applyAlignment="1">
      <alignment horizontal="center"/>
    </xf>
    <xf numFmtId="0" fontId="12" fillId="0" borderId="18" xfId="0" applyFont="1" applyBorder="1"/>
    <xf numFmtId="0" fontId="12" fillId="0" borderId="13" xfId="0" applyFont="1" applyBorder="1"/>
    <xf numFmtId="0" fontId="11" fillId="2" borderId="53" xfId="0" applyFont="1" applyFill="1" applyBorder="1"/>
    <xf numFmtId="0" fontId="11" fillId="2" borderId="5" xfId="0" applyFont="1" applyFill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11" fillId="0" borderId="15" xfId="0" applyNumberFormat="1" applyFont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1" fontId="11" fillId="0" borderId="18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9" fontId="11" fillId="0" borderId="15" xfId="0" applyNumberFormat="1" applyFont="1" applyBorder="1"/>
    <xf numFmtId="9" fontId="11" fillId="0" borderId="18" xfId="0" applyNumberFormat="1" applyFont="1" applyBorder="1"/>
    <xf numFmtId="0" fontId="11" fillId="0" borderId="23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9" fontId="11" fillId="0" borderId="12" xfId="0" applyNumberFormat="1" applyFont="1" applyBorder="1" applyAlignment="1">
      <alignment horizontal="center"/>
    </xf>
    <xf numFmtId="9" fontId="11" fillId="0" borderId="18" xfId="0" applyNumberFormat="1" applyFont="1" applyBorder="1" applyAlignment="1">
      <alignment horizontal="center"/>
    </xf>
    <xf numFmtId="9" fontId="11" fillId="0" borderId="19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9" fontId="11" fillId="0" borderId="21" xfId="0" applyNumberFormat="1" applyFont="1" applyBorder="1"/>
    <xf numFmtId="9" fontId="11" fillId="0" borderId="23" xfId="0" applyNumberFormat="1" applyFont="1" applyBorder="1"/>
    <xf numFmtId="9" fontId="11" fillId="0" borderId="19" xfId="0" applyNumberFormat="1" applyFont="1" applyBorder="1"/>
    <xf numFmtId="0" fontId="11" fillId="0" borderId="9" xfId="0" applyFont="1" applyBorder="1"/>
    <xf numFmtId="0" fontId="10" fillId="0" borderId="0" xfId="0" applyFont="1" applyAlignment="1">
      <alignment horizontal="center"/>
    </xf>
    <xf numFmtId="0" fontId="9" fillId="0" borderId="0" xfId="0" applyFont="1"/>
    <xf numFmtId="184" fontId="0" fillId="0" borderId="0" xfId="0" applyNumberFormat="1"/>
    <xf numFmtId="0" fontId="1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1" fillId="10" borderId="1" xfId="1" applyNumberFormat="1" applyFont="1" applyFill="1" applyBorder="1"/>
    <xf numFmtId="0" fontId="62" fillId="0" borderId="0" xfId="0" applyFont="1"/>
    <xf numFmtId="0" fontId="60" fillId="0" borderId="0" xfId="0" applyFont="1"/>
    <xf numFmtId="174" fontId="34" fillId="0" borderId="0" xfId="0" applyNumberFormat="1" applyFont="1"/>
    <xf numFmtId="9" fontId="34" fillId="0" borderId="0" xfId="0" applyNumberFormat="1" applyFont="1"/>
    <xf numFmtId="10" fontId="0" fillId="0" borderId="0" xfId="0" applyNumberFormat="1"/>
    <xf numFmtId="0" fontId="6" fillId="0" borderId="0" xfId="0" applyFont="1"/>
    <xf numFmtId="186" fontId="0" fillId="0" borderId="0" xfId="1" applyNumberFormat="1" applyFont="1"/>
    <xf numFmtId="186" fontId="11" fillId="0" borderId="12" xfId="1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1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6" fillId="0" borderId="73" xfId="0" applyFont="1" applyBorder="1" applyAlignment="1">
      <alignment horizontal="center"/>
    </xf>
    <xf numFmtId="0" fontId="6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4" fillId="0" borderId="0" xfId="0" applyFont="1"/>
    <xf numFmtId="9" fontId="0" fillId="0" borderId="0" xfId="0" applyNumberFormat="1"/>
    <xf numFmtId="0" fontId="11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5" fillId="0" borderId="0" xfId="0" applyFont="1"/>
    <xf numFmtId="0" fontId="65" fillId="0" borderId="0" xfId="0" applyFont="1" applyAlignment="1">
      <alignment horizontal="center"/>
    </xf>
    <xf numFmtId="169" fontId="6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center"/>
    </xf>
    <xf numFmtId="9" fontId="0" fillId="0" borderId="0" xfId="2" applyFont="1"/>
    <xf numFmtId="186" fontId="65" fillId="0" borderId="0" xfId="1" applyNumberFormat="1" applyFont="1" applyAlignment="1">
      <alignment horizontal="center"/>
    </xf>
    <xf numFmtId="186" fontId="65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86" fontId="66" fillId="0" borderId="0" xfId="1" applyNumberFormat="1" applyFont="1" applyAlignment="1">
      <alignment horizontal="center"/>
    </xf>
    <xf numFmtId="167" fontId="61" fillId="0" borderId="0" xfId="0" applyNumberFormat="1" applyFont="1"/>
    <xf numFmtId="2" fontId="65" fillId="0" borderId="0" xfId="0" applyNumberFormat="1" applyFont="1"/>
    <xf numFmtId="0" fontId="67" fillId="0" borderId="0" xfId="0" applyFont="1"/>
    <xf numFmtId="0" fontId="68" fillId="0" borderId="0" xfId="0" applyFont="1"/>
    <xf numFmtId="0" fontId="6" fillId="0" borderId="0" xfId="0" applyFont="1" applyAlignment="1">
      <alignment vertical="center"/>
    </xf>
    <xf numFmtId="167" fontId="19" fillId="0" borderId="17" xfId="0" applyNumberFormat="1" applyFont="1" applyBorder="1"/>
    <xf numFmtId="0" fontId="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5" fillId="0" borderId="0" xfId="0" applyFont="1"/>
    <xf numFmtId="43" fontId="0" fillId="0" borderId="0" xfId="1" applyFont="1"/>
    <xf numFmtId="1" fontId="0" fillId="0" borderId="0" xfId="0" applyNumberFormat="1"/>
    <xf numFmtId="1" fontId="70" fillId="20" borderId="0" xfId="0" applyNumberFormat="1" applyFont="1" applyFill="1"/>
    <xf numFmtId="2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horizontal="center" vertical="center"/>
    </xf>
    <xf numFmtId="184" fontId="0" fillId="0" borderId="76" xfId="0" applyNumberFormat="1" applyBorder="1"/>
    <xf numFmtId="0" fontId="61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8" fillId="0" borderId="0" xfId="2" applyFont="1"/>
    <xf numFmtId="0" fontId="0" fillId="0" borderId="0" xfId="0" applyAlignment="1">
      <alignment horizontal="right"/>
    </xf>
    <xf numFmtId="2" fontId="11" fillId="0" borderId="0" xfId="0" applyNumberFormat="1" applyFont="1" applyAlignment="1">
      <alignment horizontal="left"/>
    </xf>
    <xf numFmtId="43" fontId="18" fillId="0" borderId="0" xfId="1" applyFont="1"/>
    <xf numFmtId="0" fontId="72" fillId="0" borderId="0" xfId="0" applyFont="1"/>
    <xf numFmtId="0" fontId="11" fillId="22" borderId="1" xfId="0" applyFont="1" applyFill="1" applyBorder="1"/>
    <xf numFmtId="0" fontId="0" fillId="23" borderId="0" xfId="0" applyFill="1"/>
    <xf numFmtId="0" fontId="11" fillId="24" borderId="1" xfId="0" applyFont="1" applyFill="1" applyBorder="1"/>
    <xf numFmtId="0" fontId="11" fillId="25" borderId="1" xfId="0" applyFont="1" applyFill="1" applyBorder="1"/>
    <xf numFmtId="0" fontId="11" fillId="2" borderId="64" xfId="0" applyFont="1" applyFill="1" applyBorder="1"/>
    <xf numFmtId="43" fontId="0" fillId="23" borderId="0" xfId="0" applyNumberFormat="1" applyFill="1"/>
    <xf numFmtId="165" fontId="11" fillId="0" borderId="0" xfId="2" applyNumberFormat="1" applyFont="1"/>
    <xf numFmtId="10" fontId="11" fillId="21" borderId="0" xfId="0" applyNumberFormat="1" applyFont="1" applyFill="1"/>
    <xf numFmtId="0" fontId="11" fillId="21" borderId="0" xfId="0" applyFont="1" applyFill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 applyAlignment="1">
      <alignment horizontal="center"/>
    </xf>
    <xf numFmtId="9" fontId="75" fillId="0" borderId="0" xfId="0" applyNumberFormat="1" applyFont="1"/>
    <xf numFmtId="9" fontId="75" fillId="0" borderId="0" xfId="2" applyFont="1"/>
    <xf numFmtId="169" fontId="76" fillId="0" borderId="0" xfId="0" applyNumberFormat="1" applyFont="1" applyAlignment="1">
      <alignment horizontal="center"/>
    </xf>
    <xf numFmtId="1" fontId="76" fillId="0" borderId="0" xfId="0" applyNumberFormat="1" applyFont="1" applyAlignment="1">
      <alignment horizontal="center"/>
    </xf>
    <xf numFmtId="186" fontId="76" fillId="0" borderId="0" xfId="1" applyNumberFormat="1" applyFont="1" applyAlignment="1">
      <alignment horizontal="center"/>
    </xf>
    <xf numFmtId="9" fontId="75" fillId="0" borderId="76" xfId="0" applyNumberFormat="1" applyFont="1" applyBorder="1"/>
    <xf numFmtId="186" fontId="76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186" fontId="77" fillId="0" borderId="0" xfId="1" applyNumberFormat="1" applyFont="1" applyAlignment="1">
      <alignment horizontal="center"/>
    </xf>
    <xf numFmtId="0" fontId="78" fillId="0" borderId="0" xfId="0" applyFont="1" applyAlignment="1">
      <alignment horizontal="right"/>
    </xf>
    <xf numFmtId="2" fontId="3" fillId="0" borderId="0" xfId="0" applyNumberFormat="1" applyFont="1"/>
    <xf numFmtId="169" fontId="3" fillId="0" borderId="0" xfId="0" applyNumberFormat="1" applyFont="1"/>
    <xf numFmtId="169" fontId="5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19" fillId="0" borderId="0" xfId="0" applyNumberFormat="1" applyFont="1"/>
    <xf numFmtId="0" fontId="2" fillId="0" borderId="0" xfId="0" applyFont="1"/>
    <xf numFmtId="169" fontId="65" fillId="0" borderId="0" xfId="0" applyNumberFormat="1" applyFont="1"/>
    <xf numFmtId="0" fontId="79" fillId="4" borderId="7" xfId="0" applyFont="1" applyFill="1" applyBorder="1" applyAlignment="1">
      <alignment horizontal="center"/>
    </xf>
    <xf numFmtId="176" fontId="19" fillId="0" borderId="0" xfId="0" applyNumberFormat="1" applyFont="1"/>
    <xf numFmtId="187" fontId="19" fillId="0" borderId="0" xfId="0" applyNumberFormat="1" applyFont="1"/>
    <xf numFmtId="0" fontId="80" fillId="0" borderId="0" xfId="0" applyFont="1"/>
    <xf numFmtId="0" fontId="81" fillId="28" borderId="76" xfId="0" applyFont="1" applyFill="1" applyBorder="1" applyAlignment="1">
      <alignment horizontal="center"/>
    </xf>
    <xf numFmtId="0" fontId="17" fillId="27" borderId="77" xfId="3" applyFont="1" applyBorder="1" applyAlignment="1">
      <alignment horizontal="center" wrapText="1"/>
    </xf>
    <xf numFmtId="0" fontId="17" fillId="27" borderId="77" xfId="3" applyFont="1" applyBorder="1" applyAlignment="1"/>
    <xf numFmtId="0" fontId="84" fillId="0" borderId="0" xfId="0" applyFont="1"/>
    <xf numFmtId="169" fontId="11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169" fontId="11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1" fillId="30" borderId="1" xfId="0" applyNumberFormat="1" applyFont="1" applyFill="1" applyBorder="1" applyAlignment="1">
      <alignment horizontal="center" vertical="center"/>
    </xf>
    <xf numFmtId="165" fontId="34" fillId="2" borderId="1" xfId="0" applyNumberFormat="1" applyFont="1" applyFill="1" applyBorder="1"/>
    <xf numFmtId="0" fontId="34" fillId="0" borderId="0" xfId="0" applyFont="1" applyAlignment="1">
      <alignment horizontal="left"/>
    </xf>
    <xf numFmtId="165" fontId="85" fillId="2" borderId="64" xfId="0" applyNumberFormat="1" applyFont="1" applyFill="1" applyBorder="1"/>
    <xf numFmtId="165" fontId="86" fillId="2" borderId="64" xfId="0" applyNumberFormat="1" applyFont="1" applyFill="1" applyBorder="1"/>
    <xf numFmtId="0" fontId="12" fillId="0" borderId="0" xfId="0" applyFont="1" applyAlignment="1">
      <alignment horizontal="left"/>
    </xf>
    <xf numFmtId="0" fontId="86" fillId="0" borderId="0" xfId="0" applyFont="1" applyAlignment="1">
      <alignment horizontal="left"/>
    </xf>
    <xf numFmtId="0" fontId="11" fillId="2" borderId="1" xfId="0" applyFont="1" applyFill="1" applyBorder="1" applyAlignment="1">
      <alignment horizontal="right" vertical="center"/>
    </xf>
    <xf numFmtId="0" fontId="60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0" fontId="34" fillId="2" borderId="1" xfId="0" applyFont="1" applyFill="1" applyBorder="1" applyAlignment="1">
      <alignment horizontal="right" vertical="center"/>
    </xf>
    <xf numFmtId="0" fontId="34" fillId="2" borderId="1" xfId="0" applyFont="1" applyFill="1" applyBorder="1"/>
    <xf numFmtId="0" fontId="86" fillId="2" borderId="64" xfId="0" applyFont="1" applyFill="1" applyBorder="1" applyAlignment="1">
      <alignment horizontal="right" vertical="center"/>
    </xf>
    <xf numFmtId="0" fontId="86" fillId="2" borderId="1" xfId="0" applyFont="1" applyFill="1" applyBorder="1"/>
    <xf numFmtId="0" fontId="86" fillId="2" borderId="64" xfId="0" applyFont="1" applyFill="1" applyBorder="1"/>
    <xf numFmtId="0" fontId="12" fillId="2" borderId="2" xfId="0" applyFont="1" applyFill="1" applyBorder="1" applyAlignment="1">
      <alignment horizontal="center"/>
    </xf>
    <xf numFmtId="0" fontId="13" fillId="0" borderId="3" xfId="0" applyFont="1" applyBorder="1"/>
    <xf numFmtId="0" fontId="13" fillId="0" borderId="4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19" fillId="26" borderId="0" xfId="0" applyFont="1" applyFill="1" applyAlignment="1">
      <alignment horizontal="center"/>
    </xf>
    <xf numFmtId="0" fontId="28" fillId="7" borderId="29" xfId="0" applyFont="1" applyFill="1" applyBorder="1" applyAlignment="1">
      <alignment horizontal="center" vertical="center" wrapText="1"/>
    </xf>
    <xf numFmtId="0" fontId="13" fillId="0" borderId="30" xfId="0" applyFont="1" applyBorder="1"/>
    <xf numFmtId="0" fontId="13" fillId="0" borderId="31" xfId="0" applyFont="1" applyBorder="1"/>
    <xf numFmtId="0" fontId="27" fillId="6" borderId="29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13" fillId="0" borderId="36" xfId="0" applyFont="1" applyBorder="1"/>
    <xf numFmtId="0" fontId="13" fillId="0" borderId="37" xfId="0" applyFont="1" applyBorder="1"/>
    <xf numFmtId="0" fontId="27" fillId="6" borderId="38" xfId="0" applyFont="1" applyFill="1" applyBorder="1" applyAlignment="1">
      <alignment horizontal="center" vertical="center"/>
    </xf>
    <xf numFmtId="0" fontId="13" fillId="0" borderId="39" xfId="0" applyFont="1" applyBorder="1"/>
    <xf numFmtId="0" fontId="13" fillId="0" borderId="40" xfId="0" applyFont="1" applyBorder="1"/>
    <xf numFmtId="2" fontId="11" fillId="0" borderId="24" xfId="0" applyNumberFormat="1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171" fontId="11" fillId="0" borderId="16" xfId="0" applyNumberFormat="1" applyFont="1" applyBorder="1" applyAlignment="1">
      <alignment horizontal="center" vertical="center"/>
    </xf>
    <xf numFmtId="0" fontId="13" fillId="0" borderId="12" xfId="0" applyFont="1" applyBorder="1"/>
    <xf numFmtId="0" fontId="13" fillId="0" borderId="19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3" fillId="0" borderId="18" xfId="0" applyFont="1" applyBorder="1"/>
    <xf numFmtId="0" fontId="20" fillId="0" borderId="1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/>
    </xf>
    <xf numFmtId="0" fontId="13" fillId="0" borderId="9" xfId="0" applyFont="1" applyBorder="1"/>
    <xf numFmtId="0" fontId="19" fillId="0" borderId="16" xfId="0" applyFont="1" applyBorder="1" applyAlignment="1">
      <alignment horizontal="left" vertical="center"/>
    </xf>
    <xf numFmtId="0" fontId="12" fillId="0" borderId="23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3" fillId="0" borderId="13" xfId="0" applyFont="1" applyBorder="1"/>
    <xf numFmtId="0" fontId="12" fillId="2" borderId="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9" fontId="11" fillId="2" borderId="47" xfId="0" applyNumberFormat="1" applyFont="1" applyFill="1" applyBorder="1" applyAlignment="1">
      <alignment horizontal="center" vertical="center"/>
    </xf>
    <xf numFmtId="0" fontId="13" fillId="0" borderId="49" xfId="0" applyFont="1" applyBorder="1"/>
    <xf numFmtId="9" fontId="11" fillId="0" borderId="0" xfId="0" applyNumberFormat="1" applyFont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3" fillId="0" borderId="55" xfId="0" applyFont="1" applyBorder="1"/>
    <xf numFmtId="0" fontId="13" fillId="0" borderId="56" xfId="0" applyFont="1" applyBorder="1"/>
    <xf numFmtId="0" fontId="12" fillId="2" borderId="57" xfId="0" applyFont="1" applyFill="1" applyBorder="1" applyAlignment="1">
      <alignment horizontal="center" vertical="center"/>
    </xf>
    <xf numFmtId="0" fontId="13" fillId="0" borderId="58" xfId="0" applyFont="1" applyBorder="1"/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21" fillId="18" borderId="2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/>
    </xf>
    <xf numFmtId="0" fontId="49" fillId="10" borderId="60" xfId="0" applyFont="1" applyFill="1" applyBorder="1" applyAlignment="1">
      <alignment horizontal="center"/>
    </xf>
    <xf numFmtId="0" fontId="13" fillId="0" borderId="61" xfId="0" applyFont="1" applyBorder="1"/>
    <xf numFmtId="0" fontId="13" fillId="0" borderId="62" xfId="0" applyFont="1" applyBorder="1"/>
    <xf numFmtId="0" fontId="49" fillId="10" borderId="60" xfId="0" applyFont="1" applyFill="1" applyBorder="1" applyAlignment="1">
      <alignment horizontal="center" wrapText="1"/>
    </xf>
    <xf numFmtId="0" fontId="12" fillId="5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51" fillId="0" borderId="63" xfId="0" applyFont="1" applyBorder="1" applyAlignment="1">
      <alignment horizontal="center"/>
    </xf>
    <xf numFmtId="0" fontId="13" fillId="0" borderId="63" xfId="0" applyFont="1" applyBorder="1"/>
    <xf numFmtId="0" fontId="13" fillId="0" borderId="64" xfId="0" applyFont="1" applyBorder="1"/>
    <xf numFmtId="0" fontId="38" fillId="2" borderId="2" xfId="0" applyFont="1" applyFill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165" fontId="11" fillId="2" borderId="1" xfId="0" applyNumberFormat="1" applyFont="1" applyFill="1" applyBorder="1" applyAlignment="1">
      <alignment horizontal="left" vertical="center"/>
    </xf>
    <xf numFmtId="0" fontId="1" fillId="0" borderId="0" xfId="0" applyFont="1"/>
    <xf numFmtId="2" fontId="11" fillId="2" borderId="64" xfId="0" applyNumberFormat="1" applyFont="1" applyFill="1" applyBorder="1"/>
    <xf numFmtId="2" fontId="11" fillId="0" borderId="0" xfId="0" applyNumberFormat="1" applyFont="1" applyAlignment="1"/>
    <xf numFmtId="0" fontId="0" fillId="0" borderId="0" xfId="0" applyAlignment="1"/>
    <xf numFmtId="2" fontId="11" fillId="2" borderId="64" xfId="0" applyNumberFormat="1" applyFont="1" applyFill="1" applyBorder="1" applyAlignment="1"/>
    <xf numFmtId="0" fontId="11" fillId="2" borderId="64" xfId="0" applyFont="1" applyFill="1" applyBorder="1" applyAlignment="1"/>
    <xf numFmtId="0" fontId="11" fillId="2" borderId="1" xfId="0" applyFont="1" applyFill="1" applyBorder="1" applyAlignment="1">
      <alignment horizontal="right"/>
    </xf>
    <xf numFmtId="2" fontId="11" fillId="2" borderId="64" xfId="0" applyNumberFormat="1" applyFont="1" applyFill="1" applyBorder="1" applyAlignment="1">
      <alignment horizontal="right"/>
    </xf>
    <xf numFmtId="2" fontId="11" fillId="2" borderId="1" xfId="0" applyNumberFormat="1" applyFont="1" applyFill="1" applyBorder="1" applyAlignment="1">
      <alignment horizontal="right" vertical="center"/>
    </xf>
    <xf numFmtId="2" fontId="11" fillId="2" borderId="1" xfId="0" applyNumberFormat="1" applyFont="1" applyFill="1" applyBorder="1" applyAlignment="1">
      <alignment horizontal="right"/>
    </xf>
    <xf numFmtId="0" fontId="11" fillId="2" borderId="64" xfId="0" applyFont="1" applyFill="1" applyBorder="1" applyAlignment="1">
      <alignment horizontal="right"/>
    </xf>
    <xf numFmtId="0" fontId="16" fillId="31" borderId="64" xfId="0" applyFont="1" applyFill="1" applyBorder="1" applyAlignment="1">
      <alignment horizontal="right" vertical="center"/>
    </xf>
    <xf numFmtId="0" fontId="16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 applyAlignment="1"/>
    <xf numFmtId="2" fontId="0" fillId="0" borderId="0" xfId="0" applyNumberFormat="1" applyAlignment="1">
      <alignment horizontal="right"/>
    </xf>
    <xf numFmtId="165" fontId="11" fillId="2" borderId="64" xfId="0" applyNumberFormat="1" applyFont="1" applyFill="1" applyBorder="1"/>
    <xf numFmtId="0" fontId="11" fillId="2" borderId="64" xfId="0" applyFont="1" applyFill="1" applyBorder="1" applyAlignment="1">
      <alignment horizontal="left"/>
    </xf>
    <xf numFmtId="9" fontId="11" fillId="2" borderId="64" xfId="0" applyNumberFormat="1" applyFont="1" applyFill="1" applyBorder="1" applyAlignment="1">
      <alignment horizontal="center"/>
    </xf>
    <xf numFmtId="165" fontId="11" fillId="2" borderId="64" xfId="0" applyNumberFormat="1" applyFont="1" applyFill="1" applyBorder="1" applyAlignment="1">
      <alignment horizontal="left"/>
    </xf>
    <xf numFmtId="0" fontId="11" fillId="2" borderId="64" xfId="0" applyFont="1" applyFill="1" applyBorder="1" applyAlignment="1">
      <alignment horizontal="center"/>
    </xf>
    <xf numFmtId="9" fontId="11" fillId="2" borderId="64" xfId="0" applyNumberFormat="1" applyFont="1" applyFill="1" applyBorder="1" applyAlignment="1">
      <alignment horizontal="left"/>
    </xf>
    <xf numFmtId="9" fontId="11" fillId="2" borderId="64" xfId="0" applyNumberFormat="1" applyFont="1" applyFill="1" applyBorder="1" applyAlignment="1">
      <alignment horizontal="center" vertical="center"/>
    </xf>
    <xf numFmtId="165" fontId="11" fillId="2" borderId="64" xfId="0" applyNumberFormat="1" applyFont="1" applyFill="1" applyBorder="1" applyAlignment="1">
      <alignment horizontal="center"/>
    </xf>
    <xf numFmtId="165" fontId="11" fillId="2" borderId="64" xfId="0" applyNumberFormat="1" applyFont="1" applyFill="1" applyBorder="1" applyAlignment="1">
      <alignment horizontal="center" vertical="center"/>
    </xf>
    <xf numFmtId="0" fontId="40" fillId="23" borderId="64" xfId="0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1" fillId="2" borderId="1" xfId="0" quotePrefix="1" applyNumberFormat="1" applyFont="1" applyFill="1" applyBorder="1"/>
    <xf numFmtId="2" fontId="11" fillId="32" borderId="1" xfId="0" applyNumberFormat="1" applyFont="1" applyFill="1" applyBorder="1"/>
    <xf numFmtId="0" fontId="16" fillId="33" borderId="52" xfId="0" applyFont="1" applyFill="1" applyBorder="1" applyAlignment="1">
      <alignment horizontal="left"/>
    </xf>
    <xf numFmtId="0" fontId="16" fillId="34" borderId="64" xfId="0" applyFont="1" applyFill="1" applyBorder="1" applyAlignment="1">
      <alignment horizontal="center" vertical="center"/>
    </xf>
    <xf numFmtId="0" fontId="16" fillId="34" borderId="64" xfId="0" applyFont="1" applyFill="1" applyBorder="1" applyAlignment="1">
      <alignment horizontal="left"/>
    </xf>
    <xf numFmtId="0" fontId="16" fillId="34" borderId="64" xfId="0" applyFont="1" applyFill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3"/>
  <sheetViews>
    <sheetView topLeftCell="A60" zoomScale="115" zoomScaleNormal="115" workbookViewId="0">
      <selection activeCell="D51" sqref="D5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34" t="s">
        <v>36</v>
      </c>
      <c r="Y14" s="935"/>
      <c r="Z14" s="935"/>
      <c r="AA14" s="935"/>
      <c r="AB14" s="935"/>
      <c r="AC14" s="935"/>
      <c r="AD14" s="935"/>
      <c r="AE14" s="935"/>
      <c r="AF14" s="936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34" t="s">
        <v>37</v>
      </c>
      <c r="C15" s="935"/>
      <c r="D15" s="935"/>
      <c r="E15" s="935"/>
      <c r="F15" s="935"/>
      <c r="G15" s="935"/>
      <c r="H15" s="935"/>
      <c r="I15" s="935"/>
      <c r="J15" s="936"/>
      <c r="K15" s="1"/>
      <c r="L15" s="1"/>
      <c r="M15" s="934" t="s">
        <v>38</v>
      </c>
      <c r="N15" s="935"/>
      <c r="O15" s="935"/>
      <c r="P15" s="935"/>
      <c r="Q15" s="935"/>
      <c r="R15" s="935"/>
      <c r="S15" s="935"/>
      <c r="T15" s="935"/>
      <c r="U15" s="936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34" t="s">
        <v>39</v>
      </c>
      <c r="AJ15" s="935"/>
      <c r="AK15" s="935"/>
      <c r="AL15" s="935"/>
      <c r="AM15" s="935"/>
      <c r="AN15" s="935"/>
      <c r="AO15" s="935"/>
      <c r="AP15" s="935"/>
      <c r="AQ15" s="936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">
        <v>1493</v>
      </c>
      <c r="E30" s="1" t="s">
        <v>1762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">
        <v>89</v>
      </c>
      <c r="E31" s="1" t="s">
        <v>1763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">
        <v>96</v>
      </c>
      <c r="E32" s="1" t="s">
        <v>1764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">
        <v>101</v>
      </c>
      <c r="E33" s="1" t="s">
        <v>1765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">
        <v>106</v>
      </c>
      <c r="E34" s="1" t="s">
        <v>1766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">
        <v>111</v>
      </c>
      <c r="E35" s="1" t="s">
        <v>1767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">
        <v>116</v>
      </c>
      <c r="E36" s="1" t="s">
        <v>1768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">
        <v>127</v>
      </c>
      <c r="E37" s="1" t="s">
        <v>1769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">
        <v>132</v>
      </c>
      <c r="E38" s="1" t="s">
        <v>1770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">
        <v>138</v>
      </c>
      <c r="E39" s="1" t="s">
        <v>1771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">
        <v>139</v>
      </c>
      <c r="E40" s="1" t="s">
        <v>1772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">
        <v>140</v>
      </c>
      <c r="E41" s="1" t="s">
        <v>1773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">
        <v>141</v>
      </c>
      <c r="E42" s="1" t="s">
        <v>1774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tr">
        <f>+'1. EXP_IMP'!J53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215</v>
      </c>
      <c r="E96" s="1" t="s">
        <v>216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217</v>
      </c>
      <c r="E97" s="1" t="s">
        <v>218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930" t="s">
        <v>219</v>
      </c>
      <c r="E98" s="930" t="s">
        <v>1755</v>
      </c>
      <c r="F98" s="930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933" t="s">
        <v>1754</v>
      </c>
      <c r="E99" s="932" t="s">
        <v>220</v>
      </c>
      <c r="F99" s="933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932" t="s">
        <v>221</v>
      </c>
      <c r="E100" s="932" t="s">
        <v>222</v>
      </c>
      <c r="F100" s="932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223</v>
      </c>
      <c r="E101" s="1" t="s">
        <v>224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225</v>
      </c>
      <c r="E102" s="1" t="s">
        <v>226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227</v>
      </c>
      <c r="E103" s="1" t="s">
        <v>228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229</v>
      </c>
      <c r="E104" s="1" t="s">
        <v>230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1" t="s">
        <v>231</v>
      </c>
      <c r="E105" s="1" t="s">
        <v>232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814" t="s">
        <v>233</v>
      </c>
      <c r="E106" s="930" t="s">
        <v>234</v>
      </c>
      <c r="F106" s="930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933" t="s">
        <v>1756</v>
      </c>
      <c r="E107" s="933" t="s">
        <v>1760</v>
      </c>
      <c r="F107" s="933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933" t="s">
        <v>1757</v>
      </c>
      <c r="E108" s="933" t="s">
        <v>1761</v>
      </c>
      <c r="F108" s="933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1" t="s">
        <v>235</v>
      </c>
      <c r="E109" s="1" t="s">
        <v>236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1" t="s">
        <v>237</v>
      </c>
      <c r="E110" s="1" t="s">
        <v>238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1" t="s">
        <v>239</v>
      </c>
      <c r="E111" s="1" t="s">
        <v>240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1" t="s">
        <v>241</v>
      </c>
      <c r="E112" s="1" t="s">
        <v>242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1" t="s">
        <v>243</v>
      </c>
      <c r="E113" s="1" t="s">
        <v>244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814" t="s">
        <v>245</v>
      </c>
      <c r="E114" s="930" t="s">
        <v>246</v>
      </c>
      <c r="F114" s="930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933" t="s">
        <v>1756</v>
      </c>
      <c r="E115" s="933" t="s">
        <v>1758</v>
      </c>
      <c r="F115" s="933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933" t="s">
        <v>1757</v>
      </c>
      <c r="E116" s="933" t="s">
        <v>1759</v>
      </c>
      <c r="F116" s="933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1" t="s">
        <v>247</v>
      </c>
      <c r="E117" s="1" t="s">
        <v>248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1" t="s">
        <v>249</v>
      </c>
      <c r="E118" s="1" t="s">
        <v>250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1" t="s">
        <v>251</v>
      </c>
      <c r="E119" s="1" t="s">
        <v>252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1" t="s">
        <v>253</v>
      </c>
      <c r="E120" s="1" t="s">
        <v>254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/>
      <c r="E122" s="1"/>
      <c r="F122" s="1"/>
      <c r="G122" s="87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s="915" customFormat="1" ht="15.75" customHeight="1" x14ac:dyDescent="0.25">
      <c r="A126" s="874"/>
      <c r="B126" s="874"/>
      <c r="C126" s="874"/>
      <c r="D126" s="1"/>
      <c r="E126" s="1"/>
      <c r="F126" s="1"/>
      <c r="G126" s="1"/>
      <c r="H126" s="874"/>
      <c r="I126" s="874"/>
      <c r="J126" s="874"/>
      <c r="K126" s="874"/>
      <c r="L126" s="874"/>
      <c r="M126" s="874"/>
      <c r="N126" s="874"/>
      <c r="O126" s="874"/>
      <c r="P126" s="874"/>
      <c r="Q126" s="874"/>
      <c r="R126" s="874"/>
      <c r="S126" s="874"/>
      <c r="T126" s="874"/>
      <c r="U126" s="874"/>
      <c r="V126" s="874"/>
      <c r="W126" s="874"/>
      <c r="X126" s="874"/>
      <c r="Y126" s="874"/>
      <c r="Z126" s="874"/>
      <c r="AA126" s="874"/>
      <c r="AB126" s="874"/>
      <c r="AC126" s="874"/>
      <c r="AD126" s="874"/>
      <c r="AE126" s="874"/>
      <c r="AF126" s="874"/>
      <c r="AG126" s="874"/>
      <c r="AH126" s="874"/>
      <c r="AI126" s="874"/>
      <c r="AJ126" s="874"/>
      <c r="AK126" s="874"/>
      <c r="AL126" s="874"/>
      <c r="AM126" s="874"/>
      <c r="AN126" s="874"/>
      <c r="AO126" s="874"/>
      <c r="AP126" s="874"/>
      <c r="AQ126" s="874"/>
      <c r="AR126" s="874"/>
      <c r="AS126" s="874"/>
      <c r="AT126" s="874"/>
      <c r="AU126" s="874"/>
      <c r="AV126" s="874"/>
      <c r="AW126" s="874"/>
      <c r="AX126" s="874"/>
      <c r="AY126" s="874"/>
      <c r="AZ126" s="874"/>
      <c r="BA126" s="874"/>
      <c r="BB126" s="874"/>
      <c r="BC126" s="874"/>
      <c r="BD126" s="874"/>
      <c r="BE126" s="874"/>
      <c r="BF126" s="874"/>
      <c r="BG126" s="874"/>
      <c r="BH126" s="874"/>
      <c r="BI126" s="874"/>
      <c r="BJ126" s="874"/>
      <c r="BK126" s="874"/>
    </row>
    <row r="127" spans="1:63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/>
      <c r="E130" s="1"/>
      <c r="F130" s="1"/>
      <c r="G130" s="87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s="915" customFormat="1" ht="15.75" customHeight="1" x14ac:dyDescent="0.25">
      <c r="A134" s="874"/>
      <c r="B134" s="874"/>
      <c r="C134" s="874"/>
      <c r="D134" s="1"/>
      <c r="E134" s="1"/>
      <c r="F134" s="1"/>
      <c r="G134" s="1"/>
      <c r="H134" s="874"/>
      <c r="I134" s="874"/>
      <c r="J134" s="874"/>
      <c r="K134" s="874"/>
      <c r="L134" s="874"/>
      <c r="M134" s="874"/>
      <c r="N134" s="874"/>
      <c r="O134" s="874"/>
      <c r="P134" s="874"/>
      <c r="Q134" s="874"/>
      <c r="R134" s="874"/>
      <c r="S134" s="874"/>
      <c r="T134" s="874"/>
      <c r="U134" s="874"/>
      <c r="V134" s="874"/>
      <c r="W134" s="874"/>
      <c r="X134" s="874"/>
      <c r="Y134" s="874"/>
      <c r="Z134" s="874"/>
      <c r="AA134" s="874"/>
      <c r="AB134" s="874"/>
      <c r="AC134" s="874"/>
      <c r="AD134" s="874"/>
      <c r="AE134" s="874"/>
      <c r="AF134" s="874"/>
      <c r="AG134" s="874"/>
      <c r="AH134" s="874"/>
      <c r="AI134" s="874"/>
      <c r="AJ134" s="874"/>
      <c r="AK134" s="874"/>
      <c r="AL134" s="874"/>
      <c r="AM134" s="874"/>
      <c r="AN134" s="874"/>
      <c r="AO134" s="874"/>
      <c r="AP134" s="874"/>
      <c r="AQ134" s="874"/>
      <c r="AR134" s="874"/>
      <c r="AS134" s="874"/>
      <c r="AT134" s="874"/>
      <c r="AU134" s="874"/>
      <c r="AV134" s="874"/>
      <c r="AW134" s="874"/>
      <c r="AX134" s="874"/>
      <c r="AY134" s="874"/>
      <c r="AZ134" s="874"/>
      <c r="BA134" s="874"/>
      <c r="BB134" s="874"/>
      <c r="BC134" s="874"/>
      <c r="BD134" s="874"/>
      <c r="BE134" s="874"/>
      <c r="BF134" s="874"/>
      <c r="BG134" s="874"/>
      <c r="BH134" s="874"/>
      <c r="BI134" s="874"/>
      <c r="BJ134" s="874"/>
      <c r="BK134" s="874"/>
    </row>
    <row r="135" spans="1:63" s="915" customFormat="1" ht="15.75" customHeight="1" x14ac:dyDescent="0.25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25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25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25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</sheetData>
  <mergeCells count="4">
    <mergeCell ref="X14:AF14"/>
    <mergeCell ref="B15:J15"/>
    <mergeCell ref="M15:U15"/>
    <mergeCell ref="AI15:AQ15"/>
  </mergeCells>
  <phoneticPr fontId="71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03" zoomScaleNormal="100" workbookViewId="0">
      <selection activeCell="N121" sqref="N121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37" t="s">
        <v>267</v>
      </c>
      <c r="C18" s="938"/>
      <c r="D18" s="938"/>
      <c r="E18" s="938"/>
      <c r="F18" s="938"/>
      <c r="G18" s="938"/>
      <c r="H18" s="938"/>
      <c r="I18" s="938"/>
      <c r="J18" s="938"/>
      <c r="L18" s="937" t="s">
        <v>268</v>
      </c>
      <c r="M18" s="938"/>
      <c r="N18" s="938"/>
      <c r="O18" s="938"/>
      <c r="P18" s="938"/>
      <c r="Q18" s="938"/>
      <c r="R18" s="938"/>
      <c r="S18" s="938"/>
      <c r="T18" s="938"/>
      <c r="V18" s="937" t="s">
        <v>269</v>
      </c>
      <c r="W18" s="938"/>
      <c r="X18" s="938"/>
      <c r="Y18" s="938"/>
      <c r="Z18" s="938"/>
      <c r="AA18" s="938"/>
      <c r="AB18" s="938"/>
      <c r="AC18" s="938"/>
      <c r="AD18" s="938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25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25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25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25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25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25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25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25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25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25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25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25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25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25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25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25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25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25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25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25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25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25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25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25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25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25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25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25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25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25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25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25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25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25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25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25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25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25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25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25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25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25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25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25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25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25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25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25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25">
      <c r="N110" s="920" t="s">
        <v>396</v>
      </c>
      <c r="O110" s="921" t="s">
        <v>397</v>
      </c>
      <c r="P110" s="921" t="s">
        <v>59</v>
      </c>
      <c r="Q110" s="921" t="s">
        <v>288</v>
      </c>
    </row>
    <row r="111" spans="14:17" ht="15.75" customHeight="1" x14ac:dyDescent="0.25">
      <c r="N111" s="920" t="s">
        <v>398</v>
      </c>
      <c r="O111" s="921" t="s">
        <v>399</v>
      </c>
      <c r="P111" s="921" t="s">
        <v>59</v>
      </c>
      <c r="Q111" s="921" t="s">
        <v>288</v>
      </c>
    </row>
    <row r="112" spans="14:17" ht="15.75" customHeight="1" x14ac:dyDescent="0.25">
      <c r="N112" s="920" t="s">
        <v>400</v>
      </c>
      <c r="O112" s="921" t="s">
        <v>401</v>
      </c>
      <c r="P112" s="921" t="s">
        <v>59</v>
      </c>
      <c r="Q112" s="921" t="s">
        <v>288</v>
      </c>
    </row>
    <row r="113" spans="14:18" ht="15.75" customHeight="1" x14ac:dyDescent="0.25">
      <c r="N113" s="920" t="s">
        <v>402</v>
      </c>
      <c r="O113" s="921" t="s">
        <v>403</v>
      </c>
      <c r="P113" s="921" t="s">
        <v>59</v>
      </c>
      <c r="Q113" s="921" t="s">
        <v>288</v>
      </c>
    </row>
    <row r="114" spans="14:18" ht="15.75" customHeight="1" x14ac:dyDescent="0.25">
      <c r="N114" s="922" t="s">
        <v>1714</v>
      </c>
      <c r="O114" s="18" t="s">
        <v>1718</v>
      </c>
      <c r="P114" s="18" t="s">
        <v>59</v>
      </c>
      <c r="Q114" s="18" t="s">
        <v>288</v>
      </c>
    </row>
    <row r="115" spans="14:18" ht="15.75" customHeight="1" x14ac:dyDescent="0.25">
      <c r="N115" s="922" t="s">
        <v>1715</v>
      </c>
      <c r="O115" s="18" t="s">
        <v>1719</v>
      </c>
      <c r="P115" s="18" t="s">
        <v>59</v>
      </c>
      <c r="Q115" s="18" t="s">
        <v>288</v>
      </c>
    </row>
    <row r="116" spans="14:18" ht="15.75" customHeight="1" x14ac:dyDescent="0.25">
      <c r="N116" s="922" t="s">
        <v>1716</v>
      </c>
      <c r="O116" s="18" t="s">
        <v>1720</v>
      </c>
      <c r="P116" s="18" t="s">
        <v>59</v>
      </c>
      <c r="Q116" s="18" t="s">
        <v>288</v>
      </c>
    </row>
    <row r="117" spans="14:18" ht="15.75" customHeight="1" x14ac:dyDescent="0.25">
      <c r="N117" s="922" t="s">
        <v>1722</v>
      </c>
      <c r="O117" s="18" t="s">
        <v>1721</v>
      </c>
      <c r="P117" s="18" t="s">
        <v>59</v>
      </c>
      <c r="Q117" s="18" t="s">
        <v>288</v>
      </c>
    </row>
    <row r="118" spans="14:18" ht="15.75" customHeight="1" x14ac:dyDescent="0.25">
      <c r="N118" s="923" t="s">
        <v>1723</v>
      </c>
      <c r="O118" s="924" t="s">
        <v>1726</v>
      </c>
      <c r="P118" s="18" t="s">
        <v>59</v>
      </c>
      <c r="Q118" s="18" t="s">
        <v>288</v>
      </c>
    </row>
    <row r="119" spans="14:18" ht="15.75" customHeight="1" x14ac:dyDescent="0.25">
      <c r="N119" s="923" t="s">
        <v>1724</v>
      </c>
      <c r="O119" s="924" t="s">
        <v>1727</v>
      </c>
      <c r="P119" s="18" t="s">
        <v>59</v>
      </c>
      <c r="Q119" s="18" t="s">
        <v>288</v>
      </c>
    </row>
    <row r="120" spans="14:18" ht="15.75" customHeight="1" x14ac:dyDescent="0.25">
      <c r="N120" s="923" t="s">
        <v>1725</v>
      </c>
      <c r="O120" s="924" t="s">
        <v>1728</v>
      </c>
      <c r="P120" s="18" t="s">
        <v>59</v>
      </c>
      <c r="Q120" s="18" t="s">
        <v>288</v>
      </c>
    </row>
    <row r="121" spans="14:18" ht="15.75" customHeight="1" x14ac:dyDescent="0.25">
      <c r="N121" s="923" t="s">
        <v>1717</v>
      </c>
      <c r="O121" s="924" t="s">
        <v>1729</v>
      </c>
      <c r="P121" s="18" t="s">
        <v>59</v>
      </c>
      <c r="Q121" s="18" t="s">
        <v>288</v>
      </c>
    </row>
    <row r="122" spans="14:18" ht="15.75" customHeight="1" x14ac:dyDescent="0.25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25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25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25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s="915" customFormat="1" ht="15.75" customHeight="1" x14ac:dyDescent="0.25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s="915" customFormat="1" ht="15.75" customHeight="1" x14ac:dyDescent="0.25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s="915" customFormat="1" ht="15.75" customHeight="1" x14ac:dyDescent="0.25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s="915" customFormat="1" ht="15.75" customHeight="1" x14ac:dyDescent="0.25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s="915" customFormat="1" ht="15.75" customHeight="1" x14ac:dyDescent="0.25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s="915" customFormat="1" ht="15.75" customHeight="1" x14ac:dyDescent="0.25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s="915" customFormat="1" ht="15.75" customHeight="1" x14ac:dyDescent="0.25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s="915" customFormat="1" ht="15.75" customHeight="1" x14ac:dyDescent="0.25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25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25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25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814" t="s">
        <v>434</v>
      </c>
      <c r="O137" s="921" t="s">
        <v>435</v>
      </c>
      <c r="P137" s="921" t="s">
        <v>59</v>
      </c>
      <c r="Q137" s="921" t="s">
        <v>288</v>
      </c>
      <c r="R137" s="1"/>
      <c r="S137" s="1"/>
      <c r="T137" s="1"/>
    </row>
    <row r="138" spans="13:20" ht="15.75" customHeight="1" x14ac:dyDescent="0.25">
      <c r="M138" s="1"/>
      <c r="N138" s="814" t="s">
        <v>436</v>
      </c>
      <c r="O138" s="921" t="s">
        <v>437</v>
      </c>
      <c r="P138" s="921" t="s">
        <v>59</v>
      </c>
      <c r="Q138" s="921" t="s">
        <v>288</v>
      </c>
      <c r="R138" s="1"/>
      <c r="S138" s="1"/>
      <c r="T138" s="1"/>
    </row>
    <row r="139" spans="13:20" ht="15.75" customHeight="1" x14ac:dyDescent="0.25">
      <c r="M139" s="1"/>
      <c r="N139" s="814" t="s">
        <v>438</v>
      </c>
      <c r="O139" s="921" t="s">
        <v>439</v>
      </c>
      <c r="P139" s="921" t="s">
        <v>59</v>
      </c>
      <c r="Q139" s="921" t="s">
        <v>288</v>
      </c>
      <c r="R139" s="1"/>
      <c r="S139" s="1"/>
      <c r="T139" s="1"/>
    </row>
    <row r="140" spans="13:20" ht="15.75" customHeight="1" x14ac:dyDescent="0.25">
      <c r="M140" s="1"/>
      <c r="N140" s="848" t="s">
        <v>1730</v>
      </c>
      <c r="O140" s="925" t="s">
        <v>1733</v>
      </c>
      <c r="P140" s="925" t="s">
        <v>59</v>
      </c>
      <c r="Q140" s="925" t="s">
        <v>288</v>
      </c>
      <c r="R140" s="1"/>
      <c r="S140" s="1"/>
      <c r="T140" s="1"/>
    </row>
    <row r="141" spans="13:20" ht="15.75" customHeight="1" x14ac:dyDescent="0.25">
      <c r="M141" s="1"/>
      <c r="N141" s="848" t="s">
        <v>1731</v>
      </c>
      <c r="O141" s="925" t="s">
        <v>1734</v>
      </c>
      <c r="P141" s="925" t="s">
        <v>59</v>
      </c>
      <c r="Q141" s="925" t="s">
        <v>288</v>
      </c>
      <c r="R141" s="1"/>
      <c r="S141" s="1"/>
      <c r="T141" s="1"/>
    </row>
    <row r="142" spans="13:20" ht="15.75" customHeight="1" x14ac:dyDescent="0.25">
      <c r="M142" s="1"/>
      <c r="N142" s="848" t="s">
        <v>1732</v>
      </c>
      <c r="O142" s="925" t="s">
        <v>1735</v>
      </c>
      <c r="P142" s="925" t="s">
        <v>59</v>
      </c>
      <c r="Q142" s="925" t="s">
        <v>288</v>
      </c>
      <c r="R142" s="1"/>
      <c r="S142" s="1"/>
      <c r="T142" s="1"/>
    </row>
    <row r="143" spans="13:20" ht="15.75" customHeight="1" x14ac:dyDescent="0.25">
      <c r="M143" s="1"/>
      <c r="N143" s="848" t="s">
        <v>1739</v>
      </c>
      <c r="O143" s="925" t="s">
        <v>1736</v>
      </c>
      <c r="P143" s="925" t="s">
        <v>59</v>
      </c>
      <c r="Q143" s="925" t="s">
        <v>288</v>
      </c>
      <c r="R143" s="1"/>
      <c r="S143" s="1"/>
      <c r="T143" s="1"/>
    </row>
    <row r="144" spans="13:20" ht="15.75" customHeight="1" x14ac:dyDescent="0.25">
      <c r="M144" s="1"/>
      <c r="N144" s="848" t="s">
        <v>1740</v>
      </c>
      <c r="O144" s="925" t="s">
        <v>1737</v>
      </c>
      <c r="P144" s="925" t="s">
        <v>59</v>
      </c>
      <c r="Q144" s="925" t="s">
        <v>288</v>
      </c>
      <c r="R144" s="1"/>
      <c r="S144" s="1"/>
      <c r="T144" s="1"/>
    </row>
    <row r="145" spans="13:20" ht="15.75" customHeight="1" x14ac:dyDescent="0.25">
      <c r="M145" s="1"/>
      <c r="N145" s="848" t="s">
        <v>1741</v>
      </c>
      <c r="O145" s="925" t="s">
        <v>1738</v>
      </c>
      <c r="P145" s="925" t="s">
        <v>59</v>
      </c>
      <c r="Q145" s="925" t="s">
        <v>288</v>
      </c>
      <c r="S145" s="1"/>
      <c r="T145" s="1"/>
    </row>
    <row r="146" spans="13:20" ht="15.75" customHeight="1" x14ac:dyDescent="0.25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25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25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25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25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25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s="915" customFormat="1" ht="15.75" customHeight="1" x14ac:dyDescent="0.25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s="915" customFormat="1" ht="15.75" customHeight="1" x14ac:dyDescent="0.25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s="915" customFormat="1" ht="15.75" customHeight="1" x14ac:dyDescent="0.25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s="915" customFormat="1" ht="15.75" customHeight="1" x14ac:dyDescent="0.25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s="915" customFormat="1" ht="15.75" customHeight="1" x14ac:dyDescent="0.25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s="915" customFormat="1" ht="15.75" customHeight="1" x14ac:dyDescent="0.25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25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25">
      <c r="N159" s="927" t="s">
        <v>466</v>
      </c>
      <c r="O159" s="921" t="s">
        <v>1744</v>
      </c>
      <c r="P159" s="921" t="s">
        <v>59</v>
      </c>
      <c r="Q159" s="921" t="s">
        <v>288</v>
      </c>
    </row>
    <row r="160" spans="13:20" s="915" customFormat="1" ht="15.75" customHeight="1" x14ac:dyDescent="0.25">
      <c r="N160" s="928" t="s">
        <v>1742</v>
      </c>
      <c r="O160" s="925" t="s">
        <v>467</v>
      </c>
      <c r="P160" s="925" t="s">
        <v>59</v>
      </c>
      <c r="Q160" s="925" t="s">
        <v>288</v>
      </c>
    </row>
    <row r="161" spans="14:17" s="915" customFormat="1" ht="15.75" customHeight="1" x14ac:dyDescent="0.25">
      <c r="N161" s="928" t="s">
        <v>1743</v>
      </c>
      <c r="O161" s="925" t="s">
        <v>1745</v>
      </c>
      <c r="P161" s="925" t="s">
        <v>59</v>
      </c>
      <c r="Q161" s="925" t="s">
        <v>288</v>
      </c>
    </row>
    <row r="162" spans="14:17" ht="15.75" customHeight="1" x14ac:dyDescent="0.25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25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25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25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25">
      <c r="N166" s="926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25">
      <c r="N167" s="929" t="s">
        <v>310</v>
      </c>
      <c r="O167" s="930" t="s">
        <v>311</v>
      </c>
      <c r="P167" s="814" t="s">
        <v>59</v>
      </c>
      <c r="Q167" s="814" t="s">
        <v>288</v>
      </c>
    </row>
    <row r="168" spans="14:17" s="915" customFormat="1" ht="15.75" customHeight="1" x14ac:dyDescent="0.25">
      <c r="N168" s="931" t="s">
        <v>1746</v>
      </c>
      <c r="O168" s="932" t="s">
        <v>1748</v>
      </c>
      <c r="P168" s="848" t="s">
        <v>59</v>
      </c>
      <c r="Q168" s="848" t="s">
        <v>288</v>
      </c>
    </row>
    <row r="169" spans="14:17" s="915" customFormat="1" ht="15.75" customHeight="1" x14ac:dyDescent="0.25">
      <c r="N169" s="931" t="s">
        <v>1747</v>
      </c>
      <c r="O169" s="932" t="s">
        <v>1749</v>
      </c>
      <c r="P169" s="848" t="s">
        <v>59</v>
      </c>
      <c r="Q169" s="848" t="s">
        <v>288</v>
      </c>
    </row>
    <row r="170" spans="14:17" ht="15.75" customHeight="1" x14ac:dyDescent="0.25">
      <c r="N170" s="926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25">
      <c r="N171" s="926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25">
      <c r="N172" s="926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25">
      <c r="N173" s="926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25">
      <c r="N174" s="926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25">
      <c r="N175" s="929" t="s">
        <v>322</v>
      </c>
      <c r="O175" s="930" t="s">
        <v>323</v>
      </c>
      <c r="P175" s="814" t="s">
        <v>59</v>
      </c>
      <c r="Q175" s="814" t="s">
        <v>288</v>
      </c>
    </row>
    <row r="176" spans="14:17" s="915" customFormat="1" ht="15.75" customHeight="1" x14ac:dyDescent="0.25">
      <c r="N176" s="931" t="s">
        <v>1750</v>
      </c>
      <c r="O176" s="933" t="s">
        <v>1752</v>
      </c>
      <c r="P176" s="848" t="s">
        <v>59</v>
      </c>
      <c r="Q176" s="848" t="s">
        <v>288</v>
      </c>
    </row>
    <row r="177" spans="14:17" s="915" customFormat="1" ht="15.75" customHeight="1" x14ac:dyDescent="0.25">
      <c r="N177" s="931" t="s">
        <v>1751</v>
      </c>
      <c r="O177" s="933" t="s">
        <v>1753</v>
      </c>
      <c r="P177" s="848" t="s">
        <v>59</v>
      </c>
      <c r="Q177" s="848" t="s">
        <v>288</v>
      </c>
    </row>
    <row r="178" spans="14:17" ht="15.75" customHeight="1" x14ac:dyDescent="0.25">
      <c r="N178" s="926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25">
      <c r="N179" s="926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25">
      <c r="N180" s="926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25">
      <c r="N181" s="926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25">
      <c r="P182" s="18"/>
      <c r="Q182" s="18"/>
    </row>
    <row r="183" spans="14:17" ht="15.75" customHeight="1" x14ac:dyDescent="0.25">
      <c r="P183" s="18"/>
      <c r="Q183" s="18"/>
    </row>
    <row r="184" spans="14:17" ht="15.75" customHeight="1" x14ac:dyDescent="0.25">
      <c r="P184" s="18"/>
      <c r="Q184" s="18"/>
    </row>
    <row r="185" spans="14:17" ht="15.75" customHeight="1" x14ac:dyDescent="0.25">
      <c r="P185" s="18"/>
      <c r="Q185" s="18"/>
    </row>
    <row r="186" spans="14:17" ht="15.75" customHeight="1" x14ac:dyDescent="0.25">
      <c r="P186" s="18"/>
      <c r="Q186" s="18"/>
    </row>
    <row r="187" spans="14:17" ht="15.75" customHeight="1" x14ac:dyDescent="0.25">
      <c r="P187" s="18"/>
      <c r="Q187" s="18"/>
    </row>
    <row r="188" spans="14:17" ht="15.75" customHeight="1" x14ac:dyDescent="0.25">
      <c r="P188" s="18"/>
      <c r="Q188" s="18"/>
    </row>
    <row r="189" spans="14:17" ht="15.75" customHeight="1" x14ac:dyDescent="0.25">
      <c r="P189" s="18"/>
      <c r="Q189" s="18"/>
    </row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60" t="s">
        <v>476</v>
      </c>
      <c r="G2" s="961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39" t="s">
        <v>1685</v>
      </c>
      <c r="P5" s="939"/>
      <c r="Q5" s="939"/>
      <c r="R5" s="20"/>
      <c r="S5" s="939" t="s">
        <v>1685</v>
      </c>
      <c r="T5" s="939"/>
      <c r="U5" s="939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62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7">
        <f>F15/1000000</f>
        <v>2.933593489850151E-6</v>
      </c>
      <c r="Q7" s="20" t="s">
        <v>1695</v>
      </c>
      <c r="R7" s="20"/>
      <c r="S7" s="20" t="s">
        <v>477</v>
      </c>
      <c r="T7" s="906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5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5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4">
        <f>P9/P2</f>
        <v>100.86838534599728</v>
      </c>
      <c r="Q10" s="20" t="s">
        <v>1694</v>
      </c>
      <c r="R10" s="20"/>
      <c r="S10" s="837"/>
      <c r="T10" s="904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5" t="s">
        <v>819</v>
      </c>
      <c r="R11" s="20"/>
      <c r="S11" s="20"/>
      <c r="T11" s="847">
        <f>(T10/1000000)/T7</f>
        <v>31.888142455178514</v>
      </c>
      <c r="U11" s="905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EXP_IMP'!L42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2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8" t="s">
        <v>796</v>
      </c>
      <c r="P22" s="908"/>
      <c r="Q22" s="908">
        <v>3299</v>
      </c>
      <c r="R22" s="908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2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63" t="s">
        <v>476</v>
      </c>
      <c r="F41" s="955"/>
      <c r="G41" s="963" t="s">
        <v>542</v>
      </c>
      <c r="H41" s="958"/>
      <c r="I41" s="958"/>
      <c r="J41" s="958"/>
      <c r="K41" s="958"/>
      <c r="L41" s="958"/>
      <c r="M41" s="958"/>
      <c r="N41" s="95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64" t="s">
        <v>543</v>
      </c>
      <c r="L42" s="938"/>
      <c r="M42" s="938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50">
        <f>+G114</f>
        <v>6.0871741676095334</v>
      </c>
      <c r="F46" s="953">
        <f>+L114*1000</f>
        <v>77.841777688967127</v>
      </c>
      <c r="G46" s="956">
        <v>6.0871741676095334</v>
      </c>
      <c r="H46" s="957" t="s">
        <v>552</v>
      </c>
      <c r="I46" s="957">
        <v>40670.462586675276</v>
      </c>
      <c r="J46" s="959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51"/>
      <c r="F47" s="954"/>
      <c r="G47" s="951"/>
      <c r="H47" s="938"/>
      <c r="I47" s="938"/>
      <c r="J47" s="95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52"/>
      <c r="F48" s="955"/>
      <c r="G48" s="952"/>
      <c r="H48" s="958"/>
      <c r="I48" s="958"/>
      <c r="J48" s="95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43" t="s">
        <v>582</v>
      </c>
      <c r="C106" s="941"/>
      <c r="D106" s="941"/>
      <c r="E106" s="941"/>
      <c r="F106" s="941"/>
      <c r="G106" s="941"/>
      <c r="H106" s="941"/>
      <c r="I106" s="941"/>
      <c r="J106" s="941"/>
      <c r="K106" s="941"/>
      <c r="L106" s="942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40" t="s">
        <v>584</v>
      </c>
      <c r="E107" s="941"/>
      <c r="F107" s="941"/>
      <c r="G107" s="941"/>
      <c r="H107" s="941"/>
      <c r="I107" s="941"/>
      <c r="J107" s="942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43" t="s">
        <v>625</v>
      </c>
      <c r="C123" s="941"/>
      <c r="D123" s="941"/>
      <c r="E123" s="941"/>
      <c r="F123" s="941"/>
      <c r="G123" s="941"/>
      <c r="H123" s="941"/>
      <c r="I123" s="941"/>
      <c r="J123" s="941"/>
      <c r="K123" s="941"/>
      <c r="L123" s="942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44"/>
      <c r="C140" s="945"/>
      <c r="D140" s="945"/>
      <c r="E140" s="946"/>
      <c r="F140" s="20"/>
      <c r="G140" s="947" t="s">
        <v>660</v>
      </c>
      <c r="H140" s="948"/>
      <c r="I140" s="949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F2:G2"/>
    <mergeCell ref="D7:D9"/>
    <mergeCell ref="E41:F41"/>
    <mergeCell ref="G41:N41"/>
    <mergeCell ref="K42:M42"/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64" zoomScale="85" zoomScaleNormal="85" workbookViewId="0">
      <selection activeCell="I73" sqref="I73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1" customFormat="1" ht="15.75" customHeight="1" x14ac:dyDescent="0.25">
      <c r="J34" s="903" t="s">
        <v>1702</v>
      </c>
      <c r="K34" s="903" t="s">
        <v>1704</v>
      </c>
      <c r="L34" s="12" t="s">
        <v>59</v>
      </c>
      <c r="M34" s="12" t="s">
        <v>288</v>
      </c>
    </row>
    <row r="35" spans="2:23" s="901" customFormat="1" ht="15.75" customHeight="1" x14ac:dyDescent="0.25">
      <c r="J35" s="903" t="s">
        <v>1703</v>
      </c>
      <c r="K35" s="903" t="s">
        <v>1705</v>
      </c>
      <c r="L35" s="12" t="s">
        <v>59</v>
      </c>
      <c r="M35" s="12" t="s">
        <v>288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802</v>
      </c>
    </row>
    <row r="38" spans="2:23" ht="15.75" customHeight="1" x14ac:dyDescent="0.25">
      <c r="D38" s="205">
        <f>+D37/D32</f>
        <v>8.6996059411943008E-2</v>
      </c>
      <c r="E38" s="12" t="s">
        <v>803</v>
      </c>
      <c r="I38" s="206" t="s">
        <v>804</v>
      </c>
      <c r="J38" s="207"/>
      <c r="K38" s="207"/>
      <c r="L38" s="207"/>
      <c r="M38" s="206"/>
    </row>
    <row r="39" spans="2:23" ht="15.75" customHeight="1" x14ac:dyDescent="0.25">
      <c r="I39" s="208" t="s">
        <v>272</v>
      </c>
      <c r="J39" s="209" t="s">
        <v>805</v>
      </c>
      <c r="K39" s="208" t="s">
        <v>806</v>
      </c>
      <c r="L39" s="210" t="s">
        <v>807</v>
      </c>
      <c r="M39" s="210" t="s">
        <v>808</v>
      </c>
      <c r="N39" s="210" t="s">
        <v>809</v>
      </c>
      <c r="O39" s="210" t="s">
        <v>810</v>
      </c>
      <c r="P39" s="210" t="s">
        <v>811</v>
      </c>
      <c r="Q39" s="210" t="s">
        <v>812</v>
      </c>
      <c r="R39" s="210" t="s">
        <v>813</v>
      </c>
      <c r="S39" s="210" t="s">
        <v>814</v>
      </c>
    </row>
    <row r="40" spans="2:23" ht="15.75" customHeight="1" x14ac:dyDescent="0.25">
      <c r="I40" s="211" t="s">
        <v>815</v>
      </c>
      <c r="J40" s="211" t="s">
        <v>816</v>
      </c>
      <c r="K40" s="211" t="s">
        <v>817</v>
      </c>
      <c r="L40" s="212" t="s">
        <v>818</v>
      </c>
      <c r="M40" s="212" t="s">
        <v>818</v>
      </c>
      <c r="N40" s="212" t="s">
        <v>818</v>
      </c>
      <c r="O40" s="212" t="s">
        <v>818</v>
      </c>
      <c r="P40" s="212" t="s">
        <v>818</v>
      </c>
      <c r="Q40" s="212" t="s">
        <v>818</v>
      </c>
      <c r="R40" s="212" t="s">
        <v>818</v>
      </c>
      <c r="S40" s="212" t="s">
        <v>818</v>
      </c>
    </row>
    <row r="41" spans="2:23" ht="15.75" customHeight="1" x14ac:dyDescent="0.25">
      <c r="I41" s="211"/>
      <c r="J41" s="213"/>
      <c r="K41" s="213"/>
      <c r="L41" s="213" t="s">
        <v>819</v>
      </c>
      <c r="M41" s="213" t="s">
        <v>819</v>
      </c>
      <c r="N41" s="213" t="s">
        <v>819</v>
      </c>
      <c r="O41" s="213" t="s">
        <v>819</v>
      </c>
      <c r="P41" s="213" t="s">
        <v>819</v>
      </c>
      <c r="Q41" s="213" t="s">
        <v>819</v>
      </c>
      <c r="R41" s="213" t="s">
        <v>819</v>
      </c>
      <c r="S41" s="213" t="s">
        <v>819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820</v>
      </c>
      <c r="C43" s="216"/>
      <c r="D43" s="216"/>
      <c r="E43" s="216">
        <v>0.125</v>
      </c>
      <c r="F43" s="216" t="s">
        <v>821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822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823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773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824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825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794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3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3" t="s">
        <v>670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3" t="s">
        <v>1565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825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800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1" customFormat="1" ht="15.75" customHeight="1" x14ac:dyDescent="0.25">
      <c r="C69" s="20" t="s">
        <v>1690</v>
      </c>
      <c r="D69" s="20">
        <v>3685</v>
      </c>
      <c r="E69" s="20" t="s">
        <v>1693</v>
      </c>
    </row>
    <row r="70" spans="2:21" s="901" customFormat="1" ht="15.75" customHeight="1" x14ac:dyDescent="0.25">
      <c r="I70" s="903" t="s">
        <v>1701</v>
      </c>
    </row>
    <row r="71" spans="2:21" s="901" customFormat="1" ht="15.75" customHeight="1" x14ac:dyDescent="0.25">
      <c r="C71" s="912" t="s">
        <v>1710</v>
      </c>
    </row>
    <row r="72" spans="2:21" s="901" customFormat="1" ht="15.75" customHeight="1" x14ac:dyDescent="0.25">
      <c r="B72" s="903" t="s">
        <v>477</v>
      </c>
      <c r="C72" s="903" t="s">
        <v>1709</v>
      </c>
      <c r="D72" s="901">
        <v>7679</v>
      </c>
      <c r="E72" s="903" t="s">
        <v>1688</v>
      </c>
      <c r="I72" s="206"/>
      <c r="J72" s="207"/>
      <c r="K72" s="207"/>
      <c r="L72" s="207"/>
      <c r="M72" s="206"/>
    </row>
    <row r="73" spans="2:21" s="901" customFormat="1" ht="15.75" customHeight="1" x14ac:dyDescent="0.25">
      <c r="B73" s="901">
        <f>'Bases de Cálculo'!F15/1000000</f>
        <v>2.933593489850151E-6</v>
      </c>
      <c r="C73" s="903" t="s">
        <v>1712</v>
      </c>
      <c r="D73" s="836">
        <f>D72*42/$D$69</f>
        <v>87.521845318860244</v>
      </c>
      <c r="E73" s="903" t="s">
        <v>1453</v>
      </c>
      <c r="I73" s="208" t="s">
        <v>272</v>
      </c>
      <c r="J73" s="209" t="s">
        <v>805</v>
      </c>
      <c r="K73" s="208" t="s">
        <v>806</v>
      </c>
      <c r="L73" s="210" t="s">
        <v>807</v>
      </c>
      <c r="M73" s="210" t="s">
        <v>808</v>
      </c>
      <c r="N73" s="210" t="s">
        <v>809</v>
      </c>
      <c r="O73" s="210" t="s">
        <v>810</v>
      </c>
      <c r="P73" s="210" t="s">
        <v>811</v>
      </c>
      <c r="Q73" s="210" t="s">
        <v>812</v>
      </c>
      <c r="R73" s="210" t="s">
        <v>813</v>
      </c>
      <c r="S73" s="210" t="s">
        <v>814</v>
      </c>
      <c r="T73" s="909" t="s">
        <v>1707</v>
      </c>
      <c r="U73" s="909" t="s">
        <v>1708</v>
      </c>
    </row>
    <row r="74" spans="2:21" s="901" customFormat="1" ht="15.75" customHeight="1" thickBot="1" x14ac:dyDescent="0.3">
      <c r="D74" s="809">
        <f>(D73/1000000)/B73</f>
        <v>29.834346722432525</v>
      </c>
      <c r="E74" s="903" t="s">
        <v>773</v>
      </c>
      <c r="I74" s="211" t="s">
        <v>815</v>
      </c>
      <c r="J74" s="211" t="s">
        <v>816</v>
      </c>
      <c r="K74" s="211" t="s">
        <v>817</v>
      </c>
      <c r="L74" s="212" t="s">
        <v>818</v>
      </c>
      <c r="M74" s="212" t="s">
        <v>818</v>
      </c>
      <c r="N74" s="212" t="s">
        <v>818</v>
      </c>
      <c r="O74" s="212" t="s">
        <v>818</v>
      </c>
      <c r="P74" s="212" t="s">
        <v>818</v>
      </c>
      <c r="Q74" s="212" t="s">
        <v>818</v>
      </c>
      <c r="R74" s="212" t="s">
        <v>818</v>
      </c>
      <c r="S74" s="212" t="s">
        <v>818</v>
      </c>
      <c r="T74" s="911" t="s">
        <v>1706</v>
      </c>
      <c r="U74" s="911" t="s">
        <v>1706</v>
      </c>
    </row>
    <row r="75" spans="2:21" ht="15.75" customHeight="1" thickBot="1" x14ac:dyDescent="0.3">
      <c r="I75" s="211"/>
      <c r="J75" s="213"/>
      <c r="K75" s="213"/>
      <c r="L75" s="213" t="s">
        <v>819</v>
      </c>
      <c r="M75" s="213" t="s">
        <v>819</v>
      </c>
      <c r="N75" s="213" t="s">
        <v>819</v>
      </c>
      <c r="O75" s="213" t="s">
        <v>819</v>
      </c>
      <c r="P75" s="213" t="s">
        <v>819</v>
      </c>
      <c r="Q75" s="213" t="s">
        <v>819</v>
      </c>
      <c r="R75" s="213" t="s">
        <v>819</v>
      </c>
      <c r="S75" s="213" t="s">
        <v>819</v>
      </c>
      <c r="T75" s="910"/>
      <c r="U75" s="910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3" t="s">
        <v>477</v>
      </c>
      <c r="C77" s="903" t="s">
        <v>1711</v>
      </c>
      <c r="D77">
        <v>10627</v>
      </c>
      <c r="E77" s="903" t="s">
        <v>1688</v>
      </c>
      <c r="I77" s="901" t="str">
        <f>J35</f>
        <v>BUY-BDSL</v>
      </c>
      <c r="K77" s="901" t="str">
        <f>K61</f>
        <v>BDSL</v>
      </c>
    </row>
    <row r="78" spans="2:21" s="901" customFormat="1" ht="15.75" customHeight="1" x14ac:dyDescent="0.25">
      <c r="B78" s="901">
        <f>'Bases de Cálculo'!F16/1000000</f>
        <v>5.274111587340502E-6</v>
      </c>
      <c r="C78" s="903" t="s">
        <v>1712</v>
      </c>
      <c r="D78" s="836">
        <f>D77*42/$D$69</f>
        <v>121.12184531886024</v>
      </c>
      <c r="E78" s="903" t="s">
        <v>1453</v>
      </c>
    </row>
    <row r="79" spans="2:21" s="901" customFormat="1" ht="15.75" customHeight="1" x14ac:dyDescent="0.25">
      <c r="D79" s="809">
        <f>(D78/1000000)/B78</f>
        <v>22.9653550769745</v>
      </c>
      <c r="E79" s="903" t="s">
        <v>773</v>
      </c>
    </row>
    <row r="80" spans="2:21" s="901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826</v>
      </c>
    </row>
    <row r="84" spans="9:13" ht="15.75" customHeight="1" x14ac:dyDescent="0.25">
      <c r="J84" s="12" t="s">
        <v>827</v>
      </c>
      <c r="K84" s="18" t="s">
        <v>828</v>
      </c>
      <c r="L84" s="18" t="s">
        <v>829</v>
      </c>
      <c r="M84" s="12" t="s">
        <v>830</v>
      </c>
    </row>
    <row r="85" spans="9:13" ht="15.75" customHeight="1" x14ac:dyDescent="0.25">
      <c r="I85" s="12" t="s">
        <v>831</v>
      </c>
      <c r="J85" s="12" t="s">
        <v>832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833</v>
      </c>
      <c r="J86" s="12" t="s">
        <v>834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835</v>
      </c>
      <c r="J87" s="12" t="s">
        <v>836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837</v>
      </c>
      <c r="J91" s="12">
        <v>5.6607000000000003</v>
      </c>
      <c r="K91" s="12" t="s">
        <v>829</v>
      </c>
    </row>
    <row r="92" spans="9:13" ht="15.75" customHeight="1" x14ac:dyDescent="0.25">
      <c r="J92" s="12" t="s">
        <v>832</v>
      </c>
      <c r="K92" s="12" t="s">
        <v>832</v>
      </c>
    </row>
    <row r="93" spans="9:13" ht="15.75" customHeight="1" x14ac:dyDescent="0.25">
      <c r="J93" s="12">
        <f>4.5/J91</f>
        <v>0.79495468758280774</v>
      </c>
      <c r="K93" s="12" t="s">
        <v>838</v>
      </c>
    </row>
    <row r="94" spans="9:13" ht="15.75" customHeight="1" x14ac:dyDescent="0.25">
      <c r="J94" s="12">
        <f>9/J91</f>
        <v>1.5899093751656155</v>
      </c>
      <c r="K94" s="12" t="s">
        <v>839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840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841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832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842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843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844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782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784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845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841</v>
      </c>
      <c r="I136" s="12" t="s">
        <v>841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832</v>
      </c>
      <c r="I137" s="12" t="s">
        <v>832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846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847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846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843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784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844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832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782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841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845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848</v>
      </c>
    </row>
    <row r="179" spans="9:17" ht="15.75" customHeight="1" x14ac:dyDescent="0.25">
      <c r="I179" s="12" t="s">
        <v>847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846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843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784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844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832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782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841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845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849</v>
      </c>
    </row>
    <row r="198" spans="9:17" ht="15.75" customHeight="1" x14ac:dyDescent="0.25">
      <c r="I198" s="12" t="s">
        <v>847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846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843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784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844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832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782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841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845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850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846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784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779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832</v>
      </c>
      <c r="I225" s="14" t="s">
        <v>832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782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841</v>
      </c>
      <c r="I228" s="14" t="s">
        <v>841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845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851</v>
      </c>
    </row>
    <row r="233" spans="8:17" ht="15.75" customHeight="1" x14ac:dyDescent="0.25">
      <c r="I233" s="14" t="s">
        <v>847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846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784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779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832</v>
      </c>
      <c r="I242" s="12" t="s">
        <v>832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782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841</v>
      </c>
      <c r="I245" s="12" t="s">
        <v>841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845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6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965" t="s">
        <v>917</v>
      </c>
      <c r="E5" s="938"/>
      <c r="F5" s="938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966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38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3"/>
      <c r="C30" s="814"/>
      <c r="D30" s="227" t="s">
        <v>918</v>
      </c>
      <c r="E30" s="814" t="s">
        <v>919</v>
      </c>
    </row>
    <row r="31" spans="2:8" ht="15.75" customHeight="1" x14ac:dyDescent="0.25">
      <c r="B31" s="813" t="s">
        <v>935</v>
      </c>
      <c r="C31" s="814" t="s">
        <v>936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3"/>
      <c r="C32" s="814" t="s">
        <v>937</v>
      </c>
      <c r="D32" s="814">
        <v>222000</v>
      </c>
      <c r="E32" s="814">
        <v>165000</v>
      </c>
    </row>
    <row r="33" spans="2:9" ht="15.75" customHeight="1" x14ac:dyDescent="0.25">
      <c r="B33" s="813"/>
      <c r="C33" s="814" t="s">
        <v>938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67" t="s">
        <v>929</v>
      </c>
      <c r="C45" s="12" t="s">
        <v>941</v>
      </c>
    </row>
    <row r="46" spans="2:9" ht="15.75" customHeight="1" x14ac:dyDescent="0.25">
      <c r="B46" s="938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38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38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38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38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0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0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18" t="s">
        <v>918</v>
      </c>
      <c r="J81" s="818" t="s">
        <v>919</v>
      </c>
    </row>
    <row r="82" spans="2:10" ht="15.75" customHeight="1" x14ac:dyDescent="0.25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25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25">
      <c r="B84" s="70"/>
      <c r="C84" s="814" t="s">
        <v>943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25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17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69"/>
      <c r="U7" s="968" t="s">
        <v>1574</v>
      </c>
      <c r="V7" s="968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970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20</v>
      </c>
      <c r="F31" s="818" t="s">
        <v>1582</v>
      </c>
    </row>
    <row r="32" spans="1:19" x14ac:dyDescent="0.25">
      <c r="C32" s="853" t="s">
        <v>921</v>
      </c>
      <c r="D32" s="818" t="s">
        <v>1588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25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25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25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25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25">
      <c r="C41" s="853" t="s">
        <v>924</v>
      </c>
      <c r="D41" s="849" t="s">
        <v>1592</v>
      </c>
      <c r="G41" s="838"/>
      <c r="H41" s="838" t="s">
        <v>1581</v>
      </c>
      <c r="I41" s="838" t="s">
        <v>1578</v>
      </c>
      <c r="J41" s="838" t="s">
        <v>577</v>
      </c>
    </row>
    <row r="42" spans="3:10" x14ac:dyDescent="0.25">
      <c r="D42" s="818" t="s">
        <v>831</v>
      </c>
      <c r="E42" s="833">
        <v>0.15</v>
      </c>
      <c r="G42" s="838" t="s">
        <v>1582</v>
      </c>
      <c r="H42" s="838" t="s">
        <v>1589</v>
      </c>
      <c r="I42" s="838" t="s">
        <v>689</v>
      </c>
      <c r="J42" s="838" t="s">
        <v>1590</v>
      </c>
    </row>
    <row r="43" spans="3:10" x14ac:dyDescent="0.25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25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25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25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25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25">
      <c r="D49" s="848" t="s">
        <v>536</v>
      </c>
    </row>
    <row r="50" spans="3:6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6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6" x14ac:dyDescent="0.25">
      <c r="D53" s="837" t="s">
        <v>1593</v>
      </c>
      <c r="E53" s="847">
        <f>+E52</f>
        <v>16.802426854852598</v>
      </c>
      <c r="F53" s="837" t="s">
        <v>1598</v>
      </c>
    </row>
    <row r="56" spans="3:6" ht="18.75" x14ac:dyDescent="0.3">
      <c r="D56" s="832" t="s">
        <v>1600</v>
      </c>
    </row>
    <row r="58" spans="3:6" x14ac:dyDescent="0.25">
      <c r="D58" s="848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0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0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0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5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5">
        <v>0.95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853" t="s">
        <v>1605</v>
      </c>
      <c r="D72" s="854" t="s">
        <v>1616</v>
      </c>
      <c r="E72" s="809">
        <f>0.17+0.015+0.035+0.043</f>
        <v>0.26300000000000001</v>
      </c>
      <c r="F72" s="836">
        <f>+E72*365*C21</f>
        <v>11.528999500000001</v>
      </c>
    </row>
    <row r="73" spans="1:9" x14ac:dyDescent="0.25">
      <c r="C73" s="853" t="s">
        <v>1605</v>
      </c>
      <c r="D73" s="854" t="s">
        <v>1615</v>
      </c>
      <c r="E73">
        <v>33.799999999999997</v>
      </c>
      <c r="F73" s="836">
        <f>+(E73*C17/1000)*365</f>
        <v>12.365388545948255</v>
      </c>
      <c r="I73" s="854"/>
    </row>
    <row r="74" spans="1:9" x14ac:dyDescent="0.25">
      <c r="C74" s="853" t="s">
        <v>1614</v>
      </c>
      <c r="D74" s="854" t="s">
        <v>1617</v>
      </c>
      <c r="E74" s="836">
        <f>+G79-E73</f>
        <v>37.977777777777774</v>
      </c>
      <c r="F74" s="836">
        <f>+(E74*C7/1000)*365</f>
        <v>13.994371732299081</v>
      </c>
    </row>
    <row r="75" spans="1:9" x14ac:dyDescent="0.25">
      <c r="C75" s="853" t="s">
        <v>1607</v>
      </c>
      <c r="D75" s="818" t="s">
        <v>782</v>
      </c>
      <c r="E75" s="855">
        <v>0</v>
      </c>
      <c r="F75" s="855">
        <v>0</v>
      </c>
    </row>
    <row r="76" spans="1:9" x14ac:dyDescent="0.25">
      <c r="C76" s="853" t="s">
        <v>1608</v>
      </c>
      <c r="D76" s="854" t="s">
        <v>1618</v>
      </c>
      <c r="E76">
        <v>347</v>
      </c>
      <c r="F76" s="809">
        <f>+(E76/E14)/1000</f>
        <v>0.51374637610155072</v>
      </c>
    </row>
    <row r="77" spans="1:9" x14ac:dyDescent="0.25">
      <c r="C77" s="853"/>
      <c r="D77" s="818"/>
    </row>
    <row r="79" spans="1:9" x14ac:dyDescent="0.25">
      <c r="C79" s="853" t="s">
        <v>1613</v>
      </c>
      <c r="D79" s="854" t="s">
        <v>1609</v>
      </c>
      <c r="E79" s="836">
        <v>165</v>
      </c>
      <c r="F79" s="854" t="s">
        <v>1610</v>
      </c>
      <c r="G79" s="857">
        <f>+SLOPE(G80:G81,E80:E81)*E79+INTERCEPT(G80:G81,E80:E81)</f>
        <v>71.777777777777771</v>
      </c>
      <c r="H79" s="854" t="s">
        <v>538</v>
      </c>
    </row>
    <row r="80" spans="1:9" x14ac:dyDescent="0.25">
      <c r="A80" s="852"/>
      <c r="C80" s="853" t="s">
        <v>1605</v>
      </c>
      <c r="D80" s="854" t="s">
        <v>1609</v>
      </c>
      <c r="E80">
        <v>200</v>
      </c>
      <c r="F80" s="854" t="s">
        <v>1610</v>
      </c>
      <c r="G80">
        <v>78</v>
      </c>
      <c r="H80" s="858" t="s">
        <v>538</v>
      </c>
      <c r="I80" s="818"/>
    </row>
    <row r="81" spans="1:9" x14ac:dyDescent="0.25">
      <c r="A81" s="809"/>
      <c r="B81" s="819"/>
      <c r="C81" s="853" t="s">
        <v>1605</v>
      </c>
      <c r="D81" s="854" t="s">
        <v>1609</v>
      </c>
      <c r="E81">
        <v>245</v>
      </c>
      <c r="F81" s="854" t="s">
        <v>1610</v>
      </c>
      <c r="G81" s="856">
        <v>86</v>
      </c>
      <c r="H81" s="854" t="s">
        <v>538</v>
      </c>
    </row>
    <row r="82" spans="1:9" x14ac:dyDescent="0.25">
      <c r="A82" s="809"/>
      <c r="B82" s="819"/>
      <c r="C82" s="818"/>
      <c r="D82" s="818"/>
      <c r="E82" s="809"/>
      <c r="F82" s="818"/>
    </row>
    <row r="83" spans="1:9" x14ac:dyDescent="0.25">
      <c r="A83" s="809"/>
      <c r="B83" s="836"/>
      <c r="C83" s="818"/>
      <c r="D83" s="848" t="s">
        <v>1619</v>
      </c>
      <c r="E83" s="809"/>
      <c r="F83" s="818"/>
    </row>
    <row r="85" spans="1:9" x14ac:dyDescent="0.25">
      <c r="D85" s="854" t="s">
        <v>1620</v>
      </c>
      <c r="E85" s="804">
        <f>+F72/E61</f>
        <v>3.144843829682923E-2</v>
      </c>
      <c r="F85" s="854" t="s">
        <v>533</v>
      </c>
      <c r="I85" s="809"/>
    </row>
    <row r="86" spans="1:9" x14ac:dyDescent="0.25">
      <c r="D86" s="854" t="s">
        <v>1621</v>
      </c>
      <c r="E86">
        <f>+F73/E61</f>
        <v>3.372991374521029E-2</v>
      </c>
      <c r="F86" s="854" t="s">
        <v>533</v>
      </c>
      <c r="I86" s="809"/>
    </row>
    <row r="87" spans="1:9" x14ac:dyDescent="0.25">
      <c r="D87" s="854" t="s">
        <v>1622</v>
      </c>
      <c r="E87">
        <f>+F74/E61</f>
        <v>3.8173402290987937E-2</v>
      </c>
      <c r="F87" s="854" t="s">
        <v>533</v>
      </c>
      <c r="I87" s="809"/>
    </row>
    <row r="88" spans="1:9" x14ac:dyDescent="0.25">
      <c r="D88" s="854" t="s">
        <v>1623</v>
      </c>
      <c r="E88" s="855">
        <v>0</v>
      </c>
      <c r="I88" s="809"/>
    </row>
    <row r="89" spans="1:9" x14ac:dyDescent="0.25">
      <c r="D89" s="854" t="s">
        <v>1624</v>
      </c>
      <c r="E89">
        <f>+F76/E62</f>
        <v>1.4917927107278191E-3</v>
      </c>
      <c r="F89" s="854" t="s">
        <v>533</v>
      </c>
      <c r="I89" s="809"/>
    </row>
    <row r="90" spans="1:9" x14ac:dyDescent="0.25">
      <c r="E90" s="861">
        <f>+SUM(E85:E89)</f>
        <v>0.10484354704375527</v>
      </c>
      <c r="F90" s="854" t="s">
        <v>533</v>
      </c>
      <c r="H90" s="809">
        <f>+E90*$E$62</f>
        <v>36.106217682939963</v>
      </c>
      <c r="I90" s="879" t="s">
        <v>59</v>
      </c>
    </row>
    <row r="93" spans="1:9" ht="18.75" x14ac:dyDescent="0.3">
      <c r="D93" s="832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3" t="s">
        <v>1629</v>
      </c>
      <c r="C96" s="853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3"/>
      <c r="C97" s="853"/>
      <c r="E97" s="393"/>
      <c r="F97" s="394"/>
      <c r="G97" s="395"/>
      <c r="H97" s="12"/>
    </row>
    <row r="99" spans="2:8" ht="18.75" x14ac:dyDescent="0.3">
      <c r="D99" s="832" t="s">
        <v>1627</v>
      </c>
    </row>
    <row r="101" spans="2:8" x14ac:dyDescent="0.25">
      <c r="E101" s="862" t="s">
        <v>586</v>
      </c>
      <c r="F101" s="862" t="s">
        <v>993</v>
      </c>
      <c r="H101" s="854" t="s">
        <v>1655</v>
      </c>
    </row>
    <row r="102" spans="2:8" x14ac:dyDescent="0.25">
      <c r="C102" s="853" t="s">
        <v>1605</v>
      </c>
      <c r="D102" s="854" t="s">
        <v>1631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25">
      <c r="C103" s="853" t="s">
        <v>1605</v>
      </c>
      <c r="D103" s="854" t="s">
        <v>959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25">
      <c r="C104" s="853" t="s">
        <v>1605</v>
      </c>
      <c r="D104" s="854" t="s">
        <v>1020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25">
      <c r="C105" s="853" t="s">
        <v>1605</v>
      </c>
      <c r="D105" s="854" t="s">
        <v>1630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25">
      <c r="C106" s="853" t="s">
        <v>1605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25">
      <c r="C107" s="853" t="s">
        <v>1605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25">
      <c r="C108" s="853" t="s">
        <v>1634</v>
      </c>
      <c r="D108" s="854" t="s">
        <v>1633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25">
      <c r="H109" s="833">
        <f>+SUM(H103:H108)</f>
        <v>1</v>
      </c>
    </row>
    <row r="111" spans="2:8" x14ac:dyDescent="0.25">
      <c r="D111" s="848" t="s">
        <v>1632</v>
      </c>
    </row>
    <row r="112" spans="2:8" x14ac:dyDescent="0.25">
      <c r="D112" s="854" t="s">
        <v>959</v>
      </c>
      <c r="E112" s="808">
        <f>+F103/$E$61</f>
        <v>0.26219699464421958</v>
      </c>
      <c r="F112" s="854" t="s">
        <v>533</v>
      </c>
    </row>
    <row r="113" spans="1:6" x14ac:dyDescent="0.25">
      <c r="D113" s="854" t="s">
        <v>1020</v>
      </c>
      <c r="E113" s="808">
        <f t="shared" ref="E113:E117" si="9">+F104/$E$61</f>
        <v>0.53073328945968989</v>
      </c>
      <c r="F113" s="854" t="s">
        <v>533</v>
      </c>
    </row>
    <row r="114" spans="1:6" x14ac:dyDescent="0.25">
      <c r="D114" s="854" t="s">
        <v>1630</v>
      </c>
      <c r="E114" s="808">
        <f t="shared" si="9"/>
        <v>4.7850542700988603E-2</v>
      </c>
      <c r="F114" s="854" t="s">
        <v>533</v>
      </c>
    </row>
    <row r="115" spans="1:6" x14ac:dyDescent="0.25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25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25">
      <c r="D117" s="854" t="s">
        <v>1633</v>
      </c>
      <c r="E117" s="808">
        <f t="shared" si="9"/>
        <v>3.372991374521029E-2</v>
      </c>
      <c r="F117" s="854" t="s">
        <v>533</v>
      </c>
    </row>
    <row r="119" spans="1:6" x14ac:dyDescent="0.25">
      <c r="C119" s="853" t="s">
        <v>1646</v>
      </c>
      <c r="D119" s="854" t="s">
        <v>1635</v>
      </c>
      <c r="E119" s="864">
        <f>+F102/E61</f>
        <v>0.90433461263768067</v>
      </c>
      <c r="F119" s="854"/>
    </row>
    <row r="120" spans="1:6" x14ac:dyDescent="0.25">
      <c r="C120" s="853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4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4"/>
      <c r="B148" s="874"/>
      <c r="C148" s="874"/>
      <c r="D148" s="874"/>
      <c r="E148" s="874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2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2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6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25">
      <c r="C177" s="16"/>
      <c r="D177" s="870" t="str">
        <f>+C142</f>
        <v>H2-REF1</v>
      </c>
      <c r="E177" s="876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25">
      <c r="C178" s="1"/>
      <c r="D178" s="872" t="str">
        <f>+C151</f>
        <v>GAS-REF1</v>
      </c>
      <c r="E178" s="876">
        <f>E87/(1+SUM($E$85:$E$89))</f>
        <v>3.4550957366886043E-2</v>
      </c>
    </row>
    <row r="179" spans="3:11" s="871" customFormat="1" x14ac:dyDescent="0.25">
      <c r="C179" s="1"/>
      <c r="D179" s="873" t="str">
        <f>+C154</f>
        <v>RFG1-REF1</v>
      </c>
      <c r="E179" s="876">
        <f>E86/(1+SUM($E$85:$E$89))</f>
        <v>3.0529131328559483E-2</v>
      </c>
      <c r="G179" s="875"/>
    </row>
    <row r="180" spans="3:11" s="871" customFormat="1" x14ac:dyDescent="0.25">
      <c r="D180" s="871" t="str">
        <f>+C153</f>
        <v>LPG-REF1</v>
      </c>
      <c r="E180" s="876">
        <f>E89/(1+SUM($E$85:$E$89))</f>
        <v>1.3502298264034115E-3</v>
      </c>
    </row>
    <row r="183" spans="3:11" ht="18.75" x14ac:dyDescent="0.3">
      <c r="C183" s="832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2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77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2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78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1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69"/>
      <c r="U7" s="968" t="s">
        <v>1574</v>
      </c>
      <c r="V7" s="968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970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24</v>
      </c>
      <c r="F31" s="818" t="s">
        <v>1582</v>
      </c>
    </row>
    <row r="32" spans="1:19" x14ac:dyDescent="0.25">
      <c r="C32" s="853" t="s">
        <v>921</v>
      </c>
      <c r="D32" s="880" t="s">
        <v>1656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25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25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25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25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25">
      <c r="C41" s="893" t="s">
        <v>924</v>
      </c>
      <c r="D41" s="881" t="s">
        <v>1657</v>
      </c>
      <c r="E41" s="882"/>
      <c r="F41" s="882"/>
      <c r="G41" s="883"/>
      <c r="H41" s="883" t="s">
        <v>1581</v>
      </c>
      <c r="I41" s="883" t="s">
        <v>1578</v>
      </c>
      <c r="J41" s="883" t="s">
        <v>577</v>
      </c>
    </row>
    <row r="42" spans="3:10" hidden="1" x14ac:dyDescent="0.25">
      <c r="D42" s="882" t="s">
        <v>831</v>
      </c>
      <c r="E42" s="884">
        <v>0.15</v>
      </c>
      <c r="F42" s="882"/>
      <c r="G42" s="883" t="s">
        <v>1582</v>
      </c>
      <c r="H42" s="883" t="s">
        <v>1589</v>
      </c>
      <c r="I42" s="883" t="s">
        <v>689</v>
      </c>
      <c r="J42" s="883" t="s">
        <v>1590</v>
      </c>
    </row>
    <row r="43" spans="3:10" hidden="1" x14ac:dyDescent="0.25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25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25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25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25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25"/>
    <row r="49" spans="3:11" hidden="1" x14ac:dyDescent="0.25">
      <c r="D49" s="848" t="s">
        <v>536</v>
      </c>
    </row>
    <row r="50" spans="3:11" hidden="1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11" hidden="1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11" hidden="1" x14ac:dyDescent="0.25">
      <c r="D53" s="837" t="s">
        <v>1593</v>
      </c>
      <c r="E53" s="847">
        <f>+E52</f>
        <v>16.802426854852598</v>
      </c>
      <c r="F53" s="837" t="s">
        <v>1598</v>
      </c>
    </row>
    <row r="54" spans="3:11" hidden="1" x14ac:dyDescent="0.25"/>
    <row r="56" spans="3:11" ht="18.75" x14ac:dyDescent="0.3">
      <c r="D56" s="832" t="s">
        <v>1600</v>
      </c>
    </row>
    <row r="58" spans="3:11" x14ac:dyDescent="0.25">
      <c r="D58" s="848" t="s">
        <v>1639</v>
      </c>
      <c r="H58" s="880" t="s">
        <v>1670</v>
      </c>
      <c r="J58" s="836">
        <f>+J61/J59</f>
        <v>22.376810491959233</v>
      </c>
      <c r="K58" s="880" t="s">
        <v>480</v>
      </c>
    </row>
    <row r="59" spans="3:11" x14ac:dyDescent="0.25">
      <c r="C59" s="853" t="s">
        <v>935</v>
      </c>
      <c r="D59" s="18" t="s">
        <v>1030</v>
      </c>
      <c r="E59" s="12">
        <v>250</v>
      </c>
      <c r="F59" s="365" t="s">
        <v>513</v>
      </c>
      <c r="H59" s="880" t="s">
        <v>1660</v>
      </c>
      <c r="J59" s="836">
        <f>+J60*365*C8/1000</f>
        <v>542.12373136730503</v>
      </c>
      <c r="K59" s="880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0" t="s">
        <v>1660</v>
      </c>
      <c r="J60">
        <v>244</v>
      </c>
      <c r="K60" s="867" t="s">
        <v>513</v>
      </c>
    </row>
    <row r="61" spans="3:11" x14ac:dyDescent="0.25">
      <c r="C61" s="850"/>
      <c r="D61" s="18" t="s">
        <v>1602</v>
      </c>
      <c r="E61" s="275">
        <f>+E59*365*C8/1000</f>
        <v>555.45464279436999</v>
      </c>
      <c r="F61" s="365" t="s">
        <v>59</v>
      </c>
      <c r="H61" s="880" t="s">
        <v>1660</v>
      </c>
      <c r="J61">
        <v>12131</v>
      </c>
      <c r="K61" s="880" t="s">
        <v>1658</v>
      </c>
    </row>
    <row r="62" spans="3:11" x14ac:dyDescent="0.25">
      <c r="C62" s="850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0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5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5">
        <v>0.9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70" t="s">
        <v>1665</v>
      </c>
      <c r="D72" s="880" t="s">
        <v>1659</v>
      </c>
      <c r="E72" s="809">
        <f>+(F72/C21)/365</f>
        <v>0.15388448185699619</v>
      </c>
      <c r="F72" s="836">
        <f>+E82*J59</f>
        <v>6.745757088924214</v>
      </c>
    </row>
    <row r="73" spans="1:9" x14ac:dyDescent="0.25">
      <c r="C73" s="70" t="s">
        <v>1642</v>
      </c>
      <c r="D73" s="880" t="s">
        <v>1662</v>
      </c>
      <c r="E73" s="836">
        <f>+F73*E17</f>
        <v>35.54706415898611</v>
      </c>
      <c r="F73" s="836">
        <f>+E83*J59</f>
        <v>13.004534319337711</v>
      </c>
      <c r="I73" s="896"/>
    </row>
    <row r="74" spans="1:9" x14ac:dyDescent="0.25">
      <c r="C74" s="70" t="s">
        <v>1642</v>
      </c>
      <c r="D74" s="880" t="s">
        <v>1663</v>
      </c>
      <c r="E74" s="836">
        <f>+F74*E7</f>
        <v>58.960930528934362</v>
      </c>
      <c r="F74" s="836">
        <f>+E84*J59</f>
        <v>21.726420759325691</v>
      </c>
    </row>
    <row r="75" spans="1:9" x14ac:dyDescent="0.25">
      <c r="C75" s="70" t="s">
        <v>1642</v>
      </c>
      <c r="D75" s="880" t="s">
        <v>1664</v>
      </c>
      <c r="E75" s="855">
        <f>+F75*E15</f>
        <v>3.4528026945575578</v>
      </c>
      <c r="F75" s="836">
        <f>+E85*J59</f>
        <v>6.8821246913333587</v>
      </c>
    </row>
    <row r="76" spans="1:9" x14ac:dyDescent="0.25">
      <c r="C76" s="853" t="s">
        <v>1608</v>
      </c>
      <c r="D76" s="854" t="s">
        <v>1618</v>
      </c>
      <c r="E76">
        <v>651</v>
      </c>
      <c r="F76" s="809">
        <f>+(E76/E14)/1000</f>
        <v>0.9638296566055029</v>
      </c>
      <c r="H76" s="895"/>
    </row>
    <row r="77" spans="1:9" x14ac:dyDescent="0.25">
      <c r="C77" s="853"/>
      <c r="D77" s="818"/>
    </row>
    <row r="79" spans="1:9" x14ac:dyDescent="0.25">
      <c r="A79" s="809"/>
      <c r="B79" s="819"/>
      <c r="C79" s="818"/>
      <c r="D79" s="818"/>
      <c r="E79" s="809"/>
      <c r="F79" s="818"/>
    </row>
    <row r="80" spans="1:9" x14ac:dyDescent="0.25">
      <c r="A80" s="809"/>
      <c r="B80" s="836"/>
      <c r="C80" s="818"/>
      <c r="D80" s="848" t="s">
        <v>1619</v>
      </c>
      <c r="E80" s="809"/>
      <c r="F80" s="818"/>
    </row>
    <row r="82" spans="3:11" x14ac:dyDescent="0.25">
      <c r="C82" s="853" t="s">
        <v>1665</v>
      </c>
      <c r="D82" s="854" t="s">
        <v>1620</v>
      </c>
      <c r="E82" s="804">
        <f>+J93/J59</f>
        <v>1.2443205671721023E-2</v>
      </c>
      <c r="F82" s="854" t="s">
        <v>533</v>
      </c>
      <c r="I82" s="809"/>
    </row>
    <row r="83" spans="3:11" x14ac:dyDescent="0.25">
      <c r="C83" s="853" t="s">
        <v>1661</v>
      </c>
      <c r="D83" s="854" t="s">
        <v>1621</v>
      </c>
      <c r="E83">
        <f>291/J61</f>
        <v>2.3988129585359824E-2</v>
      </c>
      <c r="F83" s="854" t="s">
        <v>533</v>
      </c>
      <c r="I83" s="809"/>
    </row>
    <row r="84" spans="3:11" x14ac:dyDescent="0.25">
      <c r="C84" s="853" t="s">
        <v>1661</v>
      </c>
      <c r="D84" s="854" t="s">
        <v>1622</v>
      </c>
      <c r="E84">
        <f>+((642-(289*68.8%))+43)/J61</f>
        <v>4.0076498227681147E-2</v>
      </c>
      <c r="F84" s="854" t="s">
        <v>533</v>
      </c>
      <c r="I84" s="809"/>
    </row>
    <row r="85" spans="3:11" x14ac:dyDescent="0.25">
      <c r="C85" s="853" t="s">
        <v>1661</v>
      </c>
      <c r="D85" s="854" t="s">
        <v>1623</v>
      </c>
      <c r="E85">
        <f>154/J61</f>
        <v>1.2694748990190421E-2</v>
      </c>
      <c r="F85" s="854" t="s">
        <v>533</v>
      </c>
      <c r="I85" s="894"/>
    </row>
    <row r="86" spans="3:11" x14ac:dyDescent="0.25">
      <c r="C86" s="853" t="s">
        <v>1608</v>
      </c>
      <c r="D86" s="854" t="s">
        <v>1624</v>
      </c>
      <c r="E86">
        <f>+F76/E62</f>
        <v>1.9899180852390157E-3</v>
      </c>
      <c r="F86" s="854" t="s">
        <v>533</v>
      </c>
      <c r="I86" s="809"/>
    </row>
    <row r="87" spans="3:11" x14ac:dyDescent="0.25">
      <c r="E87" s="861">
        <f>+SUM(E82:E86)</f>
        <v>9.1192500560191431E-2</v>
      </c>
      <c r="F87" s="854" t="s">
        <v>533</v>
      </c>
      <c r="H87" s="809"/>
      <c r="I87" s="879"/>
    </row>
    <row r="90" spans="3:11" ht="18.75" x14ac:dyDescent="0.3">
      <c r="D90" s="832" t="s">
        <v>1626</v>
      </c>
    </row>
    <row r="91" spans="3:11" ht="18.75" x14ac:dyDescent="0.3">
      <c r="D91" s="832"/>
    </row>
    <row r="92" spans="3:11" x14ac:dyDescent="0.25">
      <c r="D92" s="880" t="s">
        <v>1666</v>
      </c>
      <c r="E92" s="809">
        <f>289*68.8%</f>
        <v>198.83199999999999</v>
      </c>
      <c r="F92" s="880" t="s">
        <v>1667</v>
      </c>
    </row>
    <row r="93" spans="3:11" x14ac:dyDescent="0.25">
      <c r="D93" s="880" t="s">
        <v>1668</v>
      </c>
      <c r="E93" s="809">
        <f>+E92/J58</f>
        <v>8.8856273806960679</v>
      </c>
      <c r="F93" s="880" t="s">
        <v>59</v>
      </c>
      <c r="H93" s="882" t="s">
        <v>1669</v>
      </c>
      <c r="I93" s="882"/>
      <c r="J93" s="882">
        <f>+E93*(1/G97)</f>
        <v>6.745757088924214</v>
      </c>
      <c r="K93" s="882" t="s">
        <v>59</v>
      </c>
    </row>
    <row r="94" spans="3:11" x14ac:dyDescent="0.25">
      <c r="D94" s="880"/>
      <c r="E94" s="809"/>
      <c r="F94" s="880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3" t="s">
        <v>1629</v>
      </c>
      <c r="C97" s="853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0"/>
    </row>
    <row r="98" spans="2:13" x14ac:dyDescent="0.25">
      <c r="B98" s="853"/>
      <c r="C98" s="853"/>
      <c r="E98" s="393"/>
      <c r="F98" s="394"/>
      <c r="G98" s="395"/>
      <c r="H98" s="12"/>
    </row>
    <row r="100" spans="2:13" ht="18.75" x14ac:dyDescent="0.3">
      <c r="D100" s="832" t="s">
        <v>1627</v>
      </c>
    </row>
    <row r="101" spans="2:13" ht="18.75" x14ac:dyDescent="0.3">
      <c r="D101" s="832"/>
    </row>
    <row r="102" spans="2:13" x14ac:dyDescent="0.25">
      <c r="C102" s="853" t="s">
        <v>935</v>
      </c>
      <c r="D102" s="880" t="s">
        <v>1672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25">
      <c r="C103" s="853" t="s">
        <v>935</v>
      </c>
      <c r="D103" s="880" t="s">
        <v>1674</v>
      </c>
      <c r="E103">
        <v>180</v>
      </c>
      <c r="F103" s="880" t="s">
        <v>513</v>
      </c>
      <c r="G103" s="836"/>
      <c r="H103" s="880"/>
    </row>
    <row r="104" spans="2:13" x14ac:dyDescent="0.25">
      <c r="D104" s="880"/>
      <c r="F104" s="880"/>
    </row>
    <row r="105" spans="2:13" x14ac:dyDescent="0.25">
      <c r="E105" s="862" t="s">
        <v>586</v>
      </c>
      <c r="F105" s="862" t="s">
        <v>993</v>
      </c>
      <c r="H105" s="854" t="s">
        <v>1655</v>
      </c>
      <c r="I105" s="880" t="s">
        <v>1673</v>
      </c>
    </row>
    <row r="106" spans="2:13" x14ac:dyDescent="0.25">
      <c r="C106" s="853" t="s">
        <v>935</v>
      </c>
      <c r="D106" s="880" t="s">
        <v>1671</v>
      </c>
      <c r="E106" s="897">
        <f>+SUM(E107:E111)</f>
        <v>180</v>
      </c>
      <c r="F106" s="898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25">
      <c r="C107" s="853" t="s">
        <v>935</v>
      </c>
      <c r="D107" s="854" t="s">
        <v>959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25">
      <c r="C108" s="853" t="s">
        <v>935</v>
      </c>
      <c r="D108" s="854" t="s">
        <v>1020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25">
      <c r="C109" s="853" t="s">
        <v>935</v>
      </c>
      <c r="D109" s="854" t="s">
        <v>1630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25">
      <c r="C110" s="853" t="s">
        <v>935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1676</v>
      </c>
    </row>
    <row r="111" spans="2:13" x14ac:dyDescent="0.25">
      <c r="C111" s="853" t="s">
        <v>1608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9">
        <f>+E111/E103</f>
        <v>2.2388888888888889E-2</v>
      </c>
      <c r="J111" s="841"/>
      <c r="K111" s="880" t="s">
        <v>1675</v>
      </c>
      <c r="L111" s="880" t="s">
        <v>22</v>
      </c>
      <c r="M111">
        <v>4.4279999999999999</v>
      </c>
    </row>
    <row r="112" spans="2:13" x14ac:dyDescent="0.25">
      <c r="C112" s="853" t="s">
        <v>1642</v>
      </c>
      <c r="D112" s="854" t="s">
        <v>1633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25">
      <c r="C113" s="853" t="s">
        <v>1026</v>
      </c>
      <c r="D113" s="880" t="s">
        <v>102</v>
      </c>
      <c r="H113" s="833"/>
      <c r="J113" s="841"/>
    </row>
    <row r="114" spans="3:10" x14ac:dyDescent="0.25">
      <c r="J114" s="841"/>
    </row>
    <row r="115" spans="3:10" x14ac:dyDescent="0.25">
      <c r="D115" s="848" t="s">
        <v>1632</v>
      </c>
      <c r="J115" s="841"/>
    </row>
    <row r="116" spans="3:10" x14ac:dyDescent="0.25">
      <c r="D116" s="854" t="s">
        <v>959</v>
      </c>
      <c r="E116" s="808">
        <f>+F107/$E$61</f>
        <v>0.20429710445849361</v>
      </c>
      <c r="F116" s="854" t="s">
        <v>533</v>
      </c>
    </row>
    <row r="117" spans="3:10" x14ac:dyDescent="0.25">
      <c r="D117" s="854" t="s">
        <v>1020</v>
      </c>
      <c r="E117" s="808">
        <f t="shared" ref="E117:E120" si="8">+F108/$E$61</f>
        <v>0.22067890175733909</v>
      </c>
      <c r="F117" s="854" t="s">
        <v>533</v>
      </c>
    </row>
    <row r="118" spans="3:10" x14ac:dyDescent="0.25">
      <c r="D118" s="854" t="s">
        <v>1630</v>
      </c>
      <c r="E118" s="808">
        <f t="shared" si="8"/>
        <v>5.5174490472045805E-2</v>
      </c>
      <c r="F118" s="854" t="s">
        <v>533</v>
      </c>
    </row>
    <row r="119" spans="3:10" x14ac:dyDescent="0.25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25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25">
      <c r="D121" s="854" t="s">
        <v>1633</v>
      </c>
      <c r="E121" s="808">
        <f>+F112/$E$61</f>
        <v>2.1301459071799516E-2</v>
      </c>
      <c r="F121" s="854" t="s">
        <v>533</v>
      </c>
    </row>
    <row r="122" spans="3:10" x14ac:dyDescent="0.25">
      <c r="D122" s="854"/>
      <c r="E122" s="808"/>
      <c r="F122" s="854"/>
    </row>
    <row r="124" spans="3:10" x14ac:dyDescent="0.25">
      <c r="C124" s="853" t="s">
        <v>1646</v>
      </c>
      <c r="D124" s="854" t="s">
        <v>1635</v>
      </c>
      <c r="E124" s="864">
        <f>+F106/G102</f>
        <v>0.74089987835615179</v>
      </c>
      <c r="F124" s="854"/>
    </row>
    <row r="125" spans="3:10" x14ac:dyDescent="0.25">
      <c r="C125" s="853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0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0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0" t="s">
        <v>1097</v>
      </c>
      <c r="D146" s="880" t="s">
        <v>1100</v>
      </c>
      <c r="E146" s="12" t="s">
        <v>59</v>
      </c>
      <c r="F146" s="328"/>
    </row>
    <row r="147" spans="1:6" x14ac:dyDescent="0.25">
      <c r="A147" s="1"/>
      <c r="B147" s="328"/>
      <c r="C147" s="880" t="s">
        <v>1099</v>
      </c>
      <c r="D147" s="880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0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0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4"/>
      <c r="B153" s="874"/>
      <c r="C153" s="874"/>
      <c r="D153" s="874"/>
      <c r="E153" s="874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2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2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6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25">
      <c r="C182" s="16"/>
      <c r="D182" s="870" t="str">
        <f>+C147</f>
        <v>H2-REF2</v>
      </c>
      <c r="E182" s="876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25">
      <c r="C183" s="1"/>
      <c r="D183" s="872" t="str">
        <f>+E156</f>
        <v>GAS-REF2</v>
      </c>
      <c r="E183" s="876">
        <f>E84/(1+SUM($E$82:$E$86))</f>
        <v>3.6727248590057993E-2</v>
      </c>
    </row>
    <row r="184" spans="3:11" s="871" customFormat="1" x14ac:dyDescent="0.25">
      <c r="C184" s="1"/>
      <c r="D184" s="873" t="str">
        <f>+E159</f>
        <v>RFG2-REF2</v>
      </c>
      <c r="E184" s="876">
        <f>E83/(1+SUM($E$82:$E$86))</f>
        <v>2.1983407669173775E-2</v>
      </c>
      <c r="G184" s="875"/>
    </row>
    <row r="185" spans="3:11" s="871" customFormat="1" x14ac:dyDescent="0.25">
      <c r="D185" s="871" t="str">
        <f>+E158</f>
        <v>LPG-REF2</v>
      </c>
      <c r="E185" s="876">
        <f>E86/(1+SUM($E$82:$E$86))</f>
        <v>1.8236178164874122E-3</v>
      </c>
    </row>
    <row r="186" spans="3:11" x14ac:dyDescent="0.25">
      <c r="D186" t="str">
        <f>+E157</f>
        <v>HFO-REF2</v>
      </c>
      <c r="E186" s="841">
        <f>E85/(1+SUM($E$82:$E$86))</f>
        <v>1.1633830862724267E-2</v>
      </c>
    </row>
    <row r="187" spans="3:11" x14ac:dyDescent="0.25">
      <c r="G187" s="900"/>
    </row>
    <row r="188" spans="3:11" ht="18.75" x14ac:dyDescent="0.3">
      <c r="C188" s="832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2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77">
        <f>+H112</f>
        <v>3.2377019198036219E-2</v>
      </c>
    </row>
    <row r="211" spans="3:7" x14ac:dyDescent="0.25">
      <c r="D211" s="1"/>
      <c r="E211" s="266"/>
      <c r="G211" s="817">
        <f>+SUM(E205:E210)</f>
        <v>1</v>
      </c>
    </row>
    <row r="212" spans="3:7" x14ac:dyDescent="0.25">
      <c r="E212" s="374"/>
    </row>
    <row r="216" spans="3:7" ht="18.75" x14ac:dyDescent="0.3">
      <c r="C216" s="832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78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60" t="s">
        <v>967</v>
      </c>
      <c r="M7" s="971"/>
      <c r="N7" s="971"/>
      <c r="O7" s="971"/>
      <c r="P7" s="971"/>
      <c r="Q7" s="971"/>
      <c r="R7" s="971"/>
      <c r="S7" s="971"/>
      <c r="T7" s="971"/>
      <c r="U7" s="961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72" t="s">
        <v>1077</v>
      </c>
      <c r="O9" s="971"/>
      <c r="P9" s="961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973"/>
      <c r="S10" s="93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74"/>
      <c r="P12" s="323"/>
      <c r="R12" s="14"/>
      <c r="S12" s="976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75"/>
      <c r="P13" s="325"/>
      <c r="R13" s="14"/>
      <c r="S13" s="93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60" t="s">
        <v>991</v>
      </c>
      <c r="M28" s="971"/>
      <c r="N28" s="971"/>
      <c r="O28" s="971"/>
      <c r="P28" s="971"/>
      <c r="Q28" s="971"/>
      <c r="R28" s="971"/>
      <c r="S28" s="971"/>
      <c r="T28" s="971"/>
      <c r="U28" s="961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60" t="s">
        <v>1013</v>
      </c>
      <c r="M48" s="971"/>
      <c r="N48" s="971"/>
      <c r="O48" s="971"/>
      <c r="P48" s="971"/>
      <c r="Q48" s="971"/>
      <c r="R48" s="971"/>
      <c r="S48" s="971"/>
      <c r="T48" s="971"/>
      <c r="U48" s="961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60" t="s">
        <v>1027</v>
      </c>
      <c r="M81" s="971"/>
      <c r="N81" s="971"/>
      <c r="O81" s="971"/>
      <c r="P81" s="971"/>
      <c r="Q81" s="971"/>
      <c r="R81" s="971"/>
      <c r="S81" s="971"/>
      <c r="T81" s="971"/>
      <c r="U81" s="961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60" t="s">
        <v>1041</v>
      </c>
      <c r="M104" s="971"/>
      <c r="N104" s="971"/>
      <c r="O104" s="971"/>
      <c r="P104" s="971"/>
      <c r="Q104" s="971"/>
      <c r="R104" s="971"/>
      <c r="S104" s="971"/>
      <c r="T104" s="971"/>
      <c r="U104" s="961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60" t="s">
        <v>1051</v>
      </c>
      <c r="M128" s="971"/>
      <c r="N128" s="971"/>
      <c r="O128" s="971"/>
      <c r="P128" s="971"/>
      <c r="Q128" s="971"/>
      <c r="R128" s="971"/>
      <c r="S128" s="971"/>
      <c r="T128" s="971"/>
      <c r="U128" s="961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60" t="s">
        <v>1073</v>
      </c>
      <c r="M162" s="971"/>
      <c r="N162" s="971"/>
      <c r="O162" s="971"/>
      <c r="P162" s="971"/>
      <c r="Q162" s="971"/>
      <c r="R162" s="971"/>
      <c r="S162" s="971"/>
      <c r="T162" s="971"/>
      <c r="U162" s="961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60" t="s">
        <v>967</v>
      </c>
      <c r="M7" s="971"/>
      <c r="N7" s="971"/>
      <c r="O7" s="971"/>
      <c r="P7" s="971"/>
      <c r="Q7" s="971"/>
      <c r="R7" s="971"/>
      <c r="S7" s="971"/>
      <c r="T7" s="971"/>
      <c r="U7" s="961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72" t="s">
        <v>968</v>
      </c>
      <c r="O9" s="971"/>
      <c r="P9" s="961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973"/>
      <c r="S10" s="93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74"/>
      <c r="P12" s="323"/>
      <c r="R12" s="14"/>
      <c r="S12" s="976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75"/>
      <c r="P13" s="325"/>
      <c r="R13" s="14"/>
      <c r="S13" s="93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60" t="s">
        <v>991</v>
      </c>
      <c r="M28" s="971"/>
      <c r="N28" s="971"/>
      <c r="O28" s="971"/>
      <c r="P28" s="971"/>
      <c r="Q28" s="971"/>
      <c r="R28" s="971"/>
      <c r="S28" s="971"/>
      <c r="T28" s="971"/>
      <c r="U28" s="961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60" t="s">
        <v>1013</v>
      </c>
      <c r="M48" s="971"/>
      <c r="N48" s="971"/>
      <c r="O48" s="971"/>
      <c r="P48" s="971"/>
      <c r="Q48" s="971"/>
      <c r="R48" s="971"/>
      <c r="S48" s="971"/>
      <c r="T48" s="971"/>
      <c r="U48" s="961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60" t="s">
        <v>1027</v>
      </c>
      <c r="M81" s="971"/>
      <c r="N81" s="971"/>
      <c r="O81" s="971"/>
      <c r="P81" s="971"/>
      <c r="Q81" s="971"/>
      <c r="R81" s="971"/>
      <c r="S81" s="971"/>
      <c r="T81" s="971"/>
      <c r="U81" s="961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60" t="s">
        <v>1041</v>
      </c>
      <c r="M104" s="971"/>
      <c r="N104" s="971"/>
      <c r="O104" s="971"/>
      <c r="P104" s="971"/>
      <c r="Q104" s="971"/>
      <c r="R104" s="971"/>
      <c r="S104" s="971"/>
      <c r="T104" s="971"/>
      <c r="U104" s="961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60" t="s">
        <v>1051</v>
      </c>
      <c r="M128" s="971"/>
      <c r="N128" s="971"/>
      <c r="O128" s="971"/>
      <c r="P128" s="971"/>
      <c r="Q128" s="971"/>
      <c r="R128" s="971"/>
      <c r="S128" s="971"/>
      <c r="T128" s="971"/>
      <c r="U128" s="961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60" t="s">
        <v>1073</v>
      </c>
      <c r="M162" s="971"/>
      <c r="N162" s="971"/>
      <c r="O162" s="971"/>
      <c r="P162" s="971"/>
      <c r="Q162" s="971"/>
      <c r="R162" s="971"/>
      <c r="S162" s="971"/>
      <c r="T162" s="971"/>
      <c r="U162" s="961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D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77" t="s">
        <v>1111</v>
      </c>
      <c r="E2" s="978"/>
      <c r="F2" s="978"/>
      <c r="G2" s="978"/>
      <c r="H2" s="979"/>
    </row>
    <row r="3" spans="1:23" x14ac:dyDescent="0.25">
      <c r="D3" s="426"/>
      <c r="E3" s="980" t="s">
        <v>1112</v>
      </c>
      <c r="F3" s="981"/>
      <c r="G3" s="980" t="s">
        <v>1113</v>
      </c>
      <c r="H3" s="981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82" t="s">
        <v>1121</v>
      </c>
      <c r="O11" s="938"/>
      <c r="P11" s="938"/>
      <c r="Q11" s="938"/>
      <c r="R11" s="938"/>
      <c r="S11" s="938"/>
      <c r="T11" s="938"/>
      <c r="U11" s="938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37" t="s">
        <v>7</v>
      </c>
      <c r="H59" s="938"/>
      <c r="J59" s="983" t="s">
        <v>610</v>
      </c>
      <c r="K59" s="938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37" t="s">
        <v>1212</v>
      </c>
      <c r="F103" s="938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10" workbookViewId="0">
      <selection activeCell="H7" sqref="H7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984" t="s">
        <v>1256</v>
      </c>
      <c r="O37" s="935"/>
      <c r="P37" s="935"/>
      <c r="Q37" s="935"/>
      <c r="R37" s="935"/>
      <c r="S37" s="935"/>
      <c r="T37" s="935"/>
      <c r="U37" s="935"/>
      <c r="V37" s="935"/>
      <c r="W37" s="936"/>
      <c r="X37" s="492"/>
      <c r="Y37" s="492"/>
      <c r="Z37" s="492"/>
      <c r="AE37" s="985" t="s">
        <v>1257</v>
      </c>
      <c r="AF37" s="935"/>
      <c r="AG37" s="935"/>
      <c r="AH37" s="935"/>
      <c r="AI37" s="935"/>
      <c r="AJ37" s="935"/>
      <c r="AK37" s="935"/>
      <c r="AL37" s="935"/>
      <c r="AM37" s="935"/>
      <c r="AN37" s="936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84" t="s">
        <v>1256</v>
      </c>
      <c r="O86" s="935"/>
      <c r="P86" s="935"/>
      <c r="Q86" s="935"/>
      <c r="R86" s="935"/>
      <c r="S86" s="935"/>
      <c r="T86" s="935"/>
      <c r="U86" s="935"/>
      <c r="V86" s="935"/>
      <c r="W86" s="936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84" t="s">
        <v>1256</v>
      </c>
      <c r="O115" s="935"/>
      <c r="P115" s="935"/>
      <c r="Q115" s="935"/>
      <c r="R115" s="935"/>
      <c r="S115" s="935"/>
      <c r="T115" s="935"/>
      <c r="U115" s="935"/>
      <c r="V115" s="935"/>
      <c r="W115" s="936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V205" workbookViewId="0">
      <selection activeCell="O230" sqref="O230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20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3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995">
        <v>2019</v>
      </c>
      <c r="AC3" s="935"/>
      <c r="AD3" s="935"/>
      <c r="AE3" s="935"/>
      <c r="AF3" s="936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95"/>
      <c r="AB33" s="935"/>
      <c r="AC33" s="935"/>
      <c r="AD33" s="935"/>
      <c r="AE33" s="935"/>
      <c r="AF33" s="935"/>
      <c r="AG33" s="935"/>
      <c r="AH33" s="935"/>
      <c r="AI33" s="935"/>
      <c r="AJ33" s="935"/>
      <c r="AK33" s="935"/>
      <c r="AL33" s="935"/>
      <c r="AM33" s="936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91" t="s">
        <v>1335</v>
      </c>
      <c r="S64" s="935"/>
      <c r="T64" s="935"/>
      <c r="U64" s="935"/>
      <c r="V64" s="936"/>
      <c r="W64" s="993" t="s">
        <v>1336</v>
      </c>
      <c r="X64" s="935"/>
      <c r="Y64" s="935"/>
      <c r="Z64" s="936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992" t="s">
        <v>1341</v>
      </c>
      <c r="AJ65" s="971"/>
      <c r="AK65" s="971"/>
      <c r="AL65" s="971"/>
      <c r="AM65" s="971"/>
      <c r="AN65" s="971"/>
      <c r="AO65" s="971"/>
      <c r="AP65" s="971"/>
      <c r="AQ65" s="971"/>
      <c r="AR65" s="971"/>
      <c r="AS65" s="971"/>
      <c r="AT65" s="971"/>
      <c r="AU65" s="971"/>
      <c r="AV65" s="961"/>
      <c r="AW65" s="992" t="s">
        <v>1342</v>
      </c>
      <c r="AX65" s="971"/>
      <c r="AY65" s="971"/>
      <c r="AZ65" s="971"/>
      <c r="BA65" s="971"/>
      <c r="BB65" s="971"/>
      <c r="BC65" s="971"/>
      <c r="BD65" s="971"/>
      <c r="BE65" s="971"/>
      <c r="BF65" s="971"/>
      <c r="BG65" s="971"/>
      <c r="BH65" s="971"/>
      <c r="BI65" s="971"/>
      <c r="BJ65" s="961"/>
      <c r="BK65" s="992" t="s">
        <v>1343</v>
      </c>
      <c r="BL65" s="971"/>
      <c r="BM65" s="971"/>
      <c r="BN65" s="971"/>
      <c r="BO65" s="971"/>
      <c r="BP65" s="971"/>
      <c r="BQ65" s="971"/>
      <c r="BR65" s="971"/>
      <c r="BS65" s="971"/>
      <c r="BT65" s="971"/>
      <c r="BU65" s="971"/>
      <c r="BV65" s="971"/>
      <c r="BW65" s="971"/>
      <c r="BX65" s="961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91" t="s">
        <v>1335</v>
      </c>
      <c r="S96" s="935"/>
      <c r="T96" s="935"/>
      <c r="U96" s="935"/>
      <c r="V96" s="936"/>
      <c r="W96" s="993" t="s">
        <v>1336</v>
      </c>
      <c r="X96" s="935"/>
      <c r="Y96" s="935"/>
      <c r="Z96" s="936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994" t="s">
        <v>1368</v>
      </c>
      <c r="AJ97" s="971"/>
      <c r="AK97" s="971"/>
      <c r="AL97" s="971"/>
      <c r="AM97" s="971"/>
      <c r="AN97" s="971"/>
      <c r="AO97" s="971"/>
      <c r="AP97" s="971"/>
      <c r="AQ97" s="971"/>
      <c r="AR97" s="971"/>
      <c r="AS97" s="971"/>
      <c r="AT97" s="971"/>
      <c r="AU97" s="971"/>
      <c r="AV97" s="961"/>
      <c r="AW97" s="994" t="s">
        <v>1369</v>
      </c>
      <c r="AX97" s="971"/>
      <c r="AY97" s="971"/>
      <c r="AZ97" s="971"/>
      <c r="BA97" s="971"/>
      <c r="BB97" s="971"/>
      <c r="BC97" s="971"/>
      <c r="BD97" s="971"/>
      <c r="BE97" s="971"/>
      <c r="BF97" s="971"/>
      <c r="BG97" s="971"/>
      <c r="BH97" s="971"/>
      <c r="BI97" s="971"/>
      <c r="BJ97" s="961"/>
      <c r="BK97" s="994" t="s">
        <v>1370</v>
      </c>
      <c r="BL97" s="971"/>
      <c r="BM97" s="971"/>
      <c r="BN97" s="971"/>
      <c r="BO97" s="971"/>
      <c r="BP97" s="971"/>
      <c r="BQ97" s="971"/>
      <c r="BR97" s="971"/>
      <c r="BS97" s="971"/>
      <c r="BT97" s="971"/>
      <c r="BU97" s="971"/>
      <c r="BV97" s="971"/>
      <c r="BW97" s="971"/>
      <c r="BX97" s="961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86" t="s">
        <v>1400</v>
      </c>
      <c r="K116" s="987"/>
      <c r="L116" s="987"/>
      <c r="M116" s="987"/>
      <c r="N116" s="987"/>
      <c r="O116" s="987"/>
      <c r="P116" s="987"/>
      <c r="Q116" s="987"/>
      <c r="R116" s="987"/>
      <c r="S116" s="987"/>
      <c r="T116" s="987"/>
      <c r="U116" s="987"/>
      <c r="V116" s="987"/>
      <c r="W116" s="987"/>
      <c r="X116" s="987"/>
      <c r="Y116" s="987"/>
      <c r="Z116" s="987"/>
      <c r="AA116" s="987"/>
      <c r="AB116" s="987"/>
      <c r="AC116" s="987"/>
      <c r="AD116" s="987"/>
      <c r="AE116" s="987"/>
      <c r="AF116" s="987"/>
      <c r="AG116" s="988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89" t="s">
        <v>1412</v>
      </c>
      <c r="K138" s="987"/>
      <c r="L138" s="987"/>
      <c r="M138" s="987"/>
      <c r="N138" s="987"/>
      <c r="O138" s="987"/>
      <c r="P138" s="987"/>
      <c r="Q138" s="987"/>
      <c r="R138" s="987"/>
      <c r="S138" s="987"/>
      <c r="T138" s="987"/>
      <c r="U138" s="987"/>
      <c r="V138" s="987"/>
      <c r="W138" s="987"/>
      <c r="X138" s="987"/>
      <c r="Y138" s="987"/>
      <c r="Z138" s="987"/>
      <c r="AA138" s="987"/>
      <c r="AB138" s="987"/>
      <c r="AC138" s="987"/>
      <c r="AD138" s="987"/>
      <c r="AE138" s="987"/>
      <c r="AF138" s="987"/>
      <c r="AG138" s="988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2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89" t="s">
        <v>1418</v>
      </c>
      <c r="K152" s="987"/>
      <c r="L152" s="987"/>
      <c r="M152" s="987"/>
      <c r="N152" s="987"/>
      <c r="O152" s="987"/>
      <c r="P152" s="987"/>
      <c r="Q152" s="987"/>
      <c r="R152" s="987"/>
      <c r="S152" s="987"/>
      <c r="T152" s="987"/>
      <c r="U152" s="987"/>
      <c r="V152" s="987"/>
      <c r="W152" s="987"/>
      <c r="X152" s="987"/>
      <c r="Y152" s="987"/>
      <c r="Z152" s="987"/>
      <c r="AA152" s="987"/>
      <c r="AB152" s="987"/>
      <c r="AC152" s="987"/>
      <c r="AD152" s="987"/>
      <c r="AE152" s="987"/>
      <c r="AF152" s="987"/>
      <c r="AG152" s="988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83" t="s">
        <v>1423</v>
      </c>
      <c r="O155" s="938"/>
      <c r="P155" s="983" t="s">
        <v>1423</v>
      </c>
      <c r="Q155" s="938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86" t="s">
        <v>1430</v>
      </c>
      <c r="K169" s="987"/>
      <c r="L169" s="987"/>
      <c r="M169" s="987"/>
      <c r="N169" s="987"/>
      <c r="O169" s="987"/>
      <c r="P169" s="987"/>
      <c r="Q169" s="987"/>
      <c r="R169" s="987"/>
      <c r="S169" s="987"/>
      <c r="T169" s="987"/>
      <c r="U169" s="987"/>
      <c r="V169" s="987"/>
      <c r="W169" s="987"/>
      <c r="X169" s="987"/>
      <c r="Y169" s="987"/>
      <c r="Z169" s="987"/>
      <c r="AA169" s="987"/>
      <c r="AB169" s="987"/>
      <c r="AC169" s="987"/>
      <c r="AD169" s="987"/>
      <c r="AE169" s="987"/>
      <c r="AF169" s="987"/>
      <c r="AG169" s="988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73" t="s">
        <v>1431</v>
      </c>
      <c r="K174" s="938"/>
      <c r="L174" s="938"/>
      <c r="M174" s="938"/>
      <c r="N174" s="938"/>
      <c r="O174" s="938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86" t="s">
        <v>1456</v>
      </c>
      <c r="K203" s="987"/>
      <c r="L203" s="987"/>
      <c r="M203" s="987"/>
      <c r="N203" s="987"/>
      <c r="O203" s="987"/>
      <c r="P203" s="987"/>
      <c r="Q203" s="987"/>
      <c r="R203" s="987"/>
      <c r="S203" s="987"/>
      <c r="T203" s="987"/>
      <c r="U203" s="987"/>
      <c r="V203" s="987"/>
      <c r="W203" s="987"/>
      <c r="X203" s="987"/>
      <c r="Y203" s="987"/>
      <c r="Z203" s="987"/>
      <c r="AA203" s="987"/>
      <c r="AB203" s="987"/>
      <c r="AC203" s="987"/>
      <c r="AD203" s="987"/>
      <c r="AE203" s="987"/>
      <c r="AF203" s="987"/>
      <c r="AG203" s="988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83" t="s">
        <v>1457</v>
      </c>
      <c r="P206" s="938"/>
      <c r="Q206" s="938"/>
      <c r="R206" s="938"/>
      <c r="T206" s="937" t="s">
        <v>1458</v>
      </c>
      <c r="U206" s="938"/>
      <c r="V206" s="938"/>
      <c r="W206" s="938"/>
      <c r="Z206" s="990" t="s">
        <v>1459</v>
      </c>
      <c r="AA206" s="935"/>
      <c r="AB206" s="935"/>
      <c r="AC206" s="936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4">
        <v>0</v>
      </c>
      <c r="R209" s="917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3">
        <v>0</v>
      </c>
      <c r="P210" s="651"/>
      <c r="Q210" s="287">
        <v>48.264281002198075</v>
      </c>
      <c r="R210" s="917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34" t="s">
        <v>1461</v>
      </c>
      <c r="P218" s="935"/>
      <c r="Q218" s="936"/>
      <c r="T218" s="937" t="s">
        <v>1458</v>
      </c>
      <c r="U218" s="938"/>
      <c r="V218" s="938"/>
      <c r="W218" s="938"/>
      <c r="Z218" s="991" t="s">
        <v>1462</v>
      </c>
      <c r="AA218" s="935"/>
      <c r="AB218" s="936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1.4225595684479999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918">
        <v>0</v>
      </c>
      <c r="Q221" s="919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9">+(O221*24*0.365)*0.0036</f>
        <v>8.5591327795199984E-2</v>
      </c>
      <c r="AA221" s="654">
        <f>+(P222*24*0.365)*0.0036</f>
        <v>0.34236531118079994</v>
      </c>
      <c r="AB221" s="654">
        <f t="shared" si="369"/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O222" s="918">
        <v>0</v>
      </c>
      <c r="P222" s="390">
        <v>10.856332800000001</v>
      </c>
      <c r="Q222" s="919">
        <f>20.355624/2</f>
        <v>10.177811999999999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1">J211</f>
        <v>Putumayo</v>
      </c>
      <c r="K223" s="103" t="str">
        <f t="shared" si="371"/>
        <v>Light Oil</v>
      </c>
      <c r="L223" s="614" t="str">
        <f t="shared" si="371"/>
        <v>CAM4</v>
      </c>
      <c r="M223" s="34" t="str">
        <f t="shared" si="371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2">+(O223*24*0.365)*0.0036</f>
        <v>1.1095172121600003E-2</v>
      </c>
      <c r="AA223" s="654">
        <f t="shared" si="372"/>
        <v>4.4380688486400012E-2</v>
      </c>
      <c r="AB223" s="654">
        <f t="shared" si="372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3">J212</f>
        <v>VMM</v>
      </c>
      <c r="K224" s="103" t="str">
        <f t="shared" si="373"/>
        <v>Medium Oil</v>
      </c>
      <c r="L224" s="614" t="str">
        <f t="shared" si="373"/>
        <v>CAM5</v>
      </c>
      <c r="M224" s="34" t="str">
        <f t="shared" si="373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4">+(O224*24*0.365)*0.0036</f>
        <v>2.8530442598399999E-2</v>
      </c>
      <c r="AA224" s="654">
        <f t="shared" si="374"/>
        <v>0.1141217703936</v>
      </c>
      <c r="AB224" s="654">
        <f t="shared" si="374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5">J213</f>
        <v>VSM</v>
      </c>
      <c r="K225" s="103" t="str">
        <f t="shared" si="375"/>
        <v>Medium Oil</v>
      </c>
      <c r="L225" s="614" t="str">
        <f t="shared" si="375"/>
        <v>CAM6</v>
      </c>
      <c r="M225" s="626" t="str">
        <f t="shared" si="375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6">+(O225*24*0.365)*0.0036</f>
        <v>1.1095172121600003E-2</v>
      </c>
      <c r="AA225" s="654">
        <f t="shared" si="376"/>
        <v>4.4380688486400012E-2</v>
      </c>
      <c r="AB225" s="654">
        <f t="shared" si="376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7">J214</f>
        <v>VIM</v>
      </c>
      <c r="K226" s="103" t="str">
        <f t="shared" si="377"/>
        <v>Doesn't Apply</v>
      </c>
      <c r="L226" s="614" t="str">
        <f t="shared" si="377"/>
        <v>CAM7</v>
      </c>
      <c r="M226" s="626" t="str">
        <f t="shared" si="377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8">+(O226*24*0.365)*0.0036</f>
        <v>3.1700491776000001E-3</v>
      </c>
      <c r="AA226" s="654">
        <f t="shared" si="378"/>
        <v>1.26801967104E-2</v>
      </c>
      <c r="AB226" s="654">
        <f t="shared" si="378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abSelected="1" topLeftCell="BA1" zoomScaleNormal="100" workbookViewId="0">
      <selection activeCell="BE28" sqref="BE28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12.85546875" customWidth="1"/>
    <col min="43" max="43" width="25" style="916" customWidth="1"/>
    <col min="44" max="44" width="20.28515625" style="916" customWidth="1"/>
    <col min="45" max="45" width="7.42578125" style="916" customWidth="1"/>
    <col min="46" max="46" width="14.140625" customWidth="1"/>
    <col min="47" max="47" width="23.140625" customWidth="1"/>
    <col min="48" max="48" width="19.140625" customWidth="1"/>
    <col min="49" max="49" width="15.5703125" customWidth="1"/>
    <col min="50" max="50" width="9" customWidth="1"/>
    <col min="51" max="51" width="4.140625" customWidth="1"/>
    <col min="52" max="52" width="23.140625" customWidth="1"/>
    <col min="53" max="53" width="14.140625" customWidth="1"/>
    <col min="54" max="54" width="10.5703125" customWidth="1"/>
    <col min="55" max="55" width="16" customWidth="1"/>
    <col min="56" max="56" width="28.7109375" customWidth="1"/>
    <col min="57" max="57" width="17.140625" customWidth="1"/>
    <col min="58" max="58" width="21.28515625" customWidth="1"/>
    <col min="59" max="59" width="10.5703125" customWidth="1"/>
    <col min="60" max="60" width="6" customWidth="1"/>
    <col min="61" max="61" width="26.7109375" customWidth="1"/>
    <col min="62" max="63" width="10.5703125" customWidth="1"/>
    <col min="64" max="64" width="8.5703125" customWidth="1"/>
    <col min="65" max="65" width="11.42578125" customWidth="1"/>
    <col min="66" max="66" width="6.140625" customWidth="1"/>
    <col min="67" max="67" width="14.140625" customWidth="1"/>
    <col min="68" max="68" width="8.42578125" customWidth="1"/>
    <col min="69" max="70" width="10.7109375" customWidth="1"/>
    <col min="71" max="71" width="13.5703125" customWidth="1"/>
    <col min="72" max="72" width="15.85546875" customWidth="1"/>
    <col min="73" max="73" width="11.85546875" customWidth="1"/>
    <col min="74" max="74" width="9" customWidth="1"/>
    <col min="75" max="75" width="16.28515625" customWidth="1"/>
    <col min="76" max="76" width="14.42578125" customWidth="1"/>
    <col min="77" max="77" width="15" customWidth="1"/>
    <col min="78" max="78" width="5.28515625" customWidth="1"/>
    <col min="79" max="79" width="22" customWidth="1"/>
    <col min="80" max="80" width="11.28515625" customWidth="1"/>
    <col min="81" max="81" width="25.28515625" customWidth="1"/>
    <col min="82" max="82" width="23.85546875" customWidth="1"/>
    <col min="83" max="83" width="21.28515625" customWidth="1"/>
    <col min="84" max="84" width="5.5703125" customWidth="1"/>
    <col min="85" max="85" width="20.28515625" customWidth="1"/>
    <col min="86" max="87" width="11.28515625" customWidth="1"/>
    <col min="88" max="88" width="20.7109375" customWidth="1"/>
    <col min="89" max="89" width="23.140625" customWidth="1"/>
    <col min="90" max="90" width="19.85546875" customWidth="1"/>
    <col min="91" max="91" width="11.5703125" customWidth="1"/>
    <col min="92" max="92" width="5" customWidth="1"/>
    <col min="93" max="93" width="20.42578125" customWidth="1"/>
    <col min="94" max="94" width="11.42578125" customWidth="1"/>
    <col min="95" max="95" width="10.7109375" customWidth="1"/>
    <col min="96" max="96" width="6.5703125" customWidth="1"/>
    <col min="97" max="97" width="22.28515625" customWidth="1"/>
    <col min="98" max="98" width="7.42578125" customWidth="1"/>
    <col min="99" max="99" width="21.7109375" customWidth="1"/>
    <col min="100" max="100" width="21.28515625" customWidth="1"/>
    <col min="101" max="101" width="7.42578125" customWidth="1"/>
    <col min="102" max="102" width="5.7109375" customWidth="1"/>
    <col min="103" max="103" width="19.7109375" customWidth="1"/>
    <col min="104" max="104" width="16.42578125" customWidth="1"/>
    <col min="105" max="105" width="10.7109375" customWidth="1"/>
    <col min="106" max="106" width="8.85546875" customWidth="1"/>
    <col min="107" max="107" width="19.5703125" customWidth="1"/>
    <col min="108" max="108" width="20.28515625" customWidth="1"/>
    <col min="109" max="110" width="11.42578125" customWidth="1"/>
    <col min="111" max="111" width="25.85546875" customWidth="1"/>
    <col min="112" max="113" width="11.42578125" customWidth="1"/>
    <col min="114" max="114" width="7.28515625" customWidth="1"/>
    <col min="115" max="115" width="23.42578125" customWidth="1"/>
    <col min="116" max="116" width="11.42578125" customWidth="1"/>
    <col min="117" max="117" width="33.28515625" customWidth="1"/>
    <col min="118" max="118" width="17" customWidth="1"/>
    <col min="119" max="119" width="18.85546875" customWidth="1"/>
    <col min="120" max="121" width="10.7109375" customWidth="1"/>
    <col min="122" max="122" width="31.28515625" customWidth="1"/>
    <col min="123" max="123" width="19.42578125" customWidth="1"/>
    <col min="124" max="124" width="21.5703125" customWidth="1"/>
    <col min="125" max="126" width="10.7109375" customWidth="1"/>
    <col min="127" max="127" width="31.7109375" customWidth="1"/>
    <col min="128" max="128" width="21.85546875" customWidth="1"/>
    <col min="129" max="129" width="17.42578125" customWidth="1"/>
    <col min="130" max="130" width="10.7109375" customWidth="1"/>
  </cols>
  <sheetData>
    <row r="1" spans="1:130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35">
      <c r="B3" s="116"/>
      <c r="C3" s="998" t="s">
        <v>1463</v>
      </c>
      <c r="D3" s="938"/>
      <c r="E3" s="938"/>
      <c r="F3" s="938"/>
      <c r="G3" s="938"/>
      <c r="H3" s="938"/>
      <c r="I3" s="657"/>
      <c r="K3" s="116"/>
      <c r="L3" s="998" t="s">
        <v>1464</v>
      </c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658"/>
      <c r="Y3" s="658"/>
      <c r="Z3" s="658"/>
      <c r="AA3" s="658"/>
      <c r="AB3" s="657"/>
      <c r="AC3" s="380"/>
      <c r="AD3" s="116"/>
      <c r="AE3" s="998" t="s">
        <v>1465</v>
      </c>
      <c r="AF3" s="938"/>
      <c r="AG3" s="938"/>
      <c r="AH3" s="938"/>
      <c r="AI3" s="938"/>
      <c r="AJ3" s="938"/>
      <c r="AK3" s="938"/>
      <c r="AL3" s="655"/>
      <c r="AM3" s="1"/>
      <c r="AN3" s="1002" t="s">
        <v>1466</v>
      </c>
      <c r="AO3" s="935"/>
      <c r="AP3" s="935"/>
      <c r="AQ3" s="1001"/>
      <c r="AR3" s="1001"/>
      <c r="AS3" s="1001"/>
      <c r="AT3" s="935"/>
      <c r="AU3" s="935"/>
      <c r="AV3" s="935"/>
      <c r="AW3" s="935"/>
      <c r="AX3" s="935"/>
      <c r="AY3" s="935"/>
      <c r="AZ3" s="935"/>
      <c r="BA3" s="935"/>
      <c r="BB3" s="935"/>
      <c r="BC3" s="935"/>
      <c r="BD3" s="935"/>
      <c r="BE3" s="935"/>
      <c r="BF3" s="935"/>
      <c r="BG3" s="935"/>
      <c r="BH3" s="935"/>
      <c r="BI3" s="935"/>
      <c r="BJ3" s="935"/>
      <c r="BK3" s="935"/>
      <c r="BL3" s="936"/>
      <c r="BM3" s="43"/>
      <c r="BN3" s="116"/>
      <c r="BO3" s="998" t="s">
        <v>1467</v>
      </c>
      <c r="BP3" s="938"/>
      <c r="BQ3" s="938"/>
      <c r="BR3" s="938"/>
      <c r="BS3" s="938"/>
      <c r="BT3" s="938"/>
      <c r="BU3" s="938"/>
      <c r="BV3" s="938"/>
      <c r="BW3" s="658"/>
      <c r="BX3" s="658"/>
      <c r="BY3" s="658"/>
      <c r="BZ3" s="655"/>
      <c r="CB3" s="659"/>
      <c r="CC3" s="998" t="s">
        <v>1468</v>
      </c>
      <c r="CD3" s="938"/>
      <c r="CE3" s="938"/>
      <c r="CF3" s="938"/>
      <c r="CG3" s="938"/>
      <c r="CH3" s="938"/>
      <c r="CI3" s="938"/>
      <c r="CJ3" s="938"/>
      <c r="CK3" s="938"/>
      <c r="CL3" s="938"/>
      <c r="CM3" s="938"/>
      <c r="CN3" s="938"/>
      <c r="CO3" s="938"/>
      <c r="CP3" s="938"/>
      <c r="CQ3" s="288"/>
      <c r="CR3" s="305"/>
      <c r="CT3" s="116"/>
      <c r="CU3" s="998" t="s">
        <v>1469</v>
      </c>
      <c r="CV3" s="938"/>
      <c r="CW3" s="938"/>
      <c r="CX3" s="938"/>
      <c r="CY3" s="938"/>
      <c r="CZ3" s="938"/>
      <c r="DA3" s="938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1470</v>
      </c>
    </row>
    <row r="4" spans="1:130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97" t="s">
        <v>1471</v>
      </c>
      <c r="M5" s="938"/>
      <c r="N5" s="938"/>
      <c r="O5" s="938"/>
      <c r="P5" s="660"/>
      <c r="Q5" s="997" t="s">
        <v>1472</v>
      </c>
      <c r="R5" s="938"/>
      <c r="S5" s="938"/>
      <c r="T5" s="660"/>
      <c r="U5" s="997" t="s">
        <v>1473</v>
      </c>
      <c r="V5" s="938"/>
      <c r="W5" s="660"/>
      <c r="X5" s="664"/>
      <c r="Y5" s="996" t="s">
        <v>1474</v>
      </c>
      <c r="Z5" s="935"/>
      <c r="AA5" s="936"/>
      <c r="AB5" s="662"/>
      <c r="AC5" s="380"/>
      <c r="AD5" s="661"/>
      <c r="AE5" s="997" t="s">
        <v>1475</v>
      </c>
      <c r="AF5" s="938"/>
      <c r="AG5" s="938"/>
      <c r="AH5" s="660"/>
      <c r="AI5" s="997" t="s">
        <v>1476</v>
      </c>
      <c r="AJ5" s="938"/>
      <c r="AK5" s="938"/>
      <c r="AL5" s="662"/>
      <c r="AM5" s="665"/>
      <c r="AN5" s="997" t="s">
        <v>1477</v>
      </c>
      <c r="AO5" s="938"/>
      <c r="AP5" s="938"/>
      <c r="AT5" s="665"/>
      <c r="AU5" s="996" t="s">
        <v>1478</v>
      </c>
      <c r="AV5" s="935"/>
      <c r="AW5" s="935"/>
      <c r="AX5" s="935"/>
      <c r="AY5" s="935"/>
      <c r="AZ5" s="935"/>
      <c r="BA5" s="935"/>
      <c r="BB5" s="936"/>
      <c r="BC5" s="665"/>
      <c r="BD5" s="666" t="s">
        <v>1479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997" t="s">
        <v>1480</v>
      </c>
      <c r="BP5" s="938"/>
      <c r="BQ5" s="938"/>
      <c r="BR5" s="660"/>
      <c r="BS5" s="668" t="s">
        <v>1481</v>
      </c>
      <c r="BT5" s="660"/>
      <c r="BU5" s="663"/>
      <c r="BV5" s="663"/>
      <c r="BW5" s="666" t="s">
        <v>1482</v>
      </c>
      <c r="BX5" s="664"/>
      <c r="BY5" s="664"/>
      <c r="BZ5" s="662"/>
      <c r="CA5" s="660"/>
      <c r="CB5" s="669"/>
      <c r="CC5" s="999" t="s">
        <v>1483</v>
      </c>
      <c r="CD5" s="1000"/>
      <c r="CE5" s="1000"/>
      <c r="CF5" s="1000"/>
      <c r="CG5" s="1000"/>
      <c r="CH5" s="1000"/>
      <c r="CI5" s="1001"/>
      <c r="CJ5" s="665"/>
      <c r="CK5" s="997" t="s">
        <v>1484</v>
      </c>
      <c r="CL5" s="938"/>
      <c r="CM5" s="938"/>
      <c r="CN5" s="938"/>
      <c r="CO5" s="938"/>
      <c r="CP5" s="938"/>
      <c r="CQ5" s="938"/>
      <c r="CR5" s="670"/>
      <c r="CS5" s="660"/>
      <c r="CT5" s="661"/>
      <c r="CU5" s="999" t="s">
        <v>1485</v>
      </c>
      <c r="CV5" s="1000"/>
      <c r="CW5" s="1000"/>
      <c r="CX5" s="1000"/>
      <c r="CY5" s="1000"/>
      <c r="CZ5" s="1000"/>
      <c r="DA5" s="1000"/>
      <c r="DB5" s="1001"/>
      <c r="DC5" s="668" t="s">
        <v>1486</v>
      </c>
      <c r="DD5" s="664"/>
      <c r="DE5" s="664"/>
      <c r="DF5" s="996" t="s">
        <v>1487</v>
      </c>
      <c r="DG5" s="935"/>
      <c r="DH5" s="935"/>
      <c r="DI5" s="936"/>
      <c r="DJ5" s="662"/>
      <c r="DK5" s="660"/>
      <c r="DL5" s="661"/>
      <c r="DM5" s="660" t="s">
        <v>1488</v>
      </c>
      <c r="DN5" s="660"/>
      <c r="DO5" s="660"/>
      <c r="DP5" s="660"/>
      <c r="DQ5" s="660"/>
      <c r="DR5" s="660" t="s">
        <v>1489</v>
      </c>
      <c r="DS5" s="660"/>
      <c r="DT5" s="660"/>
      <c r="DU5" s="660"/>
      <c r="DV5" s="660"/>
      <c r="DW5" s="660" t="s">
        <v>1489</v>
      </c>
      <c r="DX5" s="660"/>
      <c r="DY5" s="660"/>
      <c r="DZ5" s="660"/>
    </row>
    <row r="6" spans="1:130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1035" t="s">
        <v>1039</v>
      </c>
      <c r="BB8" s="1035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1039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1039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1492</v>
      </c>
      <c r="BZ8" s="686"/>
      <c r="CB8" s="687"/>
      <c r="CC8" s="688" t="s">
        <v>272</v>
      </c>
      <c r="CD8" s="689" t="s">
        <v>805</v>
      </c>
      <c r="CE8" s="688" t="s">
        <v>974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974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1006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1005" t="str">
        <f t="array" ref="AU9:AU11">+PROCESS!N107:N109</f>
        <v>AUTO-GAS-CAM1</v>
      </c>
      <c r="AV9" s="716" t="str">
        <f>AR24</f>
        <v>FUEL-GAS-CAM1</v>
      </c>
      <c r="AW9" s="1005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 t="array" ref="BD9:BD11">+PROCESS!N134:N136</f>
        <v>AUTO-COL-GAS-CAM1</v>
      </c>
      <c r="BE9" s="19" t="str">
        <f t="array" ref="BE9:BE23">+AV9:AV30</f>
        <v>FUEL-GAS-CAM1</v>
      </c>
      <c r="BF9" s="19" t="str">
        <f>+COMM!D97</f>
        <v>ELC-COL-CAM1</v>
      </c>
      <c r="BG9" s="19">
        <f t="array" ref="BG9:BG11">+TRANSPOSE('5. Data'!U220:W220)</f>
        <v>0.35</v>
      </c>
      <c r="BH9" s="19"/>
      <c r="BI9" s="19" t="str">
        <f t="array" ref="BI9:BI23">+BD9:BD23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tr">
        <f>(AO9)</f>
        <v>DSL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2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1493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1493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3">100%-DE26</f>
        <v>0.99790440075840736</v>
      </c>
      <c r="DJ9" s="708"/>
      <c r="DL9" s="116"/>
      <c r="DM9" s="12" t="str">
        <f t="array" ref="DM9:DM14">+PROCESS!N166:N173</f>
        <v>COMPRA-ELC-CAM1</v>
      </c>
      <c r="DN9" s="12" t="str">
        <f>+'1. EXP_IMP'!$K$66</f>
        <v>ELC-SIN</v>
      </c>
      <c r="DO9" s="11" t="str">
        <f>+AW9</f>
        <v>ELC-CAM1</v>
      </c>
      <c r="DP9" s="292">
        <v>1</v>
      </c>
      <c r="DR9" s="12" t="str">
        <f t="array" ref="DR9:DR14">+PROCESS!N174:N181</f>
        <v>COMPRA-ELC-COLO-CAM1</v>
      </c>
      <c r="DS9" s="14" t="str">
        <f>+'1. EXP_IMP'!$K$66</f>
        <v>ELC-SIN</v>
      </c>
      <c r="DT9" s="11" t="str">
        <f t="array" ref="DT9:DT14">+COMM!D105:D112</f>
        <v>ELC-O-COL-CAM1</v>
      </c>
      <c r="DU9" s="292">
        <v>1</v>
      </c>
      <c r="DW9" s="12" t="str">
        <f t="array" ref="DW9:DW14">+PROCESS!N158:N165</f>
        <v>COMPRA-ELC-COLG-CAM1</v>
      </c>
      <c r="DX9" s="14" t="str">
        <f>+'1. EXP_IMP'!$K$66</f>
        <v>ELC-SIN</v>
      </c>
      <c r="DY9" s="11" t="str">
        <f t="array" ref="DY9:DY14">+COMM!D113:D120</f>
        <v>ELC-G-COL-CAM1</v>
      </c>
      <c r="DZ9" s="292">
        <v>1</v>
      </c>
    </row>
    <row r="10" spans="1:130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FTE-FUEL-DSL-CAM2</v>
      </c>
      <c r="AO10" s="1006" t="s">
        <v>14</v>
      </c>
      <c r="AP10" s="228"/>
      <c r="AQ10" s="228" t="str">
        <f t="shared" ref="AQ10:AQ23" si="4">AN10</f>
        <v>FTE-FUEL-DSL-CAM2</v>
      </c>
      <c r="AR10" s="12" t="str">
        <v>FUEL-DSL-CAM2</v>
      </c>
      <c r="AS10" s="228">
        <v>1</v>
      </c>
      <c r="AT10" s="19"/>
      <c r="AU10" s="1005" t="str">
        <v>AUTO-OIL-CAM1</v>
      </c>
      <c r="AV10" t="str">
        <f>AR16</f>
        <v>FUEL-OIL-CAM1</v>
      </c>
      <c r="AW10" s="1005" t="str">
        <f t="shared" ref="AW10:AW11" si="5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v>AUTO-COL-OIL-CAM1</v>
      </c>
      <c r="BE10" s="19" t="str">
        <v>FUEL-OIL-CAM1</v>
      </c>
      <c r="BF10" s="19" t="str">
        <f>+BF9</f>
        <v>ELC-COL-CAM1</v>
      </c>
      <c r="BG10" s="19">
        <v>0.35</v>
      </c>
      <c r="BH10" s="19"/>
      <c r="BI10" s="19" t="str">
        <v>AUTO-COL-OIL-CAM1</v>
      </c>
      <c r="BJ10" s="370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107.23543684510712</v>
      </c>
      <c r="BS10" t="str">
        <v>PLT-CAM2</v>
      </c>
      <c r="BT10" s="11" t="str">
        <f>(AO10)</f>
        <v>DSL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12" t="str">
        <f>+CD12</f>
        <v>ELC-O-COL-CAM2-CAM3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2"/>
        <v>HOIL</v>
      </c>
      <c r="CI10" s="698">
        <f>1/(1+'5. Data'!Y185)</f>
        <v>0.99789444272584837</v>
      </c>
      <c r="CJ10" s="309"/>
      <c r="CL10" s="12">
        <f>+BF29</f>
        <v>0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1494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v>COMPRA-ELC-CAM2-CAM3</v>
      </c>
      <c r="DN10" s="12" t="str">
        <f>+'1. EXP_IMP'!$K$66</f>
        <v>ELC-SIN</v>
      </c>
      <c r="DO10" s="12" t="e">
        <f>+#REF!</f>
        <v>#REF!</v>
      </c>
      <c r="DP10" s="292">
        <v>1</v>
      </c>
      <c r="DR10" s="12" t="str">
        <v>COMPRA-ELC-COLO-CAM2-CAM3</v>
      </c>
      <c r="DS10" s="14" t="str">
        <f>+'1. EXP_IMP'!$K$66</f>
        <v>ELC-SIN</v>
      </c>
      <c r="DT10" s="12" t="str">
        <v>ELC-O-COL-CAM2-CAM3</v>
      </c>
      <c r="DU10" s="292">
        <v>1</v>
      </c>
      <c r="DW10" s="12" t="str">
        <v>COMPRA-ELC-COLG-CAM2-CAM3</v>
      </c>
      <c r="DX10" s="14" t="str">
        <f>+'1. EXP_IMP'!$K$66</f>
        <v>ELC-SIN</v>
      </c>
      <c r="DY10" s="11" t="str">
        <v>ELC-G-COL-CAM2-CAM3</v>
      </c>
      <c r="DZ10" s="292">
        <v>1</v>
      </c>
    </row>
    <row r="11" spans="1:130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FTE-FUEL-DSL-CAM3</v>
      </c>
      <c r="AO11" s="1006" t="s">
        <v>14</v>
      </c>
      <c r="AP11" s="228"/>
      <c r="AQ11" s="228" t="str">
        <f t="shared" si="4"/>
        <v>FTE-FUEL-DSL-CAM3</v>
      </c>
      <c r="AR11" s="12" t="str">
        <v>FUEL-DSL-CAM3</v>
      </c>
      <c r="AS11" s="228">
        <v>1</v>
      </c>
      <c r="AT11" s="19"/>
      <c r="AU11" s="1005" t="str">
        <v>AUTO-DSL-CAM1</v>
      </c>
      <c r="AV11" t="str">
        <f>AR9</f>
        <v>FUEL-DSL-CAM1</v>
      </c>
      <c r="AW11" s="1005" t="str">
        <f t="shared" si="5"/>
        <v>ELC-CAM1</v>
      </c>
      <c r="AX11" s="322">
        <v>0.35</v>
      </c>
      <c r="AY11" s="370"/>
      <c r="AZ11" s="19" t="str">
        <v>AUTO-DSL-CAM1</v>
      </c>
      <c r="BA11" s="1033">
        <v>0</v>
      </c>
      <c r="BB11" s="19" t="s">
        <v>897</v>
      </c>
      <c r="BC11" s="19"/>
      <c r="BD11" s="19" t="str">
        <v>AUTO-COL-DSL-CAM1</v>
      </c>
      <c r="BE11" s="19" t="str">
        <v>FUEL-DSL-CAM1</v>
      </c>
      <c r="BF11" s="19" t="str">
        <f>+BF9</f>
        <v>ELC-COL-CAM1</v>
      </c>
      <c r="BG11" s="19">
        <v>0.35</v>
      </c>
      <c r="BH11" s="19"/>
      <c r="BI11" s="19" t="str">
        <v>AUTO-COL-DSL-CAM1</v>
      </c>
      <c r="BJ11" s="370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tr">
        <f>(AO11)</f>
        <v>DSL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0.79566503548561762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2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3"/>
        <v>0.99790440075840736</v>
      </c>
      <c r="DJ11" s="708"/>
      <c r="DL11" s="116"/>
      <c r="DM11" s="12" t="str">
        <v>COMPRA-ELC-CAM2</v>
      </c>
      <c r="DN11" s="12" t="str">
        <f>+'1. EXP_IMP'!$K$66</f>
        <v>ELC-SIN</v>
      </c>
      <c r="DO11" s="11" t="str">
        <f>+AW19</f>
        <v>ELC-CAM4</v>
      </c>
      <c r="DP11" s="292">
        <v>1</v>
      </c>
      <c r="DR11" s="12" t="str">
        <v>COMPRA-ELC-COLO-CAM2</v>
      </c>
      <c r="DS11" s="14" t="str">
        <f>+'1. EXP_IMP'!$K$66</f>
        <v>ELC-SIN</v>
      </c>
      <c r="DT11" s="11" t="str">
        <v>ELC-O-COL-CAM2</v>
      </c>
      <c r="DU11" s="292">
        <v>1</v>
      </c>
      <c r="DW11" s="12" t="str">
        <v>COMPRA-ELC-COLG-CAM2</v>
      </c>
      <c r="DX11" s="14" t="str">
        <f>+'1. EXP_IMP'!$K$66</f>
        <v>ELC-SIN</v>
      </c>
      <c r="DY11" s="11" t="str">
        <v>ELC-O-COL-CAM2</v>
      </c>
      <c r="DZ11" s="292">
        <v>1</v>
      </c>
    </row>
    <row r="12" spans="1:130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e">
        <f>+DO10</f>
        <v>#REF!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1006" t="s">
        <v>14</v>
      </c>
      <c r="AP12" s="228"/>
      <c r="AQ12" s="228" t="str">
        <f t="shared" si="4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1032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 t="array" ref="BD12:BD23">+PROCESS!N146:N157</f>
        <v>AUTO-COL-GAS-CAM4</v>
      </c>
      <c r="BE12" s="19" t="str">
        <v>FUEL-GAS-CAM2</v>
      </c>
      <c r="BF12" s="19" t="str">
        <f>+COMM!D101</f>
        <v>ELC-COL-CAM4</v>
      </c>
      <c r="BG12" s="19">
        <f t="array" ref="BG12:BG14">+TRANSPOSE('5. Data'!U223:W223)</f>
        <v>0.35</v>
      </c>
      <c r="BH12" s="19"/>
      <c r="BI12" s="698" t="str">
        <v>AUTO-COL-GAS-CAM4</v>
      </c>
      <c r="BJ12" s="370">
        <f t="array" ref="BJ12:BJ14">+TRANSPOSE('5. Data'!Z223:AB223)</f>
        <v>1.1095172121600003E-2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tr">
        <f>(AO12)</f>
        <v>DSL</v>
      </c>
      <c r="BU12" s="228">
        <v>1</v>
      </c>
      <c r="BW12" s="228"/>
      <c r="BX12" s="228" t="s">
        <v>22</v>
      </c>
      <c r="BY12" s="295">
        <f>+'5. Data'!R157</f>
        <v>0.20433496451438232</v>
      </c>
      <c r="BZ12" s="704"/>
      <c r="CB12" s="705"/>
      <c r="CD12" s="12" t="str">
        <f>+DT10</f>
        <v>ELC-O-COL-CAM2-CAM3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2"/>
        <v>MOIL</v>
      </c>
      <c r="CI12" s="698">
        <f>1/(1+'5. Data'!Y187)</f>
        <v>0.99789444272584837</v>
      </c>
      <c r="CJ12" s="309"/>
      <c r="CL12" s="12">
        <f>+CL10</f>
        <v>0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3"/>
        <v>0.99790440075840736</v>
      </c>
      <c r="DJ12" s="708"/>
      <c r="DL12" s="116"/>
      <c r="DM12" s="12" t="str">
        <v>COMPRA-ELC-CAM3</v>
      </c>
      <c r="DN12" s="12" t="str">
        <f>+'1. EXP_IMP'!$K$66</f>
        <v>ELC-SIN</v>
      </c>
      <c r="DO12" s="11" t="str">
        <f>+AW22</f>
        <v>ELC-CAM5</v>
      </c>
      <c r="DP12" s="292">
        <v>1</v>
      </c>
      <c r="DR12" s="12" t="str">
        <v>COMPRA-ELC-COLO-CAM3</v>
      </c>
      <c r="DS12" s="14" t="str">
        <f>+'1. EXP_IMP'!$K$66</f>
        <v>ELC-SIN</v>
      </c>
      <c r="DT12" s="11" t="str">
        <v>ELC-O-COL-CAM3</v>
      </c>
      <c r="DU12" s="292">
        <v>1</v>
      </c>
      <c r="DW12" s="12" t="str">
        <v>COMPRA-ELC-COLG-CAM3</v>
      </c>
      <c r="DX12" s="14" t="str">
        <f>+'1. EXP_IMP'!$K$66</f>
        <v>ELC-SIN</v>
      </c>
      <c r="DY12" s="11" t="str">
        <v>ELC-O-COL-CAM3</v>
      </c>
      <c r="DZ12" s="292">
        <v>1</v>
      </c>
    </row>
    <row r="13" spans="1:130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1006" t="s">
        <v>14</v>
      </c>
      <c r="AP13" s="228"/>
      <c r="AQ13" s="228" t="str">
        <f t="shared" si="4"/>
        <v>FTE-FUEL-DSL-CAM5</v>
      </c>
      <c r="AR13" s="12" t="str">
        <v>FUEL-DSL-CAM5</v>
      </c>
      <c r="AS13" s="228">
        <v>1</v>
      </c>
      <c r="AT13" s="19"/>
      <c r="AU13" s="916" t="str">
        <f>PROCESS!N115</f>
        <v>AUTO-OIL-CAM2</v>
      </c>
      <c r="AV13" t="str">
        <f>AR17</f>
        <v>FUEL-OIL-CAM2</v>
      </c>
      <c r="AW13" s="916" t="str">
        <f>COMM!$D$64</f>
        <v>ELC-CAM2</v>
      </c>
      <c r="AX13" s="1032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v>AUTO-COL-OIL-CAM4</v>
      </c>
      <c r="BE13" s="19" t="str">
        <v>FUEL-OIL-CAM2</v>
      </c>
      <c r="BF13" s="19" t="str">
        <f t="shared" ref="BF13:BF14" si="6">+BF12</f>
        <v>ELC-COL-CAM4</v>
      </c>
      <c r="BG13" s="19">
        <v>0.35</v>
      </c>
      <c r="BH13" s="19"/>
      <c r="BI13" s="19" t="str">
        <v>AUTO-COL-OIL-CAM4</v>
      </c>
      <c r="BJ13" s="370">
        <v>4.4380688486400012E-2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tr">
        <f>(AO13)</f>
        <v>DSL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2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3"/>
        <v>0.99790440075840736</v>
      </c>
      <c r="DJ13" s="708"/>
      <c r="DL13" s="116"/>
      <c r="DM13" s="12" t="str">
        <v>COMPRA-ELC-CAM4</v>
      </c>
      <c r="DN13" s="12" t="str">
        <f>+'1. EXP_IMP'!$K$66</f>
        <v>ELC-SIN</v>
      </c>
      <c r="DO13" s="11" t="str">
        <f>+AW25</f>
        <v>ELC-CAM6</v>
      </c>
      <c r="DP13" s="292">
        <v>1</v>
      </c>
      <c r="DR13" s="12" t="str">
        <v>COMPRA-ELC-COLO-CAM4</v>
      </c>
      <c r="DS13" s="14" t="str">
        <f>+'1. EXP_IMP'!$K$66</f>
        <v>ELC-SIN</v>
      </c>
      <c r="DT13" s="11" t="str">
        <v>ELC-O-COL-CAM4</v>
      </c>
      <c r="DU13" s="292">
        <v>1</v>
      </c>
      <c r="DW13" s="12" t="str">
        <v>COMPRA-ELC-COLG-CAM4</v>
      </c>
      <c r="DX13" s="14" t="str">
        <f>+'1. EXP_IMP'!$K$66</f>
        <v>ELC-SIN</v>
      </c>
      <c r="DY13" s="11" t="str">
        <v>ELC-G-COL-CAM4</v>
      </c>
      <c r="DZ13" s="292">
        <v>1</v>
      </c>
    </row>
    <row r="14" spans="1:130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e">
        <f>+R12</f>
        <v>#REF!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1006" t="s">
        <v>14</v>
      </c>
      <c r="AP14" s="228"/>
      <c r="AQ14" s="228" t="str">
        <f t="shared" si="4"/>
        <v>FTE-FUEL-DSL-CAM6</v>
      </c>
      <c r="AR14" s="12" t="str">
        <v>FUEL-DSL-CAM6</v>
      </c>
      <c r="AS14" s="228">
        <v>1</v>
      </c>
      <c r="AT14" s="309"/>
      <c r="AU14" s="916" t="str">
        <f>PROCESS!N116</f>
        <v>AUTO-DSL-CAM2</v>
      </c>
      <c r="AV14" t="str">
        <f>AR10</f>
        <v>FUEL-DSL-CAM2</v>
      </c>
      <c r="AW14" s="916" t="str">
        <f>COMM!$D$64</f>
        <v>ELC-CAM2</v>
      </c>
      <c r="AX14" s="1032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v>AUTO-COL-DSL-CAM4</v>
      </c>
      <c r="BE14" s="19" t="str">
        <v>FUEL-DSL-CAM2</v>
      </c>
      <c r="BF14" s="19" t="str">
        <f t="shared" si="6"/>
        <v>ELC-COL-CAM4</v>
      </c>
      <c r="BG14" s="19">
        <v>0.35</v>
      </c>
      <c r="BH14" s="19"/>
      <c r="BI14" s="309" t="str">
        <v>AUTO-COL-DSL-CAM4</v>
      </c>
      <c r="BJ14" s="370">
        <v>8.3213790912000027E-2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tr">
        <f>(AO14)</f>
        <v>DSL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+DT11</f>
        <v>ELC-O-COL-CAM2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+BF14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3"/>
        <v>0.99790440075840736</v>
      </c>
      <c r="DJ14" s="708"/>
      <c r="DL14" s="116"/>
      <c r="DM14" s="12" t="str">
        <v>COMPRA-ELC-CAM5</v>
      </c>
      <c r="DN14" s="12" t="str">
        <f>+'1. EXP_IMP'!$K$66</f>
        <v>ELC-SIN</v>
      </c>
      <c r="DO14" s="11" t="str">
        <f>+AW28</f>
        <v>ELC-CAM7</v>
      </c>
      <c r="DP14" s="292">
        <v>1</v>
      </c>
      <c r="DR14" s="12" t="str">
        <v>COMPRA-ELC-COLO-CAM5</v>
      </c>
      <c r="DS14" s="14" t="str">
        <f>+'1. EXP_IMP'!$K$66</f>
        <v>ELC-SIN</v>
      </c>
      <c r="DT14" s="11" t="str">
        <v>ELC-O-COL-CAM5</v>
      </c>
      <c r="DU14" s="292">
        <v>1</v>
      </c>
      <c r="DW14" s="12" t="str">
        <v>COMPRA-ELC-COLG-CAM5</v>
      </c>
      <c r="DX14" s="14" t="str">
        <f>+'1. EXP_IMP'!$K$66</f>
        <v>ELC-SIN</v>
      </c>
      <c r="DY14" s="11" t="str">
        <v>ELC-G-COL-CAM5</v>
      </c>
      <c r="DZ14" s="292">
        <v>1</v>
      </c>
    </row>
    <row r="15" spans="1:130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1006" t="s">
        <v>14</v>
      </c>
      <c r="AP15" s="228"/>
      <c r="AQ15" s="228" t="str">
        <f t="shared" si="4"/>
        <v>FTE-FUEL-DSL-CAM7</v>
      </c>
      <c r="AR15" s="12" t="str">
        <v>FUEL-DSL-CAM7</v>
      </c>
      <c r="AS15" s="228">
        <v>1</v>
      </c>
      <c r="AT15" s="19"/>
      <c r="AU15" s="916" t="str">
        <f>PROCESS!N117</f>
        <v>AUTO-LPG-CAM2</v>
      </c>
      <c r="AV15" t="str">
        <f>AR23</f>
        <v>FUEL-LPG-CAM2</v>
      </c>
      <c r="AW15" s="916" t="str">
        <f>COMM!$D$64</f>
        <v>ELC-CAM2</v>
      </c>
      <c r="AX15" s="1032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v>AUTO-COL-GAS-CAM5</v>
      </c>
      <c r="BE15" s="19" t="str">
        <v>FUEL-LPG-CAM2</v>
      </c>
      <c r="BF15" s="19" t="str">
        <f>+COMM!D102</f>
        <v>ELC-COL-CAM5</v>
      </c>
      <c r="BG15" s="19">
        <f t="array" ref="BG15:BG17">+TRANSPOSE('5. Data'!U224:W224)</f>
        <v>0.35</v>
      </c>
      <c r="BH15" s="19"/>
      <c r="BI15" s="19" t="str">
        <v>AUTO-COL-GAS-CAM5</v>
      </c>
      <c r="BJ15" s="370">
        <f t="array" ref="BJ15:BJ17">+TRANSPOSE('5. Data'!Z224:AB224)</f>
        <v>2.8530442598399999E-2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tr">
        <f>(AO15)</f>
        <v>DSL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3"/>
        <v>0.99790440075840736</v>
      </c>
      <c r="DJ15" s="655"/>
      <c r="DL15" s="116"/>
      <c r="DP15" s="292"/>
      <c r="DS15" s="14"/>
      <c r="DU15" s="292"/>
      <c r="DX15" s="14"/>
      <c r="DZ15" s="292"/>
    </row>
    <row r="16" spans="1:130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1006" t="s">
        <v>13</v>
      </c>
      <c r="AP16" s="228"/>
      <c r="AQ16" s="228" t="str">
        <f t="shared" si="4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s="9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1032" cm="1">
        <f t="array" ref="AX16:AX18">TRANSPOSE('5. Data'!U210:W210)</f>
        <v>0.35</v>
      </c>
      <c r="AY16" s="370"/>
      <c r="AZ16" s="19" t="str">
        <v>AUTO-GAS-CAM3</v>
      </c>
      <c r="BA16" s="1034"/>
      <c r="BB16" s="19" t="s">
        <v>897</v>
      </c>
      <c r="BC16" s="19"/>
      <c r="BD16" s="19" t="str">
        <v>AUTO-COL-OIL-CAM5</v>
      </c>
      <c r="BE16" s="19" t="str">
        <v>FUEL-GAS-CAM3</v>
      </c>
      <c r="BF16" s="19" t="str">
        <f t="shared" ref="BF16:BF17" si="7">+BF15</f>
        <v>ELC-COL-CAM5</v>
      </c>
      <c r="BG16" s="19">
        <v>0.35</v>
      </c>
      <c r="BH16" s="19"/>
      <c r="BI16" s="19" t="str">
        <v>AUTO-COL-OIL-CAM5</v>
      </c>
      <c r="BJ16" s="370">
        <v>0.1141217703936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+DT13</f>
        <v>ELC-O-COL-CAM4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+BF16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4"/>
        <v>FTE-FUEL-OIL-CAM2</v>
      </c>
      <c r="AR17" t="str">
        <v>FUEL-OIL-CAM2</v>
      </c>
      <c r="AS17" s="228">
        <v>1</v>
      </c>
      <c r="AT17" s="19"/>
      <c r="AU17" s="916" t="str">
        <f>PROCESS!N119</f>
        <v>AUTO-OIL-CAM3</v>
      </c>
      <c r="AV17" t="str">
        <f>AR18</f>
        <v>FUEL-OIL-CAM3</v>
      </c>
      <c r="AW17" s="916" t="str">
        <f>COMM!$D$65</f>
        <v>ELC-CAM3</v>
      </c>
      <c r="AX17" s="1032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v>AUTO-COL-DSL-CAM5</v>
      </c>
      <c r="BE17" s="19" t="str">
        <v>FUEL-OIL-CAM3</v>
      </c>
      <c r="BF17" s="19" t="str">
        <f t="shared" si="7"/>
        <v>ELC-COL-CAM5</v>
      </c>
      <c r="BG17" s="19">
        <v>0.35</v>
      </c>
      <c r="BH17" s="19"/>
      <c r="BI17" s="19" t="str">
        <v>AUTO-COL-DSL-CAM5</v>
      </c>
      <c r="BJ17" s="370">
        <v>0.21397831948799997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</row>
    <row r="18" spans="2:129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4"/>
        <v>FTE-FUEL-OIL-CAM3</v>
      </c>
      <c r="AR18" t="str">
        <v>FUEL-OIL-CAM3</v>
      </c>
      <c r="AS18" s="228">
        <v>1</v>
      </c>
      <c r="AT18" s="19"/>
      <c r="AU18" s="916" t="str">
        <f>PROCESS!N120</f>
        <v>AUTO-DSL-CAM3</v>
      </c>
      <c r="AV18" t="str">
        <f>AR11</f>
        <v>FUEL-DSL-CAM3</v>
      </c>
      <c r="AW18" s="916" t="str">
        <f>COMM!$D$65</f>
        <v>ELC-CAM3</v>
      </c>
      <c r="AX18" s="1032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v>AUTO-COL-GAS-CAM6</v>
      </c>
      <c r="BE18" s="19" t="str">
        <v>FUEL-DSL-CAM3</v>
      </c>
      <c r="BF18" s="19" t="str">
        <f>+COMM!D103</f>
        <v>ELC-COL-CAM6</v>
      </c>
      <c r="BG18" s="19">
        <f t="array" ref="BG18:BG20">+TRANSPOSE('5. Data'!U225:W225)</f>
        <v>0.35</v>
      </c>
      <c r="BH18" s="19"/>
      <c r="BI18" s="19" t="str">
        <v>AUTO-COL-GAS-CAM6</v>
      </c>
      <c r="BJ18" s="370">
        <f t="array" ref="BJ18:BJ20">+TRANSPOSE('5. Data'!Z225:AB225)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+DT13</f>
        <v>ELC-O-COL-CAM4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+BF20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x14ac:dyDescent="0.25">
      <c r="B19" s="11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4"/>
        <v>FTE-FUEL-OIL-CAM4</v>
      </c>
      <c r="AR19" t="str">
        <v>FUEL-OIL-CAM4</v>
      </c>
      <c r="AS19" s="228">
        <v>1</v>
      </c>
      <c r="AT19" s="19"/>
      <c r="AU19" s="1005" t="str">
        <f t="array" ref="AU19:AU30">+PROCESS!N122:N133</f>
        <v>AUTO-GAS-CAM4</v>
      </c>
      <c r="AV19" s="716" t="str">
        <f>AR27</f>
        <v>FUEL-GAS-CAM4</v>
      </c>
      <c r="AW19" s="1005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v>AUTO-COL-OIL-CAM6</v>
      </c>
      <c r="BE19" s="19" t="str">
        <v>FUEL-GAS-CAM4</v>
      </c>
      <c r="BF19" s="19" t="str">
        <f t="shared" ref="BF19:BF20" si="8">+BF18</f>
        <v>ELC-COL-CAM6</v>
      </c>
      <c r="BG19" s="19">
        <v>0.35</v>
      </c>
      <c r="BH19" s="19"/>
      <c r="BI19" s="19" t="str">
        <v>AUTO-COL-OIL-CAM6</v>
      </c>
      <c r="BJ19" s="370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x14ac:dyDescent="0.25">
      <c r="B20" s="11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4"/>
        <v>FTE-FUEL-OIL-CAM5</v>
      </c>
      <c r="AR20" t="str">
        <v>FUEL-OIL-CAM5</v>
      </c>
      <c r="AS20" s="228">
        <v>1</v>
      </c>
      <c r="AT20" s="1"/>
      <c r="AU20" s="1005" t="str">
        <v>AUTO-OIL-CAM4</v>
      </c>
      <c r="AV20" s="716" t="str">
        <f>AR19</f>
        <v>FUEL-OIL-CAM4</v>
      </c>
      <c r="AW20" s="1005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v>AUTO-COL-DSL-CAM6</v>
      </c>
      <c r="BE20" s="19" t="str">
        <v>FUEL-OIL-CAM4</v>
      </c>
      <c r="BF20" s="19" t="str">
        <f t="shared" si="8"/>
        <v>ELC-COL-CAM6</v>
      </c>
      <c r="BG20" s="19">
        <v>0.35</v>
      </c>
      <c r="BH20" s="19"/>
      <c r="BI20" s="19" t="str">
        <v>AUTO-COL-DSL-CAM6</v>
      </c>
      <c r="BJ20" s="370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25">
      <c r="B21" s="11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4"/>
        <v>FTE-FUEL-OIL-CAM6</v>
      </c>
      <c r="AR21" t="str">
        <v>FUEL-OIL-CAM6</v>
      </c>
      <c r="AS21" s="228">
        <v>1</v>
      </c>
      <c r="AT21" s="1"/>
      <c r="AU21" s="1005" t="str">
        <v>AUTO-DSL-CAM4</v>
      </c>
      <c r="AV21" s="344" t="str">
        <f>AR12</f>
        <v>FUEL-DSL-CAM4</v>
      </c>
      <c r="AW21" s="1005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v>AUTO-COL-GAS-CAM7</v>
      </c>
      <c r="BE21" s="19" t="str">
        <v>FUEL-DSL-CAM4</v>
      </c>
      <c r="BF21" s="19" t="str">
        <f>+COMM!D104</f>
        <v>ELC-COL-CAM7</v>
      </c>
      <c r="BG21" s="19">
        <f t="array" ref="BG21:BG23">+TRANSPOSE('5. Data'!U226:W226)</f>
        <v>0.35</v>
      </c>
      <c r="BH21" s="19"/>
      <c r="BI21" s="19" t="str">
        <v>AUTO-COL-GAS-CAM7</v>
      </c>
      <c r="BJ21" s="370">
        <f t="array" ref="BJ21:BJ23">+TRANSPOSE('5. Data'!Z226:AB226)</f>
        <v>3.1700491776000001E-3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978</v>
      </c>
      <c r="DR21" s="337" t="s">
        <v>272</v>
      </c>
      <c r="DS21" s="337" t="s">
        <v>806</v>
      </c>
      <c r="DT21" s="337" t="s">
        <v>978</v>
      </c>
      <c r="DW21" s="337" t="s">
        <v>272</v>
      </c>
      <c r="DX21" s="337" t="s">
        <v>806</v>
      </c>
      <c r="DY21" s="337" t="s">
        <v>978</v>
      </c>
    </row>
    <row r="22" spans="2:129" ht="15.75" customHeight="1" x14ac:dyDescent="0.25">
      <c r="B22" s="11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4"/>
        <v>FTE-FUEL-OIL-CAM7</v>
      </c>
      <c r="AR22" t="str">
        <v>FUEL-OIL-CAM7</v>
      </c>
      <c r="AS22" s="228">
        <v>1</v>
      </c>
      <c r="AT22" s="1"/>
      <c r="AU22" s="1005" t="str">
        <v>AUTO-GAS-CAM5</v>
      </c>
      <c r="AV22" s="716" t="str">
        <f>AR28</f>
        <v>FUEL-GAS-CAM5</v>
      </c>
      <c r="AW22" s="1005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v>AUTO-COL-OIL-CAM7</v>
      </c>
      <c r="BE22" s="19" t="str">
        <v>FUEL-GAS-CAM5</v>
      </c>
      <c r="BF22" s="19" t="str">
        <f t="shared" ref="BF22:BF23" si="9">+BF21</f>
        <v>ELC-COL-CAM7</v>
      </c>
      <c r="BG22" s="19">
        <v>0.35</v>
      </c>
      <c r="BH22" s="19"/>
      <c r="BI22" s="19" t="str">
        <v>AUTO-COL-OIL-CAM7</v>
      </c>
      <c r="BJ22" s="370">
        <v>1.26801967104E-2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1496</v>
      </c>
      <c r="DO22" s="222">
        <f>+'3. Scope3'!$G$19</f>
        <v>46.111111111111114</v>
      </c>
      <c r="DR22" s="12" t="str">
        <f t="array" ref="DR22:DR27">+DR9:DR14</f>
        <v>COMPRA-ELC-COLO-CAM1</v>
      </c>
      <c r="DS22" s="12" t="s">
        <v>1496</v>
      </c>
      <c r="DT22" s="222">
        <f>+'3. Scope3'!$G$19</f>
        <v>46.111111111111114</v>
      </c>
      <c r="DW22" s="12" t="str">
        <f t="array" ref="DW22:DW27">+DW9:DW14</f>
        <v>COMPRA-ELC-COLG-CAM1</v>
      </c>
      <c r="DX22" s="12" t="s">
        <v>1496</v>
      </c>
      <c r="DY22" s="222">
        <f>+'3. Scope3'!$G$19</f>
        <v>46.111111111111114</v>
      </c>
    </row>
    <row r="23" spans="2:129" ht="15.75" customHeight="1" x14ac:dyDescent="0.25">
      <c r="B23" s="11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1006" t="s">
        <v>22</v>
      </c>
      <c r="AP23" s="228"/>
      <c r="AQ23" s="228" t="str">
        <f t="shared" si="4"/>
        <v>FTE-FUEL-LPG-CAM2</v>
      </c>
      <c r="AR23" s="12" t="str">
        <f>COMM!D94</f>
        <v>FUEL-LPG-CAM2</v>
      </c>
      <c r="AS23" s="228">
        <v>1</v>
      </c>
      <c r="AT23" s="1"/>
      <c r="AU23" s="1005" t="str">
        <v>AUTO-OIL-CAM5</v>
      </c>
      <c r="AV23" s="344" t="str">
        <f>AR20</f>
        <v>FUEL-OIL-CAM5</v>
      </c>
      <c r="AW23" s="1005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v>AUTO-COL-DSL-CAM7</v>
      </c>
      <c r="BE23" s="19" t="str">
        <v>FUEL-OIL-CAM5</v>
      </c>
      <c r="BF23" s="19" t="str">
        <f t="shared" si="9"/>
        <v>ELC-COL-CAM7</v>
      </c>
      <c r="BG23" s="19">
        <v>0.35</v>
      </c>
      <c r="BH23" s="19"/>
      <c r="BI23" s="19" t="str">
        <v>AUTO-COL-DSL-CAM7</v>
      </c>
      <c r="BJ23" s="370">
        <v>2.3775368831999998E-2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1491</v>
      </c>
      <c r="CR23" s="305"/>
      <c r="CT23" s="116"/>
      <c r="DB23" s="1"/>
      <c r="DJ23" s="655"/>
      <c r="DL23" s="116"/>
      <c r="DM23" s="12" t="str">
        <f t="shared" ref="DM23:DM27" si="10">+(DM10)</f>
        <v>COMPRA-ELC-CAM2-CAM3</v>
      </c>
      <c r="DN23" s="12" t="str">
        <f>+COMM!AK30</f>
        <v>CO2e-CAM2-CAM3</v>
      </c>
      <c r="DO23" s="222">
        <f>+'3. Scope3'!$G$19</f>
        <v>46.111111111111114</v>
      </c>
      <c r="DR23" s="12" t="str">
        <v>COMPRA-ELC-COLO-CAM2-CAM3</v>
      </c>
      <c r="DS23" s="12" t="str">
        <f>+DN23</f>
        <v>CO2e-CAM2-CAM3</v>
      </c>
      <c r="DT23" s="222">
        <f>+'3. Scope3'!$G$19</f>
        <v>46.111111111111114</v>
      </c>
      <c r="DW23" s="12" t="str">
        <v>COMPRA-ELC-COLG-CAM2-CAM3</v>
      </c>
      <c r="DX23" s="12" t="str">
        <f>+DS23</f>
        <v>CO2e-CAM2-CAM3</v>
      </c>
      <c r="DY23" s="222">
        <f>+'3. Scope3'!$G$19</f>
        <v>46.111111111111114</v>
      </c>
    </row>
    <row r="24" spans="2:129" ht="15.75" customHeight="1" x14ac:dyDescent="0.25">
      <c r="B24" s="11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1005" t="str">
        <v>AUTO-DSL-CAM5</v>
      </c>
      <c r="AV24" s="344" t="str">
        <f>AR13</f>
        <v>FUEL-DSL-CAM5</v>
      </c>
      <c r="AW24" s="1005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/>
      <c r="BE24" s="19"/>
      <c r="BF24" s="19"/>
      <c r="BG24" s="19"/>
      <c r="BH24" s="19"/>
      <c r="BI24" s="1">
        <f>+BD29</f>
        <v>0</v>
      </c>
      <c r="BJ24" s="370">
        <f t="array" ref="BJ24:BJ26">+TRANSPOSE('5. Data'!Z221:AB221)</f>
        <v>8.5591327795199984E-2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0"/>
        <v>COMPRA-ELC-CAM2</v>
      </c>
      <c r="DN24" s="12" t="s">
        <v>68</v>
      </c>
      <c r="DO24" s="222">
        <f>+'3. Scope3'!$G$19</f>
        <v>46.111111111111114</v>
      </c>
      <c r="DR24" s="12" t="str">
        <v>COMPRA-ELC-COLO-CAM2</v>
      </c>
      <c r="DS24" s="12" t="s">
        <v>68</v>
      </c>
      <c r="DT24" s="222">
        <f>+'3. Scope3'!$G$19</f>
        <v>46.111111111111114</v>
      </c>
      <c r="DW24" s="12" t="str">
        <v>COMPRA-ELC-COLG-CAM2</v>
      </c>
      <c r="DX24" s="12" t="s">
        <v>68</v>
      </c>
      <c r="DY24" s="222">
        <f>+'3. Scope3'!$G$19</f>
        <v>46.111111111111114</v>
      </c>
    </row>
    <row r="25" spans="2:129" ht="15.75" customHeight="1" x14ac:dyDescent="0.25">
      <c r="B25" s="11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1005" t="str">
        <v>AUTO-GAS-CAM6</v>
      </c>
      <c r="AV25" s="716" t="str">
        <f>AR29</f>
        <v>FUEL-GAS-CAM6</v>
      </c>
      <c r="AW25" s="1005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/>
      <c r="BE25" s="19"/>
      <c r="BF25" s="19"/>
      <c r="BG25" s="19"/>
      <c r="BH25" s="19"/>
      <c r="BI25" s="1">
        <f>+BD31</f>
        <v>0</v>
      </c>
      <c r="BJ25" s="370">
        <v>0.34236531118079994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974</v>
      </c>
      <c r="DB25" s="1"/>
      <c r="DC25" s="334" t="s">
        <v>272</v>
      </c>
      <c r="DD25" s="678" t="s">
        <v>805</v>
      </c>
      <c r="DE25" s="371" t="s">
        <v>974</v>
      </c>
      <c r="DJ25" s="655"/>
      <c r="DL25" s="116"/>
      <c r="DM25" s="12" t="str">
        <f t="shared" si="10"/>
        <v>COMPRA-ELC-CAM3</v>
      </c>
      <c r="DN25" s="12" t="s">
        <v>71</v>
      </c>
      <c r="DO25" s="222">
        <f>+'3. Scope3'!$G$19</f>
        <v>46.111111111111114</v>
      </c>
      <c r="DR25" s="12" t="str">
        <v>COMPRA-ELC-COLO-CAM3</v>
      </c>
      <c r="DS25" s="12" t="s">
        <v>71</v>
      </c>
      <c r="DT25" s="222">
        <f>+'3. Scope3'!$G$19</f>
        <v>46.111111111111114</v>
      </c>
      <c r="DW25" s="12" t="str">
        <v>COMPRA-ELC-COLG-CAM3</v>
      </c>
      <c r="DX25" s="12" t="s">
        <v>71</v>
      </c>
      <c r="DY25" s="222">
        <f>+'3. Scope3'!$G$19</f>
        <v>46.111111111111114</v>
      </c>
    </row>
    <row r="26" spans="2:129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1005" t="str">
        <v>AUTO-OIL-CAM6</v>
      </c>
      <c r="AV26" s="344" t="str">
        <f>AR21</f>
        <v>FUEL-OIL-CAM6</v>
      </c>
      <c r="AW26" s="1005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/>
      <c r="BE26" s="19"/>
      <c r="BF26" s="19"/>
      <c r="BG26" s="19"/>
      <c r="BH26" s="19"/>
      <c r="BI26" s="1">
        <f>+BD33</f>
        <v>0</v>
      </c>
      <c r="BJ26" s="370">
        <v>0.32096747923199992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:CV27" si="11">+DY9</f>
        <v>ELC-G-COL-CAM1</v>
      </c>
      <c r="CW26" s="266">
        <v>1.1268327155444839E-2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0"/>
        <v>COMPRA-ELC-CAM4</v>
      </c>
      <c r="DN26" s="12" t="s">
        <v>73</v>
      </c>
      <c r="DO26" s="222">
        <f>+'3. Scope3'!$G$19</f>
        <v>46.111111111111114</v>
      </c>
      <c r="DR26" s="12" t="str">
        <v>COMPRA-ELC-COLO-CAM4</v>
      </c>
      <c r="DS26" s="12" t="s">
        <v>73</v>
      </c>
      <c r="DT26" s="222">
        <f>+'3. Scope3'!$G$19</f>
        <v>46.111111111111114</v>
      </c>
      <c r="DW26" s="12" t="str">
        <v>COMPRA-ELC-COLG-CAM4</v>
      </c>
      <c r="DX26" s="12" t="s">
        <v>73</v>
      </c>
      <c r="DY26" s="222">
        <f>+'3. Scope3'!$G$19</f>
        <v>46.111111111111114</v>
      </c>
    </row>
    <row r="27" spans="2:129" ht="15.75" customHeight="1" x14ac:dyDescent="0.25">
      <c r="B27" s="11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1005" t="str">
        <v>AUTO-DSL-CAM6</v>
      </c>
      <c r="AV27" s="344" t="str">
        <f>AR14</f>
        <v>FUEL-DSL-CAM6</v>
      </c>
      <c r="AW27" s="1005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031"/>
      <c r="BE27" s="874"/>
      <c r="BF27" s="874"/>
      <c r="BG27" s="874"/>
      <c r="BH27" s="1"/>
      <c r="BI27" s="1"/>
      <c r="BJ27" s="1"/>
      <c r="BK27" s="19"/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2">+(CY10)</f>
        <v>COLELC-GAS-CAM2</v>
      </c>
      <c r="CV27" s="11" t="str">
        <f t="shared" si="11"/>
        <v>ELC-G-COL-CAM2-CAM3</v>
      </c>
      <c r="CW27" s="266">
        <v>1.1268327155444867E-2</v>
      </c>
      <c r="CZ27" s="14"/>
      <c r="DA27" s="14" t="s">
        <v>480</v>
      </c>
      <c r="DB27" s="2"/>
      <c r="DC27" s="12" t="str">
        <f t="shared" ref="DC27:DC32" si="13">+(DG10)</f>
        <v>COLFUEL-GAS-CAM2</v>
      </c>
      <c r="DD27" s="12">
        <f>+BF29</f>
        <v>0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0"/>
        <v>COMPRA-ELC-CAM5</v>
      </c>
      <c r="DN27" s="12" t="s">
        <v>76</v>
      </c>
      <c r="DO27" s="222">
        <f>+'3. Scope3'!$G$19</f>
        <v>46.111111111111114</v>
      </c>
      <c r="DR27" s="12" t="str">
        <v>COMPRA-ELC-COLO-CAM5</v>
      </c>
      <c r="DS27" s="12" t="s">
        <v>76</v>
      </c>
      <c r="DT27" s="222">
        <f>+'3. Scope3'!$G$19</f>
        <v>46.111111111111114</v>
      </c>
      <c r="DW27" s="12" t="str">
        <v>COMPRA-ELC-COLG-CAM5</v>
      </c>
      <c r="DX27" s="12" t="s">
        <v>76</v>
      </c>
      <c r="DY27" s="222">
        <f>+'3. Scope3'!$G$19</f>
        <v>46.111111111111114</v>
      </c>
    </row>
    <row r="28" spans="2:129" ht="15.75" customHeight="1" x14ac:dyDescent="0.25">
      <c r="B28" s="11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1005" t="str">
        <v>AUTO-GAS-CAM7</v>
      </c>
      <c r="AV28" s="716" t="str">
        <f>AR30</f>
        <v>FUEL-GAS-CAM7</v>
      </c>
      <c r="AW28" s="1005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036"/>
      <c r="BE28" s="1036"/>
      <c r="BF28" s="1037"/>
      <c r="BG28" s="1038"/>
      <c r="BH28" s="1"/>
      <c r="BI28" s="1"/>
      <c r="BJ28" s="1"/>
      <c r="BK28" s="1"/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2"/>
        <v>COLELC-GAS-CAM3</v>
      </c>
      <c r="CV28" s="11" t="str">
        <f>+CV27</f>
        <v>ELC-G-COL-CAM2-CAM3</v>
      </c>
      <c r="CW28" s="266">
        <v>1.1268327155444839E-2</v>
      </c>
      <c r="CZ28" s="14" t="s">
        <v>1495</v>
      </c>
      <c r="DA28" s="365">
        <v>55.539114956987063</v>
      </c>
      <c r="DB28" s="573"/>
      <c r="DC28" s="12" t="str">
        <f t="shared" si="13"/>
        <v>COLFUEL-GAS-CAM3</v>
      </c>
      <c r="DD28" s="12">
        <f>+DD27</f>
        <v>0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O28" s="222"/>
    </row>
    <row r="29" spans="2:129" ht="15.75" customHeight="1" x14ac:dyDescent="0.25">
      <c r="B29" s="11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1005" t="str">
        <v>AUTO-OIL-CAM7</v>
      </c>
      <c r="AV29" s="344" t="str">
        <f>AR22</f>
        <v>FUEL-OIL-CAM7</v>
      </c>
      <c r="AW29" s="1005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874"/>
      <c r="BE29" s="1023"/>
      <c r="BF29" s="1023"/>
      <c r="BG29" s="1024"/>
      <c r="BH29" s="1"/>
      <c r="BI29" s="1"/>
      <c r="BJ29" s="370"/>
      <c r="BK29" s="1"/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2"/>
        <v>COLELC-GAS-CAM4</v>
      </c>
      <c r="CV29" s="11" t="str">
        <f t="shared" ref="CV29:CV32" si="14">+DY11</f>
        <v>ELC-O-COL-CAM2</v>
      </c>
      <c r="CW29" s="266">
        <v>1.1268327155444839E-2</v>
      </c>
      <c r="DB29" s="1"/>
      <c r="DC29" s="12" t="str">
        <f t="shared" si="13"/>
        <v>COLFUEL-GAS-CAM4</v>
      </c>
      <c r="DD29" s="11" t="str">
        <f>+BF14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1005" t="str">
        <v>AUTO-DSL-CAM7</v>
      </c>
      <c r="AV30" s="344" t="str">
        <f>AR15</f>
        <v>FUEL-DSL-CAM7</v>
      </c>
      <c r="AW30" s="1005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D30" s="874"/>
      <c r="BE30" s="1025"/>
      <c r="BF30" s="1023"/>
      <c r="BG30" s="1026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2"/>
        <v>COLELC-GAS-CAM5</v>
      </c>
      <c r="CV30" s="11" t="str">
        <f t="shared" si="14"/>
        <v>ELC-O-COL-CAM3</v>
      </c>
      <c r="CW30" s="266">
        <v>1.1268327155444839E-2</v>
      </c>
      <c r="DB30" s="1"/>
      <c r="DC30" s="12" t="str">
        <f t="shared" si="13"/>
        <v>COLFUEL-GAS-CAM5</v>
      </c>
      <c r="DD30" s="11" t="str">
        <f>+BF17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1022"/>
      <c r="AV31" s="1025"/>
      <c r="AW31" s="1023"/>
      <c r="AX31" s="1024"/>
      <c r="AY31" s="1"/>
      <c r="AZ31" s="1"/>
      <c r="BA31" s="1"/>
      <c r="BB31" s="1"/>
      <c r="BC31" s="1"/>
      <c r="BD31" s="874"/>
      <c r="BE31" s="1025"/>
      <c r="BF31" s="1023"/>
      <c r="BG31" s="1024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2"/>
        <v>COLELC-GAS-CAM6</v>
      </c>
      <c r="CV31" s="11" t="str">
        <f t="shared" si="14"/>
        <v>ELC-G-COL-CAM4</v>
      </c>
      <c r="CW31" s="266">
        <v>1.1268327155444839E-2</v>
      </c>
      <c r="DB31" s="1"/>
      <c r="DC31" s="12" t="str">
        <f t="shared" si="13"/>
        <v>COLFUEL-GAS-CAM6</v>
      </c>
      <c r="DD31" s="11" t="str">
        <f>+BF19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1025"/>
      <c r="AW32" s="1023"/>
      <c r="AX32" s="1026"/>
      <c r="AY32" s="1"/>
      <c r="AZ32" s="1"/>
      <c r="BA32" s="1"/>
      <c r="BB32" s="1"/>
      <c r="BC32" s="1"/>
      <c r="BD32" s="874"/>
      <c r="BE32" s="1025"/>
      <c r="BF32" s="1023"/>
      <c r="BG32" s="1026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2"/>
        <v>COLELC-GAS-CAM7</v>
      </c>
      <c r="CV32" s="11" t="str">
        <f t="shared" si="14"/>
        <v>ELC-G-COL-CAM5</v>
      </c>
      <c r="CW32" s="266">
        <v>1.1268327155444839E-2</v>
      </c>
      <c r="DB32" s="1"/>
      <c r="DC32" s="12" t="str">
        <f t="shared" si="13"/>
        <v>COLFUEL-GAS-CAM7</v>
      </c>
      <c r="DD32" s="11" t="str">
        <f>+BF22</f>
        <v>ELC-COL-CAM7</v>
      </c>
      <c r="DE32" s="266">
        <f>+'5. Data'!N189/('5. Data'!N189+1)</f>
        <v>2.0955992415926552E-3</v>
      </c>
      <c r="DJ32" s="655"/>
      <c r="DL32" s="116"/>
      <c r="DM32" t="s">
        <v>1567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1022"/>
      <c r="AV33" s="1027"/>
      <c r="AW33" s="1023"/>
      <c r="AX33" s="1024"/>
      <c r="AY33" s="1"/>
      <c r="AZ33" s="1"/>
      <c r="BA33" s="1"/>
      <c r="BB33" s="1"/>
      <c r="BC33" s="1"/>
      <c r="BD33" s="874"/>
      <c r="BE33" s="1027"/>
      <c r="BF33" s="1023"/>
      <c r="BG33" s="1024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1568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1039</v>
      </c>
    </row>
    <row r="34" spans="2:123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1025"/>
      <c r="AW34" s="1023"/>
      <c r="AX34" s="1026"/>
      <c r="AY34" s="1"/>
      <c r="AZ34" s="1"/>
      <c r="BA34" s="1"/>
      <c r="BB34" s="1"/>
      <c r="BC34" s="1"/>
      <c r="BD34" s="874"/>
      <c r="BE34" s="1025"/>
      <c r="BF34" s="1023"/>
      <c r="BG34" s="1026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1569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EXP_IMP'!I66</f>
        <v>IMP-SIN</v>
      </c>
      <c r="DS34" s="811">
        <f>+DP35</f>
        <v>7.7708377368000008</v>
      </c>
    </row>
    <row r="35" spans="2:123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1022"/>
      <c r="AV35" s="874"/>
      <c r="AW35" s="874"/>
      <c r="AX35" s="1028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</row>
    <row r="36" spans="2:123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1029"/>
      <c r="AX36" s="1030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1029"/>
      <c r="AX37" s="1030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1570</v>
      </c>
      <c r="DN37">
        <v>725000</v>
      </c>
      <c r="DO37" t="s">
        <v>1573</v>
      </c>
    </row>
    <row r="38" spans="2:123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1029"/>
      <c r="AX38" s="1030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1571</v>
      </c>
    </row>
    <row r="39" spans="2:123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1572</v>
      </c>
      <c r="DN39">
        <v>168813</v>
      </c>
      <c r="DO39" t="s">
        <v>539</v>
      </c>
    </row>
    <row r="40" spans="2:123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1012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1008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1021">
        <f>AO76</f>
        <v>77.841777688967127</v>
      </c>
      <c r="AQ44" s="362">
        <f>$AO$75</f>
        <v>55.539114956987063</v>
      </c>
      <c r="AR44" s="362"/>
      <c r="AS44" s="362"/>
      <c r="AT44" s="362"/>
      <c r="AU44" s="1008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U45" s="1009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U46" s="1009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U47" s="1009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1013"/>
      <c r="AT48" s="1013"/>
      <c r="AV48" s="1007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15">+AO44</f>
        <v>75.166375708662926</v>
      </c>
      <c r="AP49" s="1021">
        <f>$AP$44</f>
        <v>77.841777688967127</v>
      </c>
      <c r="AQ49" s="1014">
        <f>$AQ$44</f>
        <v>55.539114956987063</v>
      </c>
      <c r="AR49" s="1015">
        <f>'3. Scope3'!H26</f>
        <v>47.28933824683137</v>
      </c>
      <c r="AS49" s="1013"/>
      <c r="AT49" s="1013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1012"/>
      <c r="AR50" s="1012"/>
      <c r="AS50" s="1016"/>
      <c r="AT50" s="1016"/>
      <c r="AU50" s="101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U51" s="1009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1015"/>
      <c r="AS52" s="1015"/>
      <c r="AT52" s="1015"/>
      <c r="AU52" s="1015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16">+AO44</f>
        <v>75.166375708662926</v>
      </c>
      <c r="AP53" s="1021">
        <f>$AP$44</f>
        <v>77.841777688967127</v>
      </c>
      <c r="AQ53" s="1014">
        <f>$AQ$44</f>
        <v>55.539114956987063</v>
      </c>
      <c r="AR53" s="1015"/>
      <c r="AS53" s="1013"/>
      <c r="AT53" s="1013"/>
      <c r="AU53" s="1010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1012"/>
      <c r="AR54" s="1012"/>
      <c r="AS54" s="1016"/>
      <c r="AT54" s="1016"/>
      <c r="AU54" s="1016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1016"/>
      <c r="AT55" s="1016"/>
      <c r="AU55" s="1016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1017"/>
      <c r="AS56" s="1016"/>
      <c r="AT56" s="1016"/>
      <c r="AU56" s="1016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17">+AO44</f>
        <v>75.166375708662926</v>
      </c>
      <c r="AP57" s="1021">
        <f>$AP$44</f>
        <v>77.841777688967127</v>
      </c>
      <c r="AQ57" s="1014">
        <f>$AQ$44</f>
        <v>55.539114956987063</v>
      </c>
      <c r="AR57" s="1013"/>
      <c r="AS57" s="1016"/>
      <c r="AT57" s="1016"/>
      <c r="AU57" s="1016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1012"/>
      <c r="AR58" s="1016"/>
      <c r="AS58" s="1016"/>
      <c r="AT58" s="1016"/>
      <c r="AU58" s="1016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1019"/>
      <c r="AS59" s="1016"/>
      <c r="AT59" s="1016"/>
      <c r="AU59" s="1016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1017"/>
      <c r="AS60" s="1016"/>
      <c r="AT60" s="1016"/>
      <c r="AU60" s="1016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18">+AO44</f>
        <v>75.166375708662926</v>
      </c>
      <c r="AP61" s="1021">
        <f>$AP$44</f>
        <v>77.841777688967127</v>
      </c>
      <c r="AQ61" s="1014">
        <f>+AQ44</f>
        <v>55.539114956987063</v>
      </c>
      <c r="AR61" s="1013"/>
      <c r="AS61" s="1016"/>
      <c r="AT61" s="1016"/>
      <c r="AU61" s="1016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1012"/>
      <c r="AR62" s="1016"/>
      <c r="AS62" s="1016"/>
      <c r="AT62" s="1016"/>
      <c r="AU62" s="1016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1019"/>
      <c r="AS63" s="1016"/>
      <c r="AT63" s="1016"/>
      <c r="AU63" s="1016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1017"/>
      <c r="AS64" s="1016"/>
      <c r="AT64" s="1016"/>
      <c r="AU64" s="1016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19">+AO44</f>
        <v>75.166375708662926</v>
      </c>
      <c r="AP65" s="1021">
        <f>$AP$44</f>
        <v>77.841777688967127</v>
      </c>
      <c r="AQ65" s="1014">
        <f>$AQ$44</f>
        <v>55.539114956987063</v>
      </c>
      <c r="AR65" s="1013"/>
      <c r="AS65" s="1016"/>
      <c r="AT65" s="1016"/>
      <c r="AU65" s="1016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1019"/>
      <c r="AS66" s="1016"/>
      <c r="AT66" s="1016"/>
      <c r="AU66" s="1016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1019"/>
      <c r="AS67" s="1019"/>
      <c r="AT67" s="1019"/>
      <c r="AU67" s="1020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1019"/>
      <c r="AS68" s="1019"/>
      <c r="AT68" s="1019"/>
      <c r="AU68" s="1020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1017"/>
      <c r="AS69" s="1017"/>
      <c r="AT69" s="1017"/>
      <c r="AU69" s="1018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1021">
        <f>$AP$44</f>
        <v>77.841777688967127</v>
      </c>
      <c r="AQ70" s="1014">
        <f>$AQ$44</f>
        <v>55.539114956987063</v>
      </c>
      <c r="AR70" s="1013"/>
      <c r="AS70" s="1013"/>
      <c r="AT70" s="1013"/>
      <c r="AU70" s="1010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1019"/>
      <c r="AS71" s="1019"/>
      <c r="AT71" s="1019"/>
      <c r="AU71" s="1020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U72" s="1009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U73" s="91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1497</v>
      </c>
      <c r="AP74" s="866"/>
      <c r="AQ74" s="866"/>
      <c r="AR74" s="1012"/>
      <c r="AS74" s="1016"/>
      <c r="AT74" s="1016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1012"/>
      <c r="AS75" s="1016"/>
      <c r="AT75" s="1016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1012"/>
      <c r="AS76" s="1016"/>
      <c r="AT76" s="1016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1012"/>
      <c r="AS77" s="1016"/>
      <c r="AT77" s="1016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1012"/>
      <c r="AS78" s="1016"/>
      <c r="AT78" s="1016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1012"/>
      <c r="AS79" s="1016"/>
      <c r="AT79" s="1016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1012"/>
      <c r="AS80" s="1016"/>
      <c r="AT80" s="1016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1012"/>
      <c r="AQ81" s="1016"/>
      <c r="AR81" s="1016"/>
      <c r="AS81" s="1016"/>
      <c r="AT81" s="1012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1012"/>
      <c r="AQ82" s="1016"/>
      <c r="AR82" s="1016"/>
      <c r="AS82" s="1016"/>
      <c r="AT82" s="1012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1012"/>
      <c r="AQ83" s="1016"/>
      <c r="AR83" s="1016"/>
      <c r="AS83" s="1016"/>
      <c r="AT83" s="1012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1012"/>
      <c r="AQ84" s="1016"/>
      <c r="AR84" s="1016"/>
      <c r="AS84" s="1016"/>
      <c r="AT84" s="1012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1012"/>
      <c r="AQ85" s="1016"/>
      <c r="AR85" s="1016"/>
      <c r="AS85" s="1016"/>
      <c r="AT85" s="1012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C3:H3"/>
    <mergeCell ref="L3:W3"/>
    <mergeCell ref="AE3:AK3"/>
    <mergeCell ref="AN3:BL3"/>
    <mergeCell ref="BO3:BV3"/>
    <mergeCell ref="CC3:CP3"/>
    <mergeCell ref="CU3:DA3"/>
    <mergeCell ref="AU5:BB5"/>
    <mergeCell ref="BO5:BQ5"/>
    <mergeCell ref="CC5:CI5"/>
    <mergeCell ref="CK5:CQ5"/>
    <mergeCell ref="CU5:DB5"/>
    <mergeCell ref="DF5:DI5"/>
    <mergeCell ref="L5:O5"/>
    <mergeCell ref="Q5:S5"/>
    <mergeCell ref="U5:V5"/>
    <mergeCell ref="Y5:AA5"/>
    <mergeCell ref="AE5:AG5"/>
    <mergeCell ref="AI5:AK5"/>
    <mergeCell ref="AN5:AP5"/>
  </mergeCells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5"/>
      <c r="I6" s="1"/>
      <c r="J6" s="972" t="s">
        <v>1499</v>
      </c>
      <c r="K6" s="971"/>
      <c r="L6" s="961"/>
      <c r="M6" s="727" t="s">
        <v>1500</v>
      </c>
      <c r="N6" s="726"/>
      <c r="O6" s="1"/>
      <c r="P6" s="725"/>
      <c r="Q6" s="1"/>
      <c r="R6" s="972" t="s">
        <v>1501</v>
      </c>
      <c r="S6" s="971"/>
      <c r="T6" s="961"/>
      <c r="U6" s="727" t="s">
        <v>1502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28" t="s">
        <v>1503</v>
      </c>
      <c r="E7" s="729" t="s">
        <v>1504</v>
      </c>
      <c r="F7" s="730" t="s">
        <v>1500</v>
      </c>
      <c r="G7" s="1"/>
      <c r="H7" s="725"/>
      <c r="I7" s="538"/>
      <c r="J7" s="731" t="s">
        <v>1414</v>
      </c>
      <c r="K7" s="732" t="s">
        <v>1505</v>
      </c>
      <c r="L7" s="733" t="s">
        <v>920</v>
      </c>
      <c r="M7" s="734" t="s">
        <v>920</v>
      </c>
      <c r="N7" s="726"/>
      <c r="O7" s="1"/>
      <c r="P7" s="725"/>
      <c r="Q7" s="538"/>
      <c r="R7" s="731" t="s">
        <v>1414</v>
      </c>
      <c r="S7" s="732" t="s">
        <v>1505</v>
      </c>
      <c r="T7" s="733" t="s">
        <v>920</v>
      </c>
      <c r="U7" s="734" t="s">
        <v>920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5" t="s">
        <v>1506</v>
      </c>
      <c r="D8" s="736">
        <f>+D9+D10+D11</f>
        <v>38.799999999999997</v>
      </c>
      <c r="E8" s="737"/>
      <c r="F8" s="738"/>
      <c r="G8" s="1"/>
      <c r="H8" s="725"/>
      <c r="I8" s="739" t="s">
        <v>1415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1415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4" t="s">
        <v>1407</v>
      </c>
      <c r="D9" s="656">
        <v>14.3</v>
      </c>
      <c r="E9" s="655">
        <v>0.74</v>
      </c>
      <c r="F9" s="745">
        <v>0.3</v>
      </c>
      <c r="G9" s="1"/>
      <c r="H9" s="725"/>
      <c r="I9" s="746" t="s">
        <v>1407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1407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4" t="s">
        <v>1408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1416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1416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4" t="s">
        <v>1409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1409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1409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0" t="s">
        <v>1507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1417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1417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58" t="s">
        <v>1503</v>
      </c>
      <c r="E13" s="759" t="s">
        <v>1504</v>
      </c>
      <c r="F13" s="760" t="s">
        <v>1500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0" t="s">
        <v>1508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48" t="s">
        <v>1437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48" t="s">
        <v>1439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1499</v>
      </c>
      <c r="K16" s="727" t="s">
        <v>1500</v>
      </c>
      <c r="L16" s="1"/>
      <c r="M16" s="1"/>
      <c r="N16" s="726"/>
      <c r="O16" s="1"/>
      <c r="P16" s="725"/>
      <c r="Q16" s="1"/>
      <c r="R16" s="763" t="s">
        <v>1501</v>
      </c>
      <c r="S16" s="727" t="s">
        <v>1500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57" t="s">
        <v>1509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1510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1510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58" t="s">
        <v>1503</v>
      </c>
      <c r="E18" s="759" t="s">
        <v>1504</v>
      </c>
      <c r="F18" s="760" t="s">
        <v>1500</v>
      </c>
      <c r="G18" s="1"/>
      <c r="H18" s="725"/>
      <c r="I18" s="746" t="s">
        <v>1511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1511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5" t="s">
        <v>1512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1513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1513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4" t="s">
        <v>1473</v>
      </c>
      <c r="D20" s="656">
        <v>0.5</v>
      </c>
      <c r="E20" s="655"/>
      <c r="F20" s="745">
        <v>0.03</v>
      </c>
      <c r="G20" s="1"/>
      <c r="H20" s="725"/>
      <c r="I20" s="749" t="s">
        <v>1514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1514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4" t="s">
        <v>1515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4" t="s">
        <v>1516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4" t="s">
        <v>1517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4" t="s">
        <v>1518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1499</v>
      </c>
      <c r="K24" s="62" t="s">
        <v>1500</v>
      </c>
      <c r="L24" s="1"/>
      <c r="M24" s="1"/>
      <c r="N24" s="726"/>
      <c r="O24" s="1"/>
      <c r="P24" s="725"/>
      <c r="Q24" s="1"/>
      <c r="R24" s="62" t="s">
        <v>1501</v>
      </c>
      <c r="S24" s="62" t="s">
        <v>1500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4" t="s">
        <v>1519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1512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1512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4" t="s">
        <v>1520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1521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1521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0" t="s">
        <v>1522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1523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1523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5" t="s">
        <v>1506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4" t="s">
        <v>1407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4" t="s">
        <v>1408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4" t="s">
        <v>1409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0" t="s">
        <v>1507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1003" t="s">
        <v>1525</v>
      </c>
      <c r="J5" s="958"/>
      <c r="K5" s="958"/>
      <c r="L5" s="958"/>
      <c r="M5" s="958"/>
      <c r="N5" s="958"/>
      <c r="O5" s="958"/>
      <c r="P5" s="958"/>
      <c r="Q5" s="958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1526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1533</v>
      </c>
      <c r="J16" s="40" t="s">
        <v>1023</v>
      </c>
      <c r="K16" s="782">
        <v>0.29699999999999999</v>
      </c>
      <c r="L16" s="40" t="s">
        <v>1023</v>
      </c>
      <c r="M16" s="40" t="s">
        <v>1023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4" t="s">
        <v>1535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x14ac:dyDescent="0.25">
      <c r="I20" s="786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25"/>
    <row r="27" spans="2:17" ht="15.75" customHeight="1" x14ac:dyDescent="0.25">
      <c r="I27" s="778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1003" t="s">
        <v>1548</v>
      </c>
      <c r="J44" s="958"/>
      <c r="K44" s="958"/>
      <c r="L44" s="958"/>
      <c r="M44" s="958"/>
      <c r="N44" s="958"/>
      <c r="O44" s="958"/>
      <c r="P44" s="958"/>
      <c r="Q44" s="99"/>
    </row>
    <row r="45" spans="9:17" ht="15.75" customHeight="1" x14ac:dyDescent="0.25">
      <c r="I45" s="118"/>
      <c r="J45" s="1004" t="s">
        <v>1549</v>
      </c>
      <c r="K45" s="958"/>
      <c r="L45" s="1004" t="s">
        <v>1550</v>
      </c>
      <c r="M45" s="955"/>
      <c r="N45" s="789"/>
      <c r="O45" s="49" t="s">
        <v>1551</v>
      </c>
      <c r="P45" s="790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1" t="s">
        <v>1552</v>
      </c>
      <c r="O46" s="295">
        <f t="shared" ref="O46:O51" si="10">+J46/$J$53</f>
        <v>0.59700694815606625</v>
      </c>
      <c r="P46" s="792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1" t="s">
        <v>1188</v>
      </c>
      <c r="O47" s="295">
        <f t="shared" si="10"/>
        <v>0.13575628006413681</v>
      </c>
      <c r="P47" s="792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1" t="s">
        <v>1146</v>
      </c>
      <c r="O48" s="295">
        <f t="shared" si="10"/>
        <v>0.15606627471940138</v>
      </c>
      <c r="P48" s="792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1" t="s">
        <v>1171</v>
      </c>
      <c r="O49" s="295">
        <f t="shared" si="10"/>
        <v>6.0395510422234101E-2</v>
      </c>
      <c r="P49" s="792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1" t="s">
        <v>1554</v>
      </c>
      <c r="O50" s="295">
        <f t="shared" si="10"/>
        <v>4.4895777659005882E-2</v>
      </c>
      <c r="P50" s="792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1" t="s">
        <v>1180</v>
      </c>
      <c r="O51" s="295">
        <f t="shared" si="10"/>
        <v>5.8792089791555322E-3</v>
      </c>
      <c r="P51" s="792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5">
        <f>+'5. Data'!AF102</f>
        <v>10.111980967983444</v>
      </c>
      <c r="M52" s="790" t="s">
        <v>1553</v>
      </c>
      <c r="N52" s="789" t="s">
        <v>1555</v>
      </c>
      <c r="O52" s="793" t="s">
        <v>1023</v>
      </c>
      <c r="P52" s="794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1003" t="s">
        <v>1556</v>
      </c>
      <c r="J57" s="958"/>
      <c r="K57" s="958"/>
      <c r="L57" s="958"/>
      <c r="M57" s="958"/>
      <c r="N57" s="958"/>
      <c r="O57" s="958"/>
      <c r="P57" s="958"/>
    </row>
    <row r="58" spans="9:16" ht="15.75" customHeight="1" x14ac:dyDescent="0.25">
      <c r="J58" s="795" t="s">
        <v>1557</v>
      </c>
      <c r="K58" s="795" t="s">
        <v>1558</v>
      </c>
      <c r="L58" s="795" t="s">
        <v>1559</v>
      </c>
      <c r="M58" s="796" t="s">
        <v>1557</v>
      </c>
      <c r="N58" s="795" t="s">
        <v>1558</v>
      </c>
      <c r="O58" s="797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798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2022-12-30T16:46:17Z</dcterms:modified>
</cp:coreProperties>
</file>