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4DE26907-AF39-48DA-83EA-7850AE4350D2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2" hidden="1">'Compilado-g-19'!$A$2:$P$3524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7" i="10" l="1"/>
  <c r="G137" i="10"/>
  <c r="H137" i="10"/>
  <c r="I137" i="10"/>
  <c r="J137" i="10"/>
  <c r="K137" i="10"/>
  <c r="L137" i="10"/>
  <c r="M137" i="10"/>
  <c r="E137" i="10"/>
  <c r="F125" i="10"/>
  <c r="G125" i="10"/>
  <c r="H125" i="10"/>
  <c r="I125" i="10"/>
  <c r="J125" i="10"/>
  <c r="K125" i="10"/>
  <c r="L125" i="10"/>
  <c r="M125" i="10"/>
  <c r="F134" i="10"/>
  <c r="G134" i="10"/>
  <c r="H134" i="10"/>
  <c r="I134" i="10"/>
  <c r="J134" i="10"/>
  <c r="K134" i="10"/>
  <c r="L134" i="10"/>
  <c r="M134" i="10"/>
  <c r="E134" i="10"/>
  <c r="E123" i="12"/>
  <c r="E125" i="10"/>
  <c r="N16" i="13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D5" i="12"/>
  <c r="N174" i="10"/>
  <c r="R619" i="6"/>
  <c r="M146" i="10" s="1"/>
  <c r="F123" i="10"/>
  <c r="G123" i="10"/>
  <c r="H123" i="10"/>
  <c r="I123" i="10"/>
  <c r="J123" i="10"/>
  <c r="K123" i="10"/>
  <c r="L123" i="10"/>
  <c r="M123" i="10"/>
  <c r="F124" i="10"/>
  <c r="G124" i="10"/>
  <c r="H124" i="10"/>
  <c r="I124" i="10"/>
  <c r="J124" i="10"/>
  <c r="K124" i="10"/>
  <c r="L124" i="10"/>
  <c r="M124" i="10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N137" i="10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6" i="10"/>
  <c r="E135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N124" i="10" l="1"/>
  <c r="O124" i="10" s="1"/>
  <c r="O123" i="10"/>
  <c r="N123" i="10"/>
  <c r="U208" i="10"/>
  <c r="W206" i="10" s="1"/>
  <c r="N134" i="10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K26" i="12"/>
  <c r="K27" i="12" s="1"/>
  <c r="K33" i="12" s="1"/>
  <c r="N11" i="12"/>
  <c r="O11" i="12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O134" i="10" l="1"/>
  <c r="O135" i="10" s="1"/>
  <c r="O136" i="10" s="1"/>
  <c r="O137" i="10" s="1"/>
  <c r="O138" i="10" s="1"/>
  <c r="O139" i="10" s="1"/>
  <c r="O140" i="10" s="1"/>
  <c r="O141" i="10" s="1"/>
  <c r="O142" i="10" s="1"/>
  <c r="O143" i="10" s="1"/>
  <c r="D6" i="4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<sst xmlns="http://schemas.openxmlformats.org/spreadsheetml/2006/main" count="41279" uniqueCount="872">
  <si>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</si>
  <si>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</si>
  <si>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</si>
  <si>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</si>
  <si>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</si>
  <si>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</si>
  <si>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</si>
  <si>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</si>
  <si>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</si>
  <si>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</si>
  <si>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</si>
  <si>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</si>
  <si>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</si>
  <si>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</si>
  <si>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</si>
  <si>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</si>
  <si>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</si>
  <si>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</si>
  <si>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</si>
  <si>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</si>
  <si>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</si>
  <si>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</si>
  <si>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</si>
  <si>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</si>
  <si>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</si>
  <si>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</si>
  <si>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</si>
  <si>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</si>
  <si>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</si>
  <si>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</si>
  <si>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</si>
  <si>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</si>
  <si>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</si>
  <si>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</si>
  <si>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</si>
  <si>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</si>
  <si>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</si>
  <si>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</si>
  <si>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</si>
  <si>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</si>
  <si>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</si>
  <si>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</si>
  <si>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</si>
  <si>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</si>
  <si>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</si>
  <si>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</si>
  <si>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</si>
  <si>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</si>
  <si>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</si>
  <si>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</si>
  <si>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</si>
  <si>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</si>
  <si>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</si>
  <si>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</si>
  <si>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</si>
  <si>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</si>
  <si>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</si>
  <si>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</si>
  <si>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</si>
  <si>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</si>
  <si>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</si>
  <si>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</si>
  <si>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</si>
  <si>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</si>
  <si>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</si>
  <si>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</si>
  <si>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</si>
  <si>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</si>
  <si>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</si>
  <si>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</si>
  <si>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</si>
  <si>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</si>
  <si>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</si>
  <si>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</si>
  <si>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</si>
  <si>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</si>
  <si>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</si>
  <si>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</si>
  <si>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</si>
  <si>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</si>
  <si>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</si>
  <si>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</si>
  <si>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</si>
  <si>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</si>
  <si>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</si>
  <si>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</si>
  <si>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</si>
  <si>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</si>
  <si>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</si>
  <si>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</si>
  <si>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</si>
  <si>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</si>
  <si>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</si>
  <si>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</si>
  <si>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</si>
  <si>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</si>
  <si>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</si>
  <si>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</si>
  <si>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</si>
  <si>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</si>
  <si>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</si>
  <si>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</si>
  <si>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</si>
  <si>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</si>
  <si>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</si>
  <si>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</si>
  <si>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</si>
  <si>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</si>
  <si>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</si>
  <si>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</si>
  <si>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</si>
  <si>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</si>
  <si>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</si>
  <si>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</si>
  <si>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</si>
  <si>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</si>
  <si>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</si>
  <si>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</si>
  <si>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</si>
  <si>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</si>
  <si>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</si>
  <si>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</si>
  <si>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</si>
  <si>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</si>
  <si>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</si>
  <si>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</si>
  <si>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</si>
  <si>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</si>
  <si>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</si>
  <si>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</si>
  <si>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</si>
  <si>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</si>
  <si>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</si>
  <si>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</si>
  <si>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</si>
  <si>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</si>
  <si>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</si>
  <si>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</si>
  <si>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</si>
  <si>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</si>
  <si>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</si>
  <si>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</si>
  <si>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</si>
  <si>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</si>
  <si>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</si>
  <si>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</si>
  <si>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</si>
  <si>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</si>
  <si>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</si>
  <si>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</si>
  <si>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</si>
  <si>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</si>
  <si>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</si>
  <si>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</si>
  <si>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</si>
  <si>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</si>
  <si>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</si>
  <si>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</si>
  <si>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</si>
  <si>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</si>
  <si>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</si>
  <si>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</si>
  <si>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</si>
  <si>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</si>
  <si>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</si>
  <si>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</si>
  <si>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</si>
  <si>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</si>
  <si>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</si>
  <si>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</si>
  <si>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</si>
  <si>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</si>
  <si>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</si>
  <si>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</si>
  <si>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</si>
  <si>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</si>
  <si>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</si>
  <si>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</si>
  <si>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</si>
  <si>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</si>
  <si>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</si>
  <si>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</si>
  <si>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</si>
  <si>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</si>
  <si>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</si>
  <si>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</si>
  <si>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</si>
  <si>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</si>
  <si>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</si>
  <si>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</si>
  <si>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</si>
  <si>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</si>
  <si>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</si>
  <si>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</si>
  <si>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</si>
  <si>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</si>
  <si>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</si>
  <si>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</si>
  <si>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</si>
  <si>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</si>
  <si>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</si>
  <si>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</si>
  <si>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</si>
  <si>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</si>
  <si>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</si>
  <si>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</si>
  <si>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</si>
  <si>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</si>
  <si>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</si>
  <si>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</si>
  <si>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</si>
  <si>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</si>
  <si>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</si>
  <si>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</si>
  <si>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</si>
  <si>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</si>
  <si>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</si>
  <si>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</si>
  <si>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</si>
  <si>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</si>
  <si>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</si>
  <si>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</si>
  <si>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</si>
  <si>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</si>
  <si>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</si>
  <si>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</si>
  <si>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</si>
  <si>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</si>
  <si>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</si>
  <si>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</si>
  <si>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</si>
  <si>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</si>
  <si>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</si>
  <si>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</si>
  <si>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</si>
  <si>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</si>
  <si>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</si>
  <si>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</si>
  <si>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</si>
  <si>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</si>
  <si>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</si>
  <si>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</si>
  <si>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</si>
  <si>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</si>
  <si>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</si>
  <si>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</si>
  <si>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</si>
  <si>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</si>
  <si>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</si>
  <si>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</si>
  <si>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</si>
  <si>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</si>
  <si>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</si>
  <si>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</si>
  <si>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</si>
  <si>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</si>
  <si>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</si>
  <si>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</si>
  <si>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</si>
  <si>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</si>
  <si>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</si>
  <si>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</si>
  <si>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</si>
  <si>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</si>
  <si>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</si>
  <si>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</si>
  <si>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</si>
  <si>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</si>
  <si>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</si>
  <si>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</si>
  <si>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</si>
  <si>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</si>
  <si>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</si>
  <si>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</si>
  <si>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</si>
  <si>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</si>
  <si>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</si>
  <si>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</si>
  <si>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</si>
  <si>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</si>
  <si>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</si>
  <si>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</si>
  <si>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</si>
  <si>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</si>
  <si>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</si>
  <si>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</si>
  <si>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</si>
  <si>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</si>
  <si>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</si>
  <si>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</si>
  <si>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</si>
  <si>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</si>
  <si>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</si>
  <si>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</si>
  <si>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</si>
  <si>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</si>
  <si>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</si>
  <si>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</si>
  <si>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</si>
  <si>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</si>
  <si>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</si>
  <si>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</si>
  <si>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</si>
  <si>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</si>
  <si>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</si>
  <si>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</si>
  <si>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</si>
  <si>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</si>
  <si>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</si>
  <si>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</si>
  <si>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</si>
  <si>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</si>
  <si>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</si>
  <si>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</si>
  <si>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</si>
  <si>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</si>
  <si>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</si>
  <si>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</si>
  <si>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</si>
  <si>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</si>
  <si>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</si>
  <si>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</si>
  <si>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</si>
  <si>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</si>
  <si>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</si>
  <si>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</si>
  <si>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</si>
  <si>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</si>
  <si>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</si>
  <si>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</si>
  <si>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</si>
  <si>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</si>
  <si>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</si>
  <si>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</si>
  <si>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</si>
  <si>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</si>
  <si>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</si>
  <si>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</si>
  <si>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</si>
  <si>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</si>
  <si>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</si>
  <si>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</si>
  <si>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</si>
  <si>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</si>
  <si>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</si>
  <si>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</si>
  <si>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</si>
  <si>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</si>
  <si>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</si>
  <si>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</si>
  <si>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</si>
  <si>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</si>
  <si>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</si>
  <si>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</si>
  <si>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</si>
  <si>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</si>
  <si>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</si>
  <si>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</si>
  <si>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</si>
  <si>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</si>
  <si>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</si>
  <si>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</si>
  <si>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</si>
  <si>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</si>
  <si>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</si>
  <si>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</si>
  <si>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</si>
  <si>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</si>
  <si>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</si>
  <si>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</si>
  <si>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</si>
  <si>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</si>
  <si>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</si>
  <si>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</si>
  <si>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</si>
  <si>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</si>
  <si>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</si>
  <si>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</si>
  <si>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</si>
  <si>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</si>
  <si>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</si>
  <si>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</si>
  <si>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</si>
  <si>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</si>
  <si>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</si>
  <si>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</si>
  <si>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</si>
  <si>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</si>
  <si>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</si>
  <si>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</si>
  <si>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</si>
  <si>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</si>
  <si>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</si>
  <si>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</si>
  <si>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</si>
  <si>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</si>
  <si>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</si>
  <si>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</si>
  <si>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</si>
  <si>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</si>
  <si>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</si>
  <si>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</si>
  <si>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</si>
  <si>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</si>
  <si>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</si>
  <si>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</si>
  <si>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</si>
  <si>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</si>
  <si>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</si>
  <si>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</si>
  <si>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</si>
  <si>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</si>
  <si>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</si>
  <si>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</si>
  <si>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</si>
  <si>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</si>
  <si>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</si>
  <si>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</si>
  <si>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</si>
  <si>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</si>
  <si>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</si>
  <si>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</si>
  <si>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</si>
  <si>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</si>
  <si>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</si>
  <si>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</si>
  <si>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</si>
  <si>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</si>
  <si>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</si>
  <si>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</si>
  <si>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</si>
  <si>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</si>
  <si>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</si>
  <si>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</si>
  <si>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</si>
  <si>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</si>
  <si>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</si>
  <si>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</si>
  <si>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</si>
  <si>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</si>
  <si>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</si>
  <si>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</si>
  <si>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</si>
  <si>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</si>
  <si>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</si>
  <si>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</si>
  <si>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</si>
  <si>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</si>
  <si>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</si>
  <si>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</si>
  <si>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</si>
  <si>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</si>
  <si>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</si>
  <si>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</si>
  <si>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</si>
  <si>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</si>
  <si>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</si>
  <si>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</si>
  <si>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</si>
  <si>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</si>
  <si>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</si>
  <si>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</si>
  <si>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</si>
  <si>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</si>
  <si>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</si>
  <si>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</si>
  <si>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</si>
  <si>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</si>
  <si>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</si>
  <si>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</si>
  <si>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</si>
  <si>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</si>
  <si>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</si>
  <si>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</si>
  <si>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</si>
  <si>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</si>
  <si>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</si>
  <si>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</si>
  <si>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</si>
  <si>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</si>
  <si>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</si>
  <si>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</si>
  <si>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</si>
  <si>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</si>
  <si>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</si>
  <si>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</si>
  <si>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</si>
  <si>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</si>
  <si>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</si>
  <si>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</si>
  <si>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</si>
  <si>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</si>
  <si>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</si>
  <si>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</si>
  <si>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</si>
  <si>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</si>
  <si>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</si>
  <si>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</si>
  <si>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</si>
  <si>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</si>
  <si>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</si>
  <si>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</si>
  <si>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</si>
  <si>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</si>
  <si>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</si>
  <si>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</si>
  <si>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</si>
  <si>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</si>
  <si>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</si>
  <si>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</si>
  <si>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</si>
  <si>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</si>
  <si>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</si>
  <si>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</si>
  <si>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</si>
  <si>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</si>
  <si>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</si>
  <si>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</si>
  <si>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</si>
  <si>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</si>
  <si>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</si>
  <si>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</si>
  <si>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</si>
  <si>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</si>
  <si>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</si>
  <si>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</si>
  <si>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</si>
  <si>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</si>
  <si>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</si>
  <si>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</si>
  <si>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</si>
  <si>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</si>
  <si>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</si>
  <si>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</si>
  <si>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</si>
  <si>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</si>
  <si>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</si>
  <si>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</si>
  <si>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</si>
  <si>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</si>
  <si>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</si>
  <si>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</si>
  <si>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</si>
  <si>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</si>
  <si>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</si>
  <si>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</si>
  <si>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</si>
  <si>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</si>
  <si>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</si>
  <si>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</si>
  <si>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</si>
  <si>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</si>
  <si>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</si>
  <si>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</si>
  <si>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</si>
  <si>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</si>
  <si>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</si>
  <si>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</si>
  <si>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</si>
  <si>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</si>
  <si>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</si>
  <si>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</si>
  <si>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</si>
  <si>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</si>
  <si>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</si>
  <si>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</si>
  <si>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</si>
  <si>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</si>
  <si>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</si>
  <si>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</si>
  <si>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</si>
  <si>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</si>
  <si>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</si>
  <si>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</si>
  <si>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</si>
  <si>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</si>
  <si>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</si>
  <si>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</si>
  <si>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</si>
  <si>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</si>
  <si>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</si>
  <si>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</si>
  <si>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</si>
  <si>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</si>
  <si>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</si>
  <si>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</si>
  <si>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</si>
  <si>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</si>
  <si>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</si>
  <si>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</si>
  <si>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</si>
  <si>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</si>
  <si>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</si>
  <si>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</si>
  <si>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</si>
  <si>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</si>
  <si>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</si>
  <si>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</si>
  <si>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</si>
  <si>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</si>
  <si>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</si>
  <si>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</si>
  <si>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</si>
  <si>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</si>
  <si>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</si>
  <si>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</si>
  <si>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</si>
  <si>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</si>
  <si>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</si>
  <si>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</si>
  <si>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</si>
  <si>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</si>
  <si>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</si>
  <si>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</si>
  <si>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</si>
  <si>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</si>
  <si>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</si>
  <si>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</si>
  <si>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</si>
  <si>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</si>
  <si>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</si>
  <si>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</si>
  <si>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</si>
  <si>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</si>
  <si>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</si>
  <si>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</si>
  <si>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</si>
  <si>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</si>
  <si>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</si>
  <si>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</si>
  <si>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</si>
  <si>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</si>
  <si>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</si>
  <si>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</si>
  <si>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</si>
  <si>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</si>
  <si>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</si>
  <si>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</si>
  <si>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</si>
  <si>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</si>
  <si>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</si>
  <si>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</si>
  <si>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</si>
  <si>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</si>
  <si>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</si>
  <si>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</si>
  <si>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</si>
  <si>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</si>
  <si>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</si>
  <si>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</si>
  <si>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</si>
  <si>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</si>
  <si>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</si>
  <si>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</si>
  <si>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</si>
  <si>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</si>
  <si>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</si>
  <si>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</si>
  <si>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</si>
  <si>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</si>
  <si>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</si>
  <si>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</si>
  <si>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</si>
  <si>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</si>
  <si>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</si>
  <si>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</si>
  <si>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</si>
  <si>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</si>
  <si>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</si>
  <si>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</si>
  <si>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</si>
  <si>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</si>
  <si>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</si>
  <si>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</si>
  <si>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</si>
  <si>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</si>
  <si>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</si>
  <si>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</si>
  <si>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</si>
  <si>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</si>
  <si>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</si>
  <si>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</si>
  <si>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</si>
  <si>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</si>
  <si>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</si>
  <si>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</si>
  <si>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</si>
  <si>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</si>
  <si>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</si>
  <si>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</si>
  <si>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</si>
  <si>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</si>
  <si>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</si>
  <si>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</si>
  <si>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</si>
  <si>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</si>
  <si>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</si>
  <si>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</si>
  <si>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</si>
  <si>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</si>
  <si>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</si>
  <si>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</si>
  <si>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</si>
  <si>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</si>
  <si>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</si>
  <si>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</si>
  <si>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</si>
  <si>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</si>
  <si>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</si>
  <si>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</si>
  <si>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</si>
  <si>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</si>
  <si>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</si>
  <si>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</si>
  <si>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</si>
  <si>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</si>
  <si>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</si>
  <si>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</si>
  <si>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</si>
  <si>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</si>
  <si>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</si>
  <si>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</si>
  <si>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</si>
  <si>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</si>
  <si>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</si>
  <si>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</si>
  <si>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</si>
  <si>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</si>
  <si>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</si>
  <si>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</si>
  <si>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</si>
  <si>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</si>
  <si>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</si>
  <si>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</si>
  <si>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</si>
  <si>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</si>
  <si>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</si>
  <si>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</si>
  <si>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</si>
  <si>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</si>
  <si>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</si>
  <si>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</si>
  <si>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</si>
  <si>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</si>
  <si>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</si>
  <si>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</si>
  <si>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</si>
  <si>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</si>
  <si>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</si>
  <si>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</si>
  <si>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</si>
  <si>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</si>
  <si>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</si>
  <si>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</si>
  <si>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</si>
  <si>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</si>
  <si>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</si>
  <si>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</si>
  <si>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</si>
  <si>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</si>
  <si>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</si>
  <si>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</si>
  <si>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</si>
  <si>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</si>
  <si>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</si>
  <si>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</si>
  <si>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</si>
  <si>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</si>
  <si>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</si>
  <si>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</si>
  <si>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</si>
  <si>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</si>
  <si>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</si>
  <si>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</si>
  <si>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</si>
  <si>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</si>
  <si>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</si>
  <si>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</si>
  <si>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</si>
  <si>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</si>
  <si>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</si>
  <si>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</si>
  <si>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</si>
  <si>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</si>
  <si>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</si>
  <si>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</si>
  <si>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</si>
  <si>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</si>
  <si>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</si>
  <si>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</si>
  <si>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</si>
  <si>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</si>
  <si>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</si>
  <si>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</si>
  <si>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</si>
  <si>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</si>
  <si>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</si>
  <si>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</si>
  <si>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</si>
  <si>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</si>
  <si>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</si>
  <si>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</si>
  <si>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</si>
  <si>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</si>
  <si>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</si>
  <si>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</si>
  <si>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</si>
  <si>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</si>
  <si>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</si>
  <si>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</si>
  <si>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</si>
  <si>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</si>
  <si>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</si>
  <si>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</si>
  <si>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</si>
  <si>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</si>
  <si>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</si>
  <si>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</si>
  <si>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</si>
  <si>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</si>
  <si>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</si>
  <si>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</si>
  <si>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</si>
  <si>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</si>
  <si>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</si>
  <si>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</si>
  <si>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</si>
  <si>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</si>
  <si>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</si>
  <si>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</si>
  <si>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</si>
  <si>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</si>
  <si>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</si>
  <si>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</si>
  <si>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</si>
  <si>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</si>
  <si>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</si>
  <si>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</si>
  <si>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</si>
  <si>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</si>
  <si>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</si>
  <si>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</si>
  <si>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</si>
  <si>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</si>
  <si>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</si>
  <si>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</si>
  <si>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</si>
  <si>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</si>
  <si>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</si>
  <si>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</si>
  <si>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</si>
  <si>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</si>
  <si>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</si>
  <si>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</si>
  <si>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</si>
  <si>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</si>
  <si>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</si>
  <si>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</si>
  <si>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</si>
  <si>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</si>
  <si>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</si>
  <si>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</si>
  <si>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</si>
  <si>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</si>
  <si>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</si>
  <si>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</si>
  <si>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</si>
  <si>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</si>
  <si>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</si>
  <si>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</si>
  <si>
    <t>floreña mirador</t>
  </si>
  <si>
    <t>chuchupa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</si>
</sst>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8" fillId="7" borderId="0" xfId="0" applyFont="1" applyFill="1"/>
    <xf numFmtId="2" fontId="0" fillId="3" borderId="0" xfId="0" applyNumberForma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Palagua</c:v>
                </c:pt>
                <c:pt idx="9">
                  <c:v>Cupiagua</c:v>
                </c:pt>
                <c:pt idx="10">
                  <c:v>Dina</c:v>
                </c:pt>
                <c:pt idx="11">
                  <c:v>Ocelote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8010.0189863013702</c:v>
                </c:pt>
                <c:pt idx="11">
                  <c:v>6688.0571232876719</c:v>
                </c:pt>
                <c:pt idx="12">
                  <c:v>4459.6295890410956</c:v>
                </c:pt>
                <c:pt idx="13">
                  <c:v>4154.1152328767121</c:v>
                </c:pt>
                <c:pt idx="14">
                  <c:v>3941.1335068493149</c:v>
                </c:pt>
                <c:pt idx="15">
                  <c:v>4684.6815890410962</c:v>
                </c:pt>
                <c:pt idx="16">
                  <c:v>4210.8083835616435</c:v>
                </c:pt>
                <c:pt idx="17">
                  <c:v>4233.3403013698626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FLOREÑA</c:v>
                </c:pt>
                <c:pt idx="11">
                  <c:v>PALAGUA</c:v>
                </c:pt>
                <c:pt idx="12">
                  <c:v>CAÑO SURESTE</c:v>
                </c:pt>
                <c:pt idx="13">
                  <c:v>TELLO</c:v>
                </c:pt>
                <c:pt idx="14">
                  <c:v>APIAY</c:v>
                </c:pt>
                <c:pt idx="15">
                  <c:v>DINA</c:v>
                </c:pt>
                <c:pt idx="16">
                  <c:v>SURIA</c:v>
                </c:pt>
                <c:pt idx="17">
                  <c:v>SAN FRANCISCO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0.84096877119300328</c:v>
                </c:pt>
                <c:pt idx="9">
                  <c:v>0.80919674577735934</c:v>
                </c:pt>
                <c:pt idx="10">
                  <c:v>0.85600989788440085</c:v>
                </c:pt>
                <c:pt idx="11">
                  <c:v>0.82175550683431964</c:v>
                </c:pt>
                <c:pt idx="12">
                  <c:v>0.86438414191056212</c:v>
                </c:pt>
                <c:pt idx="13">
                  <c:v>0.87218469439554625</c:v>
                </c:pt>
                <c:pt idx="14">
                  <c:v>0.87958531210764046</c:v>
                </c:pt>
                <c:pt idx="15">
                  <c:v>0.88838215633611606</c:v>
                </c:pt>
                <c:pt idx="16">
                  <c:v>0.89628916660396496</c:v>
                </c:pt>
                <c:pt idx="17">
                  <c:v>0.90423848706245558</c:v>
                </c:pt>
                <c:pt idx="18">
                  <c:v>0.90792283082658931</c:v>
                </c:pt>
                <c:pt idx="19">
                  <c:v>0.9106954309979407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19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19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</row>
    <row r="4" spans="1:19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</row>
    <row r="5" spans="1:19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</row>
    <row r="6" spans="1:19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9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</row>
    <row r="8" spans="1:19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E2" sqref="A2:XFD2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24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24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T3" s="14" t="s">
        <v>794</v>
      </c>
      <c r="V3" s="14" t="s">
        <v>810</v>
      </c>
      <c r="X3" s="14" t="s">
        <v>819</v>
      </c>
    </row>
    <row r="4" spans="1:24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T4" s="14" t="s">
        <v>795</v>
      </c>
      <c r="V4" s="14" t="s">
        <v>811</v>
      </c>
    </row>
    <row r="5" spans="1:24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T5" s="14" t="s">
        <v>796</v>
      </c>
      <c r="V5" s="14" t="s">
        <v>812</v>
      </c>
    </row>
    <row r="6" spans="1:24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T6" s="14" t="s">
        <v>801</v>
      </c>
      <c r="V6" s="14" t="s">
        <v>813</v>
      </c>
    </row>
    <row r="7" spans="1:24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  <c r="T7" s="14" t="s">
        <v>808</v>
      </c>
      <c r="V7" s="14" t="s">
        <v>814</v>
      </c>
    </row>
    <row r="8" spans="1:24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opLeftCell="A60" zoomScaleNormal="100" workbookViewId="0">
      <selection activeCell="E124" sqref="E12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870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CASANARE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CASANARE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EQUION ENERGÍA LIMITED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EQUION ENERGÍA LIMITED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19025.48</v>
      </c>
      <c r="F11" s="28">
        <f>+SUMIFS('Compilado-g-19'!I3:I3524,'Compilado-g-19'!$F$3:$F$3524,$D$4)</f>
        <v>0</v>
      </c>
      <c r="G11" s="28">
        <f>+SUMIFS('Compilado-g-19'!J3:J3524,'Compilado-g-19'!$F$3:$F$3524,$D$4)</f>
        <v>18477.329999999998</v>
      </c>
      <c r="H11" s="28">
        <f>+SUMIFS('Compilado-g-19'!K3:K3524,'Compilado-g-19'!$F$3:$F$3524,$D$4)</f>
        <v>62.48</v>
      </c>
      <c r="I11" s="28">
        <f>+SUMIFS('Compilado-g-19'!L3:L3524,'Compilado-g-19'!$F$3:$F$3524,$D$4)</f>
        <v>485.7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+SUMIFS('Compilado-g-19'!H$3:H$3524,'Compilado-g-19'!$F$3:$F$3524,$D$4,'Compilado-g-19'!$B$3:$B$3524,Reporte_ECP_GAS_2019!$D12)</f>
        <v>1441.71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1401.66</v>
      </c>
      <c r="H12" s="28">
        <f>+SUMIFS('Compilado-g-19'!K$3:K$3524,'Compilado-g-19'!$F$3:$F$3524,$D$4,'Compilado-g-19'!$B$3:$B$3524,Reporte_ECP_GAS_2019!$D12)</f>
        <v>3.58</v>
      </c>
      <c r="I12" s="28">
        <f>+SUMIFS('Compilado-g-19'!L$3:L$3524,'Compilado-g-19'!$F$3:$F$3524,$D$4,'Compilado-g-19'!$B$3:$B$3524,Reporte_ECP_GAS_2019!$D12)</f>
        <v>36.47</v>
      </c>
      <c r="J12" s="28">
        <f>+SUMIFS('Compilado-g-19'!M$3:M$3524,'Compilado-g-19'!$F$3:$F$3524,$D$4,'Compilado-g-19'!$B$3:$B$3524,Reporte_ECP_GAS_2019!$D12)</f>
        <v>0</v>
      </c>
      <c r="K12" s="28">
        <f>+SUMIFS('Compilado-g-19'!N$3:N$3524,'Compilado-g-19'!$F$3:$F$3524,$D$4,'Compilado-g-19'!$B$3:$B$3524,Reporte_ECP_GAS_2019!$D12)</f>
        <v>0</v>
      </c>
      <c r="L12" s="28">
        <f>+SUMIFS('Compilado-g-19'!O$3:O$3524,'Compilado-g-19'!$F$3:$F$3524,$D$4,'Compilado-g-19'!$B$3:$B$3524,Reporte_ECP_GAS_2019!$D12)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+SUMIFS('Compilado-g-19'!H$3:H$3524,'Compilado-g-19'!$F$3:$F$3524,$D$4,'Compilado-g-19'!$B$3:$B$3524,Reporte_ECP_GAS_2019!$D13)</f>
        <v>1243.69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1206.81</v>
      </c>
      <c r="H13" s="28">
        <f>+SUMIFS('Compilado-g-19'!K$3:K$3524,'Compilado-g-19'!$F$3:$F$3524,$D$4,'Compilado-g-19'!$B$3:$B$3524,Reporte_ECP_GAS_2019!$D13)</f>
        <v>4.7699999999999996</v>
      </c>
      <c r="I13" s="28">
        <f>+SUMIFS('Compilado-g-19'!L$3:L$3524,'Compilado-g-19'!$F$3:$F$3524,$D$4,'Compilado-g-19'!$B$3:$B$3524,Reporte_ECP_GAS_2019!$D13)</f>
        <v>32.119999999999997</v>
      </c>
      <c r="J13" s="28">
        <f>+SUMIFS('Compilado-g-19'!M$3:M$3524,'Compilado-g-19'!$F$3:$F$3524,$D$4,'Compilado-g-19'!$B$3:$B$3524,Reporte_ECP_GAS_2019!$D13)</f>
        <v>0</v>
      </c>
      <c r="K13" s="28">
        <f>+SUMIFS('Compilado-g-19'!N$3:N$3524,'Compilado-g-19'!$F$3:$F$3524,$D$4,'Compilado-g-19'!$B$3:$B$3524,Reporte_ECP_GAS_2019!$D13)</f>
        <v>0</v>
      </c>
      <c r="L13" s="28">
        <f>+SUMIFS('Compilado-g-19'!O$3:O$3524,'Compilado-g-19'!$F$3:$F$3524,$D$4,'Compilado-g-19'!$B$3:$B$3524,Reporte_ECP_GAS_2019!$D13)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+SUMIFS('Compilado-g-19'!H$3:H$3524,'Compilado-g-19'!$F$3:$F$3524,$D$4,'Compilado-g-19'!$B$3:$B$3524,Reporte_ECP_GAS_2019!$D14)</f>
        <v>1410.68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1371.05</v>
      </c>
      <c r="H14" s="28">
        <f>+SUMIFS('Compilado-g-19'!K$3:K$3524,'Compilado-g-19'!$F$3:$F$3524,$D$4,'Compilado-g-19'!$B$3:$B$3524,Reporte_ECP_GAS_2019!$D14)</f>
        <v>3.35</v>
      </c>
      <c r="I14" s="28">
        <f>+SUMIFS('Compilado-g-19'!L$3:L$3524,'Compilado-g-19'!$F$3:$F$3524,$D$4,'Compilado-g-19'!$B$3:$B$3524,Reporte_ECP_GAS_2019!$D14)</f>
        <v>36.270000000000003</v>
      </c>
      <c r="J14" s="28">
        <f>+SUMIFS('Compilado-g-19'!M$3:M$3524,'Compilado-g-19'!$F$3:$F$3524,$D$4,'Compilado-g-19'!$B$3:$B$3524,Reporte_ECP_GAS_2019!$D14)</f>
        <v>0</v>
      </c>
      <c r="K14" s="28">
        <f>+SUMIFS('Compilado-g-19'!N$3:N$3524,'Compilado-g-19'!$F$3:$F$3524,$D$4,'Compilado-g-19'!$B$3:$B$3524,Reporte_ECP_GAS_2019!$D14)</f>
        <v>0</v>
      </c>
      <c r="L14" s="28">
        <f>+SUMIFS('Compilado-g-19'!O$3:O$3524,'Compilado-g-19'!$F$3:$F$3524,$D$4,'Compilado-g-19'!$B$3:$B$3524,Reporte_ECP_GAS_2019!$D14)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1362.93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1324.72</v>
      </c>
      <c r="H15" s="28">
        <f>+SUMIFS('Compilado-g-19'!K$3:K$3524,'Compilado-g-19'!$F$3:$F$3524,$D$4,'Compilado-g-19'!$B$3:$B$3524,Reporte_ECP_GAS_2019!$D15)</f>
        <v>3.59</v>
      </c>
      <c r="I15" s="28">
        <f>+SUMIFS('Compilado-g-19'!L$3:L$3524,'Compilado-g-19'!$F$3:$F$3524,$D$4,'Compilado-g-19'!$B$3:$B$3524,Reporte_ECP_GAS_2019!$D15)</f>
        <v>34.619999999999997</v>
      </c>
      <c r="J15" s="28">
        <f>+SUMIFS('Compilado-g-19'!M$3:M$3524,'Compilado-g-19'!$F$3:$F$3524,$D$4,'Compilado-g-19'!$B$3:$B$3524,Reporte_ECP_GAS_2019!$D15)</f>
        <v>0</v>
      </c>
      <c r="K15" s="28">
        <f>+SUMIFS('Compilado-g-19'!N$3:N$3524,'Compilado-g-19'!$F$3:$F$3524,$D$4,'Compilado-g-19'!$B$3:$B$3524,Reporte_ECP_GAS_2019!$D15)</f>
        <v>0</v>
      </c>
      <c r="L15" s="28">
        <f>+SUMIFS('Compilado-g-19'!O$3:O$3524,'Compilado-g-19'!$F$3:$F$3524,$D$4,'Compilado-g-19'!$B$3:$B$3524,Reporte_ECP_GAS_2019!$D15)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1500.38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1458.81</v>
      </c>
      <c r="H16" s="28">
        <f>+SUMIFS('Compilado-g-19'!K$3:K$3524,'Compilado-g-19'!$F$3:$F$3524,$D$4,'Compilado-g-19'!$B$3:$B$3524,Reporte_ECP_GAS_2019!$D16)</f>
        <v>3.08</v>
      </c>
      <c r="I16" s="28">
        <f>+SUMIFS('Compilado-g-19'!L$3:L$3524,'Compilado-g-19'!$F$3:$F$3524,$D$4,'Compilado-g-19'!$B$3:$B$3524,Reporte_ECP_GAS_2019!$D16)</f>
        <v>38.49</v>
      </c>
      <c r="J16" s="28">
        <f>+SUMIFS('Compilado-g-19'!M$3:M$3524,'Compilado-g-19'!$F$3:$F$3524,$D$4,'Compilado-g-19'!$B$3:$B$3524,Reporte_ECP_GAS_2019!$D16)</f>
        <v>0</v>
      </c>
      <c r="K16" s="28">
        <f>+SUMIFS('Compilado-g-19'!N$3:N$3524,'Compilado-g-19'!$F$3:$F$3524,$D$4,'Compilado-g-19'!$B$3:$B$3524,Reporte_ECP_GAS_2019!$D16)</f>
        <v>0</v>
      </c>
      <c r="L16" s="28">
        <f>+SUMIFS('Compilado-g-19'!O$3:O$3524,'Compilado-g-19'!$F$3:$F$3524,$D$4,'Compilado-g-19'!$B$3:$B$3524,Reporte_ECP_GAS_2019!$D16)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+SUMIFS('Compilado-g-19'!H$3:H$3524,'Compilado-g-19'!$F$3:$F$3524,$D$4,'Compilado-g-19'!$B$3:$B$3524,Reporte_ECP_GAS_2019!$D17)</f>
        <v>1573.02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1529.13</v>
      </c>
      <c r="H17" s="28">
        <f>+SUMIFS('Compilado-g-19'!K$3:K$3524,'Compilado-g-19'!$F$3:$F$3524,$D$4,'Compilado-g-19'!$B$3:$B$3524,Reporte_ECP_GAS_2019!$D17)</f>
        <v>3.61</v>
      </c>
      <c r="I17" s="28">
        <f>+SUMIFS('Compilado-g-19'!L$3:L$3524,'Compilado-g-19'!$F$3:$F$3524,$D$4,'Compilado-g-19'!$B$3:$B$3524,Reporte_ECP_GAS_2019!$D17)</f>
        <v>40.28</v>
      </c>
      <c r="J17" s="28">
        <f>+SUMIFS('Compilado-g-19'!M$3:M$3524,'Compilado-g-19'!$F$3:$F$3524,$D$4,'Compilado-g-19'!$B$3:$B$3524,Reporte_ECP_GAS_2019!$D17)</f>
        <v>0</v>
      </c>
      <c r="K17" s="28">
        <f>+SUMIFS('Compilado-g-19'!N$3:N$3524,'Compilado-g-19'!$F$3:$F$3524,$D$4,'Compilado-g-19'!$B$3:$B$3524,Reporte_ECP_GAS_2019!$D17)</f>
        <v>0</v>
      </c>
      <c r="L17" s="28">
        <f>+SUMIFS('Compilado-g-19'!O$3:O$3524,'Compilado-g-19'!$F$3:$F$3524,$D$4,'Compilado-g-19'!$B$3:$B$3524,Reporte_ECP_GAS_2019!$D17)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+SUMIFS('Compilado-g-19'!H$3:H$3524,'Compilado-g-19'!$F$3:$F$3524,$D$4,'Compilado-g-19'!$B$3:$B$3524,Reporte_ECP_GAS_2019!$D18)</f>
        <v>1775.73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1724.92</v>
      </c>
      <c r="H18" s="28">
        <f>+SUMIFS('Compilado-g-19'!K$3:K$3524,'Compilado-g-19'!$F$3:$F$3524,$D$4,'Compilado-g-19'!$B$3:$B$3524,Reporte_ECP_GAS_2019!$D18)</f>
        <v>6.06</v>
      </c>
      <c r="I18" s="28">
        <f>+SUMIFS('Compilado-g-19'!L$3:L$3524,'Compilado-g-19'!$F$3:$F$3524,$D$4,'Compilado-g-19'!$B$3:$B$3524,Reporte_ECP_GAS_2019!$D18)</f>
        <v>44.75</v>
      </c>
      <c r="J18" s="28">
        <f>+SUMIFS('Compilado-g-19'!M$3:M$3524,'Compilado-g-19'!$F$3:$F$3524,$D$4,'Compilado-g-19'!$B$3:$B$3524,Reporte_ECP_GAS_2019!$D18)</f>
        <v>0</v>
      </c>
      <c r="K18" s="28">
        <f>+SUMIFS('Compilado-g-19'!N$3:N$3524,'Compilado-g-19'!$F$3:$F$3524,$D$4,'Compilado-g-19'!$B$3:$B$3524,Reporte_ECP_GAS_2019!$D18)</f>
        <v>0</v>
      </c>
      <c r="L18" s="28">
        <f>+SUMIFS('Compilado-g-19'!O$3:O$3524,'Compilado-g-19'!$F$3:$F$3524,$D$4,'Compilado-g-19'!$B$3:$B$3524,Reporte_ECP_GAS_2019!$D18)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+SUMIFS('Compilado-g-19'!H$3:H$3524,'Compilado-g-19'!$F$3:$F$3524,$D$4,'Compilado-g-19'!$B$3:$B$3524,Reporte_ECP_GAS_2019!$D19)</f>
        <v>1725.38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1667.89</v>
      </c>
      <c r="H19" s="28">
        <f>+SUMIFS('Compilado-g-19'!K$3:K$3524,'Compilado-g-19'!$F$3:$F$3524,$D$4,'Compilado-g-19'!$B$3:$B$3524,Reporte_ECP_GAS_2019!$D19)</f>
        <v>13.2</v>
      </c>
      <c r="I19" s="28">
        <f>+SUMIFS('Compilado-g-19'!L$3:L$3524,'Compilado-g-19'!$F$3:$F$3524,$D$4,'Compilado-g-19'!$B$3:$B$3524,Reporte_ECP_GAS_2019!$D19)</f>
        <v>44.3</v>
      </c>
      <c r="J19" s="28">
        <f>+SUMIFS('Compilado-g-19'!M$3:M$3524,'Compilado-g-19'!$F$3:$F$3524,$D$4,'Compilado-g-19'!$B$3:$B$3524,Reporte_ECP_GAS_2019!$D19)</f>
        <v>0</v>
      </c>
      <c r="K19" s="28">
        <f>+SUMIFS('Compilado-g-19'!N$3:N$3524,'Compilado-g-19'!$F$3:$F$3524,$D$4,'Compilado-g-19'!$B$3:$B$3524,Reporte_ECP_GAS_2019!$D19)</f>
        <v>0</v>
      </c>
      <c r="L19" s="28">
        <f>+SUMIFS('Compilado-g-19'!O$3:O$3524,'Compilado-g-19'!$F$3:$F$3524,$D$4,'Compilado-g-19'!$B$3:$B$3524,Reporte_ECP_GAS_2019!$D19)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+SUMIFS('Compilado-g-19'!H$3:H$3524,'Compilado-g-19'!$F$3:$F$3524,$D$4,'Compilado-g-19'!$B$3:$B$3524,Reporte_ECP_GAS_2019!$D20)</f>
        <v>1639.74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1592.01</v>
      </c>
      <c r="H20" s="28">
        <f>+SUMIFS('Compilado-g-19'!K$3:K$3524,'Compilado-g-19'!$F$3:$F$3524,$D$4,'Compilado-g-19'!$B$3:$B$3524,Reporte_ECP_GAS_2019!$D20)</f>
        <v>5.25</v>
      </c>
      <c r="I20" s="28">
        <f>+SUMIFS('Compilado-g-19'!L$3:L$3524,'Compilado-g-19'!$F$3:$F$3524,$D$4,'Compilado-g-19'!$B$3:$B$3524,Reporte_ECP_GAS_2019!$D20)</f>
        <v>42.49</v>
      </c>
      <c r="J20" s="28">
        <f>+SUMIFS('Compilado-g-19'!M$3:M$3524,'Compilado-g-19'!$F$3:$F$3524,$D$4,'Compilado-g-19'!$B$3:$B$3524,Reporte_ECP_GAS_2019!$D20)</f>
        <v>0</v>
      </c>
      <c r="K20" s="28">
        <f>+SUMIFS('Compilado-g-19'!N$3:N$3524,'Compilado-g-19'!$F$3:$F$3524,$D$4,'Compilado-g-19'!$B$3:$B$3524,Reporte_ECP_GAS_2019!$D20)</f>
        <v>0</v>
      </c>
      <c r="L20" s="28">
        <f>+SUMIFS('Compilado-g-19'!O$3:O$3524,'Compilado-g-19'!$F$3:$F$3524,$D$4,'Compilado-g-19'!$B$3:$B$3524,Reporte_ECP_GAS_2019!$D20)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+SUMIFS('Compilado-g-19'!H$3:H$3524,'Compilado-g-19'!$F$3:$F$3524,$D$4,'Compilado-g-19'!$B$3:$B$3524,Reporte_ECP_GAS_2019!$D21)</f>
        <v>1692.53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1642.37</v>
      </c>
      <c r="H21" s="28">
        <f>+SUMIFS('Compilado-g-19'!K$3:K$3524,'Compilado-g-19'!$F$3:$F$3524,$D$4,'Compilado-g-19'!$B$3:$B$3524,Reporte_ECP_GAS_2019!$D21)</f>
        <v>6.33</v>
      </c>
      <c r="I21" s="28">
        <f>+SUMIFS('Compilado-g-19'!L$3:L$3524,'Compilado-g-19'!$F$3:$F$3524,$D$4,'Compilado-g-19'!$B$3:$B$3524,Reporte_ECP_GAS_2019!$D21)</f>
        <v>43.83</v>
      </c>
      <c r="J21" s="28">
        <f>+SUMIFS('Compilado-g-19'!M$3:M$3524,'Compilado-g-19'!$F$3:$F$3524,$D$4,'Compilado-g-19'!$B$3:$B$3524,Reporte_ECP_GAS_2019!$D21)</f>
        <v>0</v>
      </c>
      <c r="K21" s="28">
        <f>+SUMIFS('Compilado-g-19'!N$3:N$3524,'Compilado-g-19'!$F$3:$F$3524,$D$4,'Compilado-g-19'!$B$3:$B$3524,Reporte_ECP_GAS_2019!$D21)</f>
        <v>0</v>
      </c>
      <c r="L21" s="28">
        <f>+SUMIFS('Compilado-g-19'!O$3:O$3524,'Compilado-g-19'!$F$3:$F$3524,$D$4,'Compilado-g-19'!$B$3:$B$3524,Reporte_ECP_GAS_2019!$D21)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+SUMIFS('Compilado-g-19'!H$3:H$3524,'Compilado-g-19'!$F$3:$F$3524,$D$4,'Compilado-g-19'!$B$3:$B$3524,Reporte_ECP_GAS_2019!$D22)</f>
        <v>1826.68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1776.32</v>
      </c>
      <c r="H22" s="28">
        <f>+SUMIFS('Compilado-g-19'!K$3:K$3524,'Compilado-g-19'!$F$3:$F$3524,$D$4,'Compilado-g-19'!$B$3:$B$3524,Reporte_ECP_GAS_2019!$D22)</f>
        <v>4.46</v>
      </c>
      <c r="I22" s="28">
        <f>+SUMIFS('Compilado-g-19'!L$3:L$3524,'Compilado-g-19'!$F$3:$F$3524,$D$4,'Compilado-g-19'!$B$3:$B$3524,Reporte_ECP_GAS_2019!$D22)</f>
        <v>45.9</v>
      </c>
      <c r="J22" s="28">
        <f>+SUMIFS('Compilado-g-19'!M$3:M$3524,'Compilado-g-19'!$F$3:$F$3524,$D$4,'Compilado-g-19'!$B$3:$B$3524,Reporte_ECP_GAS_2019!$D22)</f>
        <v>0</v>
      </c>
      <c r="K22" s="28">
        <f>+SUMIFS('Compilado-g-19'!N$3:N$3524,'Compilado-g-19'!$F$3:$F$3524,$D$4,'Compilado-g-19'!$B$3:$B$3524,Reporte_ECP_GAS_2019!$D22)</f>
        <v>0</v>
      </c>
      <c r="L22" s="28">
        <f>+SUMIFS('Compilado-g-19'!O$3:O$3524,'Compilado-g-19'!$F$3:$F$3524,$D$4,'Compilado-g-19'!$B$3:$B$3524,Reporte_ECP_GAS_2019!$D22)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+SUMIFS('Compilado-g-19'!H$3:H$3524,'Compilado-g-19'!$F$3:$F$3524,$D$4,'Compilado-g-19'!$B$3:$B$3524,Reporte_ECP_GAS_2019!$D23)</f>
        <v>1833.01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1781.64</v>
      </c>
      <c r="H23" s="28">
        <f>+SUMIFS('Compilado-g-19'!K$3:K$3524,'Compilado-g-19'!$F$3:$F$3524,$D$4,'Compilado-g-19'!$B$3:$B$3524,Reporte_ECP_GAS_2019!$D23)</f>
        <v>5.2</v>
      </c>
      <c r="I23" s="28">
        <f>+SUMIFS('Compilado-g-19'!L$3:L$3524,'Compilado-g-19'!$F$3:$F$3524,$D$4,'Compilado-g-19'!$B$3:$B$3524,Reporte_ECP_GAS_2019!$D23)</f>
        <v>46.18</v>
      </c>
      <c r="J23" s="28">
        <f>+SUMIFS('Compilado-g-19'!M$3:M$3524,'Compilado-g-19'!$F$3:$F$3524,$D$4,'Compilado-g-19'!$B$3:$B$3524,Reporte_ECP_GAS_2019!$D23)</f>
        <v>0</v>
      </c>
      <c r="K23" s="28">
        <f>+SUMIFS('Compilado-g-19'!N$3:N$3524,'Compilado-g-19'!$F$3:$F$3524,$D$4,'Compilado-g-19'!$B$3:$B$3524,Reporte_ECP_GAS_2019!$D23)</f>
        <v>0</v>
      </c>
      <c r="L23" s="28">
        <f>+SUMIFS('Compilado-g-19'!O$3:O$3524,'Compilado-g-19'!$F$3:$F$3524,$D$4,'Compilado-g-19'!$B$3:$B$3524,Reporte_ECP_GAS_2019!$D23)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19025.48</v>
      </c>
      <c r="F26" s="28">
        <f t="shared" ref="F26:L26" si="0">+SUM(F12:F23)</f>
        <v>0</v>
      </c>
      <c r="G26" s="28">
        <f t="shared" si="0"/>
        <v>18477.329999999998</v>
      </c>
      <c r="H26" s="28">
        <f t="shared" si="0"/>
        <v>62.48</v>
      </c>
      <c r="I26" s="28">
        <f t="shared" si="0"/>
        <v>485.7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53" t="str">
        <f>+ROUND(SUMIF('Combinado-o-19'!E13:E467,Reporte_ECP_GAS_2019!$D$4,'Combinado-o-19'!R13:R467),1)&amp;" Bl/año"</f>
        <v>1250636,4 Bl/año</v>
      </c>
      <c r="S26" s="14" t="s">
        <v>817</v>
      </c>
    </row>
    <row r="27" spans="4:23" x14ac:dyDescent="0.25">
      <c r="D27" s="28" t="s">
        <v>568</v>
      </c>
      <c r="E27" s="33">
        <f>+E26/365</f>
        <v>52.124602739726029</v>
      </c>
      <c r="F27" s="33">
        <f t="shared" ref="F27:L27" si="1">+F26/365</f>
        <v>0</v>
      </c>
      <c r="G27" s="33">
        <f t="shared" si="1"/>
        <v>50.622821917808217</v>
      </c>
      <c r="H27" s="33">
        <f t="shared" si="1"/>
        <v>0.17117808219178082</v>
      </c>
      <c r="I27" s="33">
        <f t="shared" si="1"/>
        <v>1.3306849315068492</v>
      </c>
      <c r="J27" s="33">
        <f t="shared" si="1"/>
        <v>0</v>
      </c>
      <c r="K27" s="33">
        <f t="shared" si="1"/>
        <v>0</v>
      </c>
      <c r="L27" s="33">
        <f t="shared" si="1"/>
        <v>0</v>
      </c>
      <c r="M27" s="53" t="str">
        <f>+ROUND(SUMIF('Combinado-o-19'!E13:E467,Reporte_ECP_GAS_2019!$D$4,'Combinado-o-19'!R13:R467)/365,1)&amp;" Bl/d"</f>
        <v>3426,4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CASANARE</v>
      </c>
      <c r="D33" s="28" t="str">
        <f>+D4</f>
        <v>floreña mirador</v>
      </c>
      <c r="E33" s="33">
        <f>+E27</f>
        <v>52.124602739726029</v>
      </c>
      <c r="F33" s="33">
        <f t="shared" ref="F33:L33" si="2">+F27</f>
        <v>0</v>
      </c>
      <c r="G33" s="33">
        <f t="shared" si="2"/>
        <v>50.622821917808217</v>
      </c>
      <c r="H33" s="33">
        <f t="shared" si="2"/>
        <v>0.17117808219178082</v>
      </c>
      <c r="I33" s="33">
        <f t="shared" si="2"/>
        <v>1.3306849315068492</v>
      </c>
      <c r="J33" s="33">
        <f>+J27</f>
        <v>0</v>
      </c>
      <c r="K33" s="33">
        <f>+K27</f>
        <v>0</v>
      </c>
      <c r="L33" s="33">
        <f t="shared" si="2"/>
        <v>0</v>
      </c>
      <c r="M33" s="54">
        <f>+SUMIF('Combinado-o-19'!E13:E467,Reporte_ECP_GAS_2019!$D$4,'Combinado-o-19'!R13:R467)/365</f>
        <v>3426.4012054794521</v>
      </c>
      <c r="N33" s="31">
        <f>+E33/M33</f>
        <v>1.521263845470551E-2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C69" s="28" t="s">
        <v>19</v>
      </c>
      <c r="D69" s="69" t="s">
        <v>870</v>
      </c>
      <c r="E69" s="69">
        <v>52.124602739726029</v>
      </c>
      <c r="F69" s="69">
        <v>0</v>
      </c>
      <c r="G69" s="69">
        <v>50.622821917808217</v>
      </c>
      <c r="H69" s="69">
        <v>0.17117808219178082</v>
      </c>
      <c r="I69" s="69">
        <v>1.3306849315068492</v>
      </c>
      <c r="J69" s="69">
        <v>0</v>
      </c>
      <c r="K69" s="69">
        <v>0</v>
      </c>
      <c r="L69" s="69">
        <v>0</v>
      </c>
      <c r="M69" s="69">
        <v>3426.4012054794521</v>
      </c>
      <c r="N69" s="69">
        <v>1.521263845470551E-2</v>
      </c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99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tabSelected="1" topLeftCell="A6" zoomScaleNormal="100" workbookViewId="0">
      <selection activeCell="E33" sqref="E33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871</v>
      </c>
    </row>
    <row r="5" spans="1:28" x14ac:dyDescent="0.25">
      <c r="C5" s="62" t="s">
        <v>788</v>
      </c>
      <c r="D5" s="58" t="str">
        <f>+_xlfn.XLOOKUP($D$4,'Compilado-g-19'!F3:F3524,'Compilado-g-19'!C3:C3524)</f>
        <v>GUAJIRA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</row>
    <row r="7" spans="1:28" x14ac:dyDescent="0.25">
      <c r="C7" s="63" t="s">
        <v>790</v>
      </c>
      <c r="D7" s="59" t="str">
        <f>+_xlfn.XLOOKUP($D$4,'Compilado-g-19'!F3:F3524,'Compilado-g-19'!E3:E3524)</f>
        <v>CHEVRON PETROLEUM COMPANY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59477.770000000004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82.1</v>
      </c>
      <c r="I11" s="28">
        <f>+SUMIFS('Compilado-g-19'!L3:L3524,'Compilado-g-19'!$F$3:$F$3524,$D$4)</f>
        <v>2384.1599999999994</v>
      </c>
      <c r="J11" s="28">
        <f>+SUMIFS('Compilado-g-19'!M3:M3524,'Compilado-g-19'!$F$3:$F$3524,$D$4)</f>
        <v>4849.79</v>
      </c>
      <c r="K11" s="28">
        <f>+SUMIFS('Compilado-g-19'!N3:N3524,'Compilado-g-19'!$F$3:$F$3524,$D$4)</f>
        <v>0</v>
      </c>
      <c r="L11" s="28">
        <f>+SUMIFS('Compilado-g-19'!O3:O3524,'Compilado-g-19'!$F$3:$F$3524,$D$4)</f>
        <v>52161.73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5746.16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9.94</v>
      </c>
      <c r="I12" s="28">
        <f>+SUMIFS('Compilado-g-19'!L$3:L$3524,'Compilado-g-19'!$F$3:$F$3524,$D$4,'Compilado-g-19'!$B$3:$B$3524,Reporte_ECP_OIL_2019!$D12)</f>
        <v>223.34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5512.88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5049.05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5.96</v>
      </c>
      <c r="I13" s="28">
        <f>+SUMIFS('Compilado-g-19'!L$3:L$3524,'Compilado-g-19'!$F$3:$F$3524,$D$4,'Compilado-g-19'!$B$3:$B$3524,Reporte_ECP_OIL_2019!$D13)</f>
        <v>193.29</v>
      </c>
      <c r="J13" s="28">
        <f>+SUMIFS('Compilado-g-19'!M$3:M$3524,'Compilado-g-19'!$F$3:$F$3524,$D$4,'Compilado-g-19'!$B$3:$B$3524,Reporte_ECP_OIL_2019!$D13)</f>
        <v>4849.79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5321.53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5.21</v>
      </c>
      <c r="I14" s="28">
        <f>+SUMIFS('Compilado-g-19'!L$3:L$3524,'Compilado-g-19'!$F$3:$F$3524,$D$4,'Compilado-g-19'!$B$3:$B$3524,Reporte_ECP_OIL_2019!$D14)</f>
        <v>198.9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5117.42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5080.5200000000004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4.51</v>
      </c>
      <c r="I15" s="28">
        <f>+SUMIFS('Compilado-g-19'!L$3:L$3524,'Compilado-g-19'!$F$3:$F$3524,$D$4,'Compilado-g-19'!$B$3:$B$3524,Reporte_ECP_OIL_2019!$D15)</f>
        <v>191.9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4884.1099999999997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4991.6099999999997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6.17</v>
      </c>
      <c r="I16" s="28">
        <f>+SUMIFS('Compilado-g-19'!L$3:L$3524,'Compilado-g-19'!$F$3:$F$3524,$D$4,'Compilado-g-19'!$B$3:$B$3524,Reporte_ECP_OIL_2019!$D16)</f>
        <v>187.39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4798.0600000000004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5110.5600000000004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5.23</v>
      </c>
      <c r="I17" s="28">
        <f>+SUMIFS('Compilado-g-19'!L$3:L$3524,'Compilado-g-19'!$F$3:$F$3524,$D$4,'Compilado-g-19'!$B$3:$B$3524,Reporte_ECP_OIL_2019!$D17)</f>
        <v>208.08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4897.26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4839.6899999999996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8.35</v>
      </c>
      <c r="I18" s="28">
        <f>+SUMIFS('Compilado-g-19'!L$3:L$3524,'Compilado-g-19'!$F$3:$F$3524,$D$4,'Compilado-g-19'!$B$3:$B$3524,Reporte_ECP_OIL_2019!$D18)</f>
        <v>180.36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4650.9799999999996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4833.05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9.15</v>
      </c>
      <c r="I19" s="28">
        <f>+SUMIFS('Compilado-g-19'!L$3:L$3524,'Compilado-g-19'!$F$3:$F$3524,$D$4,'Compilado-g-19'!$B$3:$B$3524,Reporte_ECP_OIL_2019!$D19)</f>
        <v>195.5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4628.3999999999996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4941.41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5.26</v>
      </c>
      <c r="I20" s="28">
        <f>+SUMIFS('Compilado-g-19'!L$3:L$3524,'Compilado-g-19'!$F$3:$F$3524,$D$4,'Compilado-g-19'!$B$3:$B$3524,Reporte_ECP_OIL_2019!$D20)</f>
        <v>217.87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4718.29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5024.4399999999996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6.5</v>
      </c>
      <c r="I21" s="28">
        <f>+SUMIFS('Compilado-g-19'!L$3:L$3524,'Compilado-g-19'!$F$3:$F$3524,$D$4,'Compilado-g-19'!$B$3:$B$3524,Reporte_ECP_OIL_2019!$D21)</f>
        <v>222.01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4795.93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4635.95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6.5</v>
      </c>
      <c r="I22" s="28">
        <f>+SUMIFS('Compilado-g-19'!L$3:L$3524,'Compilado-g-19'!$F$3:$F$3524,$D$4,'Compilado-g-19'!$B$3:$B$3524,Reporte_ECP_OIL_2019!$D22)</f>
        <v>199.15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4430.3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3903.8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9.32</v>
      </c>
      <c r="I23" s="28">
        <f>+SUMIFS('Compilado-g-19'!L$3:L$3524,'Compilado-g-19'!$F$3:$F$3524,$D$4,'Compilado-g-19'!$B$3:$B$3524,Reporte_ECP_OIL_2019!$D23)</f>
        <v>166.37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3728.1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59477.770000000004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82.1</v>
      </c>
      <c r="I26" s="28">
        <f t="shared" si="0"/>
        <v>2384.1599999999994</v>
      </c>
      <c r="J26" s="28">
        <f t="shared" si="0"/>
        <v>4849.79</v>
      </c>
      <c r="K26" s="28">
        <f t="shared" si="0"/>
        <v>0</v>
      </c>
      <c r="L26" s="28">
        <f t="shared" si="0"/>
        <v>52161.73</v>
      </c>
      <c r="M26" s="53" t="str">
        <f>+ROUND(SUMIF('Combinado-o-19'!E13:E467,Reporte_ECP_OIL_2019!$D$4,'Combinado-o-19'!R13:R467),1)&amp;" Bl/año"</f>
        <v>0 Bl/año</v>
      </c>
      <c r="S26" s="14" t="s">
        <v>817</v>
      </c>
    </row>
    <row r="27" spans="4:23" x14ac:dyDescent="0.25">
      <c r="D27" s="28" t="s">
        <v>568</v>
      </c>
      <c r="E27" s="33">
        <f>+E26/365</f>
        <v>162.95279452054797</v>
      </c>
      <c r="F27" s="33">
        <f t="shared" ref="F27:L27" si="1">+F26/365</f>
        <v>0</v>
      </c>
      <c r="G27" s="33">
        <f t="shared" si="1"/>
        <v>0</v>
      </c>
      <c r="H27" s="33">
        <f t="shared" si="1"/>
        <v>0.22493150684931507</v>
      </c>
      <c r="I27" s="33">
        <f t="shared" si="1"/>
        <v>6.5319452054794507</v>
      </c>
      <c r="J27" s="33">
        <f t="shared" si="1"/>
        <v>13.287095890410958</v>
      </c>
      <c r="K27" s="33">
        <f t="shared" si="1"/>
        <v>0</v>
      </c>
      <c r="L27" s="33">
        <f t="shared" si="1"/>
        <v>142.90884931506849</v>
      </c>
      <c r="M27" s="53" t="str">
        <f>+ROUND(SUMIF('Combinado-o-19'!E13:E467,Reporte_ECP_OIL_2019!$D$4,'Combinado-o-19'!R13:R467)/365,1)&amp;" Bl/d"</f>
        <v>0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e">
        <f>+D6</f>
        <v>#N/A</v>
      </c>
      <c r="D33" s="28" t="str">
        <f>+D4</f>
        <v>chuchupa</v>
      </c>
      <c r="E33" s="33">
        <f>+E27</f>
        <v>162.95279452054797</v>
      </c>
      <c r="F33" s="33">
        <f t="shared" ref="F33:L33" si="2">+F27</f>
        <v>0</v>
      </c>
      <c r="G33" s="33">
        <f t="shared" si="2"/>
        <v>0</v>
      </c>
      <c r="H33" s="33">
        <f t="shared" si="2"/>
        <v>0.22493150684931507</v>
      </c>
      <c r="I33" s="33">
        <f t="shared" si="2"/>
        <v>6.5319452054794507</v>
      </c>
      <c r="J33" s="33">
        <f>+J27</f>
        <v>13.287095890410958</v>
      </c>
      <c r="K33" s="33">
        <f>+K27</f>
        <v>0</v>
      </c>
      <c r="L33" s="33">
        <f t="shared" si="2"/>
        <v>142.90884931506849</v>
      </c>
      <c r="M33" s="54">
        <f>+SUMIF('Combinado-o-19'!E13:E467,Reporte_ECP_OIL_2019!$D$4,'Combinado-o-19'!R13:R467)/365</f>
        <v>0</v>
      </c>
      <c r="N33" s="31" t="e">
        <f>+E33/M33</f>
        <v>#DIV/0!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C69" s="28" t="s">
        <v>19</v>
      </c>
      <c r="D69" s="28" t="s">
        <v>408</v>
      </c>
      <c r="E69" s="33">
        <v>52.124602739726029</v>
      </c>
      <c r="F69" s="33">
        <v>0</v>
      </c>
      <c r="G69" s="33">
        <v>50.622821917808217</v>
      </c>
      <c r="H69" s="33">
        <v>0.17117808219178082</v>
      </c>
      <c r="I69" s="33">
        <v>1.3306849315068492</v>
      </c>
      <c r="J69" s="33">
        <v>0</v>
      </c>
      <c r="K69" s="33">
        <v>0</v>
      </c>
      <c r="L69" s="33">
        <v>0</v>
      </c>
      <c r="M69" s="54">
        <v>3426.4012054794521</v>
      </c>
      <c r="N69" s="31">
        <v>1.521263845470551E-2</v>
      </c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18" spans="3:15" x14ac:dyDescent="0.25">
      <c r="C118" s="28" t="s">
        <v>19</v>
      </c>
      <c r="D118" s="28" t="s">
        <v>408</v>
      </c>
      <c r="E118" s="28">
        <v>52.124602739726029</v>
      </c>
      <c r="F118" s="28">
        <v>0</v>
      </c>
      <c r="G118" s="28">
        <v>50.622821917808217</v>
      </c>
      <c r="H118" s="28">
        <v>0.17117808219178082</v>
      </c>
      <c r="I118" s="28">
        <v>1.3306849315068492</v>
      </c>
      <c r="J118" s="28">
        <v>0</v>
      </c>
      <c r="K118" s="28">
        <v>0</v>
      </c>
      <c r="L118" s="28">
        <v>0</v>
      </c>
      <c r="M118" s="28">
        <v>3426.4012054794521</v>
      </c>
    </row>
    <row r="121" spans="3:15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E125" s="28">
        <f>+E90+E91</f>
        <v>3.7935616438356163</v>
      </c>
      <c r="F125" s="28">
        <f t="shared" ref="F125:M125" si="6">+F90+F91</f>
        <v>0</v>
      </c>
      <c r="G125" s="28">
        <f t="shared" si="6"/>
        <v>0</v>
      </c>
      <c r="H125" s="28">
        <f t="shared" si="6"/>
        <v>2.9221917808219184</v>
      </c>
      <c r="I125" s="28">
        <f t="shared" si="6"/>
        <v>0.87139726027397268</v>
      </c>
      <c r="J125" s="28">
        <f t="shared" si="6"/>
        <v>0</v>
      </c>
      <c r="K125" s="28">
        <f t="shared" si="6"/>
        <v>0</v>
      </c>
      <c r="L125" s="28">
        <f t="shared" si="6"/>
        <v>0</v>
      </c>
      <c r="M125" s="28">
        <f t="shared" si="6"/>
        <v>69090.784575342463</v>
      </c>
      <c r="N125" s="28">
        <f t="shared" si="5"/>
        <v>0.12973792518881891</v>
      </c>
      <c r="O125" s="31">
        <f t="shared" ref="O125:O142" si="7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8">+F92+F93</f>
        <v>0</v>
      </c>
      <c r="G126" s="80">
        <f t="shared" si="8"/>
        <v>0</v>
      </c>
      <c r="H126" s="80">
        <f t="shared" si="8"/>
        <v>1.6441095890410957</v>
      </c>
      <c r="I126" s="80">
        <f t="shared" si="8"/>
        <v>1.396739726027397</v>
      </c>
      <c r="J126" s="80">
        <f t="shared" si="8"/>
        <v>3.7358630136986304</v>
      </c>
      <c r="K126" s="80">
        <f t="shared" si="8"/>
        <v>0</v>
      </c>
      <c r="L126" s="80">
        <f t="shared" si="8"/>
        <v>0</v>
      </c>
      <c r="M126" s="80">
        <f t="shared" si="8"/>
        <v>42334.39687671233</v>
      </c>
      <c r="N126" s="28">
        <f t="shared" si="5"/>
        <v>7.9495070850083033E-2</v>
      </c>
      <c r="O126" s="31">
        <f t="shared" si="7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9">+F94+F95</f>
        <v>0</v>
      </c>
      <c r="G127" s="80">
        <f t="shared" si="9"/>
        <v>225.24104109589044</v>
      </c>
      <c r="H127" s="80">
        <f t="shared" si="9"/>
        <v>1.2202465753424658</v>
      </c>
      <c r="I127" s="80">
        <f t="shared" si="9"/>
        <v>9.0779452054794518</v>
      </c>
      <c r="J127" s="80">
        <f t="shared" si="9"/>
        <v>142.09446575342469</v>
      </c>
      <c r="K127" s="80">
        <f t="shared" si="9"/>
        <v>0</v>
      </c>
      <c r="L127" s="80">
        <f t="shared" si="9"/>
        <v>57.767424657534249</v>
      </c>
      <c r="M127" s="80">
        <f t="shared" si="9"/>
        <v>27008.407917808221</v>
      </c>
      <c r="N127" s="28">
        <f t="shared" si="5"/>
        <v>5.0716095170241289E-2</v>
      </c>
      <c r="O127" s="31">
        <f t="shared" si="7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10">+F96</f>
        <v>0</v>
      </c>
      <c r="G128" s="80">
        <f t="shared" si="10"/>
        <v>0</v>
      </c>
      <c r="H128" s="80">
        <f t="shared" si="10"/>
        <v>0.58205479452054798</v>
      </c>
      <c r="I128" s="80">
        <f t="shared" si="10"/>
        <v>0</v>
      </c>
      <c r="J128" s="80">
        <f t="shared" si="10"/>
        <v>0</v>
      </c>
      <c r="K128" s="80">
        <f t="shared" si="10"/>
        <v>0</v>
      </c>
      <c r="L128" s="80">
        <f t="shared" si="10"/>
        <v>0</v>
      </c>
      <c r="M128" s="80">
        <f t="shared" si="10"/>
        <v>19756.607616438356</v>
      </c>
      <c r="N128" s="28">
        <f t="shared" si="5"/>
        <v>3.7098743293777749E-2</v>
      </c>
      <c r="O128" s="31">
        <f t="shared" si="7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1">+F97</f>
        <v>0</v>
      </c>
      <c r="G129" s="80">
        <f t="shared" si="11"/>
        <v>0</v>
      </c>
      <c r="H129" s="80">
        <f t="shared" si="11"/>
        <v>0.21123287671232879</v>
      </c>
      <c r="I129" s="80">
        <f t="shared" si="11"/>
        <v>2.4027123287671235</v>
      </c>
      <c r="J129" s="80">
        <f t="shared" si="11"/>
        <v>0</v>
      </c>
      <c r="K129" s="80">
        <f t="shared" si="11"/>
        <v>0</v>
      </c>
      <c r="L129" s="80">
        <f t="shared" si="11"/>
        <v>2.4430958904109596</v>
      </c>
      <c r="M129" s="80">
        <f t="shared" si="11"/>
        <v>17849.99879452055</v>
      </c>
      <c r="N129" s="28">
        <f t="shared" si="5"/>
        <v>3.3518533947152478E-2</v>
      </c>
      <c r="O129" s="31">
        <f t="shared" si="7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2">+F98+F99</f>
        <v>0</v>
      </c>
      <c r="G130" s="80">
        <f t="shared" si="12"/>
        <v>0</v>
      </c>
      <c r="H130" s="80">
        <f t="shared" si="12"/>
        <v>0.23397260273972598</v>
      </c>
      <c r="I130" s="80">
        <f t="shared" si="12"/>
        <v>0.95542465753424666</v>
      </c>
      <c r="J130" s="80">
        <f t="shared" si="12"/>
        <v>0</v>
      </c>
      <c r="K130" s="80">
        <f t="shared" si="12"/>
        <v>0</v>
      </c>
      <c r="L130" s="80">
        <f t="shared" si="12"/>
        <v>0</v>
      </c>
      <c r="M130" s="80">
        <f t="shared" si="12"/>
        <v>12119.396575342465</v>
      </c>
      <c r="N130" s="28">
        <f t="shared" si="5"/>
        <v>2.275767131448319E-2</v>
      </c>
      <c r="O130" s="31">
        <f t="shared" si="7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3">+F100</f>
        <v>0</v>
      </c>
      <c r="G131" s="80">
        <f t="shared" si="13"/>
        <v>0</v>
      </c>
      <c r="H131" s="80">
        <f t="shared" si="13"/>
        <v>0.32594520547945199</v>
      </c>
      <c r="I131" s="80">
        <f t="shared" si="13"/>
        <v>0</v>
      </c>
      <c r="J131" s="80">
        <f t="shared" si="13"/>
        <v>0</v>
      </c>
      <c r="K131" s="80">
        <f t="shared" si="13"/>
        <v>0</v>
      </c>
      <c r="L131" s="80">
        <f t="shared" si="13"/>
        <v>0</v>
      </c>
      <c r="M131" s="80">
        <f t="shared" si="13"/>
        <v>9406.232876712329</v>
      </c>
      <c r="N131" s="28">
        <f t="shared" si="5"/>
        <v>1.7662921976761531E-2</v>
      </c>
      <c r="O131" s="31">
        <f t="shared" si="7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4">+F101</f>
        <v>0</v>
      </c>
      <c r="G132" s="80">
        <f t="shared" si="14"/>
        <v>0</v>
      </c>
      <c r="H132" s="80">
        <f t="shared" si="14"/>
        <v>1.3545479452054794</v>
      </c>
      <c r="I132" s="80">
        <f t="shared" si="14"/>
        <v>0.92394520547945225</v>
      </c>
      <c r="J132" s="80">
        <f t="shared" si="14"/>
        <v>0</v>
      </c>
      <c r="K132" s="80">
        <f t="shared" si="14"/>
        <v>0</v>
      </c>
      <c r="L132" s="80">
        <f t="shared" si="14"/>
        <v>0.81427397260273982</v>
      </c>
      <c r="M132" s="80">
        <f t="shared" si="14"/>
        <v>6688.0571232876719</v>
      </c>
      <c r="N132" s="28">
        <f t="shared" si="5"/>
        <v>1.2558761056960287E-2</v>
      </c>
      <c r="O132" s="31">
        <f t="shared" si="7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5">+F102+F103+F104</f>
        <v>0</v>
      </c>
      <c r="G133" s="80">
        <f t="shared" si="15"/>
        <v>396.38389041095888</v>
      </c>
      <c r="H133" s="80">
        <f t="shared" si="15"/>
        <v>2.2383835616438361</v>
      </c>
      <c r="I133" s="80">
        <f t="shared" si="15"/>
        <v>38.275260273972606</v>
      </c>
      <c r="J133" s="80">
        <f t="shared" si="15"/>
        <v>16.510794520547947</v>
      </c>
      <c r="K133" s="80">
        <f t="shared" si="15"/>
        <v>8.2636712328767121</v>
      </c>
      <c r="L133" s="80">
        <f t="shared" si="15"/>
        <v>196.07800000000003</v>
      </c>
      <c r="M133" s="80">
        <f t="shared" si="15"/>
        <v>10231.853999999999</v>
      </c>
      <c r="N133" s="28">
        <f t="shared" si="5"/>
        <v>1.9213264358683649E-2</v>
      </c>
      <c r="O133" s="31">
        <f t="shared" si="7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+E105+E118</f>
        <v>166.60868493150684</v>
      </c>
      <c r="F134" s="80">
        <f t="shared" ref="F134:M134" si="16">+F105+F118</f>
        <v>0</v>
      </c>
      <c r="G134" s="80">
        <f t="shared" si="16"/>
        <v>161.80676712328767</v>
      </c>
      <c r="H134" s="80">
        <f t="shared" si="16"/>
        <v>0.54767123287671238</v>
      </c>
      <c r="I134" s="80">
        <f t="shared" si="16"/>
        <v>4.2543287671232868</v>
      </c>
      <c r="J134" s="80">
        <f t="shared" si="16"/>
        <v>0</v>
      </c>
      <c r="K134" s="80">
        <f t="shared" si="16"/>
        <v>0</v>
      </c>
      <c r="L134" s="80">
        <f t="shared" si="16"/>
        <v>0</v>
      </c>
      <c r="M134" s="80">
        <f t="shared" si="16"/>
        <v>8010.0189863013702</v>
      </c>
      <c r="N134" s="28">
        <f t="shared" si="5"/>
        <v>1.5041126691397616E-2</v>
      </c>
      <c r="O134" s="31">
        <f t="shared" si="7"/>
        <v>0.85600989788440085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7">+F106</f>
        <v>0</v>
      </c>
      <c r="G135" s="80">
        <f t="shared" si="17"/>
        <v>0</v>
      </c>
      <c r="H135" s="80">
        <f t="shared" si="17"/>
        <v>0</v>
      </c>
      <c r="I135" s="80">
        <f t="shared" si="17"/>
        <v>0</v>
      </c>
      <c r="J135" s="80">
        <f t="shared" si="17"/>
        <v>0</v>
      </c>
      <c r="K135" s="80">
        <f t="shared" si="17"/>
        <v>0</v>
      </c>
      <c r="L135" s="80">
        <f t="shared" si="17"/>
        <v>0</v>
      </c>
      <c r="M135" s="80">
        <f t="shared" si="17"/>
        <v>4459.6295890410956</v>
      </c>
      <c r="N135" s="28">
        <f t="shared" si="5"/>
        <v>8.3742440261612705E-3</v>
      </c>
      <c r="O135" s="31">
        <f t="shared" si="7"/>
        <v>0.86438414191056212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8">+F107</f>
        <v>0</v>
      </c>
      <c r="G136" s="80">
        <f t="shared" si="18"/>
        <v>0</v>
      </c>
      <c r="H136" s="80">
        <f t="shared" si="18"/>
        <v>0.41205479452054788</v>
      </c>
      <c r="I136" s="80">
        <f t="shared" si="18"/>
        <v>0.45498630136986301</v>
      </c>
      <c r="J136" s="80">
        <f t="shared" si="18"/>
        <v>0</v>
      </c>
      <c r="K136" s="80">
        <f t="shared" si="18"/>
        <v>0</v>
      </c>
      <c r="L136" s="80">
        <f t="shared" si="18"/>
        <v>0</v>
      </c>
      <c r="M136" s="80">
        <f t="shared" si="18"/>
        <v>4154.1152328767121</v>
      </c>
      <c r="N136" s="28">
        <f t="shared" si="5"/>
        <v>7.8005524849841454E-3</v>
      </c>
      <c r="O136" s="31">
        <f t="shared" si="7"/>
        <v>0.87218469439554625</v>
      </c>
    </row>
    <row r="137" spans="3:15" x14ac:dyDescent="0.25">
      <c r="C137" s="28" t="s">
        <v>863</v>
      </c>
      <c r="D137" s="28" t="s">
        <v>30</v>
      </c>
      <c r="E137" s="99">
        <f>+E108+E109</f>
        <v>1.1908493150684931</v>
      </c>
      <c r="F137" s="99">
        <f t="shared" ref="F137:M137" si="19">+F108+F109</f>
        <v>0</v>
      </c>
      <c r="G137" s="99">
        <f t="shared" si="19"/>
        <v>0</v>
      </c>
      <c r="H137" s="99">
        <f t="shared" si="19"/>
        <v>1.5506849315068495E-2</v>
      </c>
      <c r="I137" s="99">
        <f t="shared" si="19"/>
        <v>0</v>
      </c>
      <c r="J137" s="99">
        <f t="shared" si="19"/>
        <v>1.1751506849315068</v>
      </c>
      <c r="K137" s="99">
        <f t="shared" si="19"/>
        <v>0.52964383561643835</v>
      </c>
      <c r="L137" s="99">
        <f t="shared" si="19"/>
        <v>0</v>
      </c>
      <c r="M137" s="99">
        <f t="shared" si="19"/>
        <v>3941.1335068493149</v>
      </c>
      <c r="N137" s="28">
        <f t="shared" si="5"/>
        <v>7.4006177120941969E-3</v>
      </c>
      <c r="O137" s="31">
        <f t="shared" si="7"/>
        <v>0.87958531210764046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20">+F110+F111+F112</f>
        <v>0</v>
      </c>
      <c r="G138" s="80">
        <f t="shared" si="20"/>
        <v>0</v>
      </c>
      <c r="H138" s="80">
        <f t="shared" si="20"/>
        <v>0.22805479452054794</v>
      </c>
      <c r="I138" s="80">
        <f t="shared" si="20"/>
        <v>0.10339726027397263</v>
      </c>
      <c r="J138" s="80">
        <f t="shared" si="20"/>
        <v>1.5925479452054794</v>
      </c>
      <c r="K138" s="80">
        <f t="shared" si="20"/>
        <v>0.55931506849315071</v>
      </c>
      <c r="L138" s="80">
        <f t="shared" si="20"/>
        <v>3.4794520547945205E-3</v>
      </c>
      <c r="M138" s="80">
        <f t="shared" si="20"/>
        <v>4684.6815890410962</v>
      </c>
      <c r="N138" s="28">
        <f t="shared" si="5"/>
        <v>8.7968442284755803E-3</v>
      </c>
      <c r="O138" s="31">
        <f t="shared" si="7"/>
        <v>0.88838215633611606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1">+F113+F114</f>
        <v>0</v>
      </c>
      <c r="G139" s="80">
        <f t="shared" si="21"/>
        <v>0</v>
      </c>
      <c r="H139" s="80">
        <f t="shared" si="21"/>
        <v>0.24364383561643835</v>
      </c>
      <c r="I139" s="80">
        <f t="shared" si="21"/>
        <v>0</v>
      </c>
      <c r="J139" s="80">
        <f t="shared" si="21"/>
        <v>2.9598356164383564</v>
      </c>
      <c r="K139" s="80">
        <f t="shared" si="21"/>
        <v>1.3757260273972602</v>
      </c>
      <c r="L139" s="80">
        <f t="shared" si="21"/>
        <v>0</v>
      </c>
      <c r="M139" s="80">
        <f t="shared" si="21"/>
        <v>4210.8083835616435</v>
      </c>
      <c r="N139" s="28">
        <f t="shared" si="5"/>
        <v>7.90701026784894E-3</v>
      </c>
      <c r="O139" s="31">
        <f t="shared" si="7"/>
        <v>0.89628916660396496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2">+F115</f>
        <v>0</v>
      </c>
      <c r="G140" s="80">
        <f t="shared" si="22"/>
        <v>0</v>
      </c>
      <c r="H140" s="80">
        <f t="shared" si="22"/>
        <v>9.2904109589041092E-2</v>
      </c>
      <c r="I140" s="80">
        <f t="shared" si="22"/>
        <v>3.0444931506849313</v>
      </c>
      <c r="J140" s="80">
        <f t="shared" si="22"/>
        <v>0</v>
      </c>
      <c r="K140" s="80">
        <f t="shared" si="22"/>
        <v>0</v>
      </c>
      <c r="L140" s="80">
        <f t="shared" si="22"/>
        <v>0</v>
      </c>
      <c r="M140" s="80">
        <f t="shared" si="22"/>
        <v>4233.3403013698626</v>
      </c>
      <c r="N140" s="28">
        <f t="shared" si="5"/>
        <v>7.9493204584905816E-3</v>
      </c>
      <c r="O140" s="31">
        <f t="shared" si="7"/>
        <v>0.90423848706245558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3">+F116</f>
        <v>0</v>
      </c>
      <c r="G141" s="80">
        <f t="shared" si="23"/>
        <v>0</v>
      </c>
      <c r="H141" s="80">
        <f t="shared" si="23"/>
        <v>3.4626301369863017</v>
      </c>
      <c r="I141" s="80">
        <f t="shared" si="23"/>
        <v>0</v>
      </c>
      <c r="J141" s="80">
        <f t="shared" si="23"/>
        <v>0</v>
      </c>
      <c r="K141" s="80">
        <f t="shared" si="23"/>
        <v>0</v>
      </c>
      <c r="L141" s="80">
        <f t="shared" si="23"/>
        <v>0</v>
      </c>
      <c r="M141" s="80">
        <f t="shared" si="23"/>
        <v>1962.0646849315069</v>
      </c>
      <c r="N141" s="28">
        <f t="shared" si="5"/>
        <v>3.6843437641336935E-3</v>
      </c>
      <c r="O141" s="31">
        <f t="shared" si="7"/>
        <v>0.90792283082658931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4">+F117</f>
        <v>0</v>
      </c>
      <c r="G142" s="80">
        <f t="shared" si="24"/>
        <v>0</v>
      </c>
      <c r="H142" s="80">
        <f t="shared" si="24"/>
        <v>0.1378630136986301</v>
      </c>
      <c r="I142" s="80">
        <f t="shared" si="24"/>
        <v>0.10038356164383562</v>
      </c>
      <c r="J142" s="80">
        <f t="shared" si="24"/>
        <v>0</v>
      </c>
      <c r="K142" s="80">
        <f t="shared" si="24"/>
        <v>0</v>
      </c>
      <c r="L142" s="80">
        <f t="shared" si="24"/>
        <v>0</v>
      </c>
      <c r="M142" s="80">
        <f t="shared" si="24"/>
        <v>1476.5236986301368</v>
      </c>
      <c r="N142" s="28">
        <f t="shared" si="5"/>
        <v>2.7726001713513668E-3</v>
      </c>
      <c r="O142" s="31">
        <f t="shared" si="7"/>
        <v>0.9106954309979407</v>
      </c>
    </row>
    <row r="143" spans="3:15" x14ac:dyDescent="0.25">
      <c r="D143" s="28" t="s">
        <v>833</v>
      </c>
      <c r="M143" s="77">
        <f>+M146-SUM(M123:M142)</f>
        <v>47558.358356164186</v>
      </c>
      <c r="N143" s="28">
        <f t="shared" si="5"/>
        <v>8.9304569002059075E-2</v>
      </c>
      <c r="O143" s="31">
        <f>+N143+O142</f>
        <v>0.99999999999999978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v>0.22403654906646361</v>
      </c>
      <c r="O151" s="97"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v>0.21417323496957763</v>
      </c>
      <c r="O152" s="97">
        <v>0.43820978403604127</v>
      </c>
      <c r="Q152" s="28">
        <f t="shared" ref="Q152:Q170" si="25">+L152+J152-K152</f>
        <v>0</v>
      </c>
    </row>
    <row r="153" spans="3:17" x14ac:dyDescent="0.25">
      <c r="C153" s="28" t="s">
        <v>796</v>
      </c>
      <c r="D153" s="28" t="s">
        <v>189</v>
      </c>
      <c r="E153" s="80">
        <v>3.7935616438356163</v>
      </c>
      <c r="F153" s="80">
        <v>0</v>
      </c>
      <c r="G153" s="80">
        <v>0</v>
      </c>
      <c r="H153" s="80">
        <v>2.9221917808219184</v>
      </c>
      <c r="I153" s="80">
        <v>0.87139726027397268</v>
      </c>
      <c r="J153" s="80">
        <v>0</v>
      </c>
      <c r="K153" s="80">
        <v>0</v>
      </c>
      <c r="L153" s="80">
        <v>0</v>
      </c>
      <c r="M153" s="80">
        <v>69090.784575342463</v>
      </c>
      <c r="N153" s="97">
        <v>0.12973792518881891</v>
      </c>
      <c r="O153" s="97"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v>7.9495070850083033E-2</v>
      </c>
      <c r="O154" s="97">
        <v>0.64744278007494316</v>
      </c>
      <c r="Q154" s="28">
        <f>+L154+J154-K154</f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v>5.0716095170241289E-2</v>
      </c>
      <c r="O155" s="97">
        <v>0.6981588752451845</v>
      </c>
      <c r="Q155" s="28">
        <f t="shared" si="25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v>3.7098743293777749E-2</v>
      </c>
      <c r="O156" s="97">
        <v>0.73525761853896221</v>
      </c>
      <c r="Q156" s="28">
        <f t="shared" si="25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v>3.3518533947152478E-2</v>
      </c>
      <c r="O157" s="97">
        <v>0.76877615248611464</v>
      </c>
      <c r="Q157" s="28">
        <f t="shared" si="25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v>2.275767131448319E-2</v>
      </c>
      <c r="O158" s="97">
        <v>0.79153382380059778</v>
      </c>
      <c r="Q158" s="28">
        <f t="shared" si="25"/>
        <v>0</v>
      </c>
    </row>
    <row r="159" spans="3:17" x14ac:dyDescent="0.25">
      <c r="C159" s="28" t="s">
        <v>811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v>1.9213264358683649E-2</v>
      </c>
      <c r="O159" s="97">
        <v>0.84096877119300328</v>
      </c>
      <c r="Q159" s="28">
        <f>+L160+J160-K160</f>
        <v>0</v>
      </c>
    </row>
    <row r="160" spans="3:17" x14ac:dyDescent="0.25">
      <c r="C160" s="28" t="s">
        <v>812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v>1.7662921976761531E-2</v>
      </c>
      <c r="O160" s="97">
        <v>0.80919674577735934</v>
      </c>
      <c r="Q160" s="28">
        <f>+L162+J162-K162</f>
        <v>0.81427397260273982</v>
      </c>
    </row>
    <row r="161" spans="3:17" x14ac:dyDescent="0.25">
      <c r="C161" s="28" t="s">
        <v>817</v>
      </c>
      <c r="D161" s="28" t="s">
        <v>406</v>
      </c>
      <c r="E161" s="28">
        <v>166.60868493150684</v>
      </c>
      <c r="F161" s="28">
        <v>0</v>
      </c>
      <c r="G161" s="28">
        <v>161.80676712328767</v>
      </c>
      <c r="H161" s="28">
        <v>0.54767123287671238</v>
      </c>
      <c r="I161" s="28">
        <v>4.2543287671232868</v>
      </c>
      <c r="J161" s="28">
        <v>0</v>
      </c>
      <c r="K161" s="28">
        <v>0</v>
      </c>
      <c r="L161" s="28">
        <v>0</v>
      </c>
      <c r="M161" s="28">
        <v>8010.0189863013702</v>
      </c>
      <c r="N161" s="97">
        <v>1.5041126691397616E-2</v>
      </c>
      <c r="O161" s="97">
        <v>0.85600989788440085</v>
      </c>
      <c r="Q161" s="28">
        <f>+L159+J159-K159</f>
        <v>204.32512328767129</v>
      </c>
    </row>
    <row r="162" spans="3:17" x14ac:dyDescent="0.25">
      <c r="C162" s="28" t="s">
        <v>810</v>
      </c>
      <c r="D162" s="28" t="s">
        <v>398</v>
      </c>
      <c r="E162" s="28">
        <v>3.0927397260273972</v>
      </c>
      <c r="F162" s="28">
        <v>0</v>
      </c>
      <c r="G162" s="28">
        <v>0</v>
      </c>
      <c r="H162" s="28">
        <v>1.3545479452054794</v>
      </c>
      <c r="I162" s="28">
        <v>0.92394520547945225</v>
      </c>
      <c r="J162" s="28">
        <v>0</v>
      </c>
      <c r="K162" s="28">
        <v>0</v>
      </c>
      <c r="L162" s="28">
        <v>0.81427397260273982</v>
      </c>
      <c r="M162" s="28">
        <v>6688.0571232876719</v>
      </c>
      <c r="N162" s="97">
        <v>1.2558761056960287E-2</v>
      </c>
      <c r="O162" s="97">
        <v>0.82175550683431964</v>
      </c>
      <c r="Q162" s="28">
        <f>+L161+J161-K161</f>
        <v>0</v>
      </c>
    </row>
    <row r="163" spans="3:17" x14ac:dyDescent="0.25">
      <c r="C163" s="28" t="s">
        <v>813</v>
      </c>
      <c r="D163" s="28" t="s">
        <v>827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4459.6295890410956</v>
      </c>
      <c r="N163" s="97">
        <v>8.3742440261612705E-3</v>
      </c>
      <c r="O163" s="97">
        <v>0.86438414191056212</v>
      </c>
      <c r="Q163" s="28">
        <f>+L163+J163-K163</f>
        <v>0</v>
      </c>
    </row>
    <row r="164" spans="3:17" x14ac:dyDescent="0.25">
      <c r="C164" s="28" t="s">
        <v>860</v>
      </c>
      <c r="D164" s="28" t="s">
        <v>73</v>
      </c>
      <c r="E164" s="28">
        <v>0.86709589041095891</v>
      </c>
      <c r="F164" s="28">
        <v>0</v>
      </c>
      <c r="G164" s="28">
        <v>0</v>
      </c>
      <c r="H164" s="28">
        <v>0.41205479452054788</v>
      </c>
      <c r="I164" s="28">
        <v>0.45498630136986301</v>
      </c>
      <c r="J164" s="28">
        <v>0</v>
      </c>
      <c r="K164" s="28">
        <v>0</v>
      </c>
      <c r="L164" s="28">
        <v>0</v>
      </c>
      <c r="M164" s="28">
        <v>4154.1152328767121</v>
      </c>
      <c r="N164" s="97">
        <v>7.8005524849841454E-3</v>
      </c>
      <c r="O164" s="97">
        <v>0.87218469439554625</v>
      </c>
      <c r="Q164" s="28">
        <f>+L164+J164-K164</f>
        <v>0</v>
      </c>
    </row>
    <row r="165" spans="3:17" x14ac:dyDescent="0.25">
      <c r="C165" s="28" t="s">
        <v>861</v>
      </c>
      <c r="D165" s="28" t="s">
        <v>30</v>
      </c>
      <c r="E165" s="28">
        <v>1.1908493150684931</v>
      </c>
      <c r="F165" s="28">
        <v>0</v>
      </c>
      <c r="G165" s="28">
        <v>0</v>
      </c>
      <c r="H165" s="28">
        <v>1.5506849315068495E-2</v>
      </c>
      <c r="I165" s="28">
        <v>0</v>
      </c>
      <c r="J165" s="28">
        <v>1.1751506849315068</v>
      </c>
      <c r="K165" s="28">
        <v>0.52964383561643835</v>
      </c>
      <c r="L165" s="28">
        <v>0</v>
      </c>
      <c r="M165" s="28">
        <v>3941.1335068493149</v>
      </c>
      <c r="N165" s="97">
        <v>7.4006177120941969E-3</v>
      </c>
      <c r="O165" s="97">
        <v>0.87958531210764046</v>
      </c>
      <c r="Q165" s="28">
        <f>+L165+J165-K165</f>
        <v>0.64550684931506841</v>
      </c>
    </row>
    <row r="166" spans="3:17" x14ac:dyDescent="0.25">
      <c r="C166" s="28" t="s">
        <v>818</v>
      </c>
      <c r="D166" s="28" t="s">
        <v>821</v>
      </c>
      <c r="E166" s="28">
        <v>1.9275342465753424</v>
      </c>
      <c r="F166" s="28">
        <v>0</v>
      </c>
      <c r="G166" s="28">
        <v>0</v>
      </c>
      <c r="H166" s="28">
        <v>0.22805479452054794</v>
      </c>
      <c r="I166" s="28">
        <v>0.10339726027397263</v>
      </c>
      <c r="J166" s="28">
        <v>1.5925479452054794</v>
      </c>
      <c r="K166" s="28">
        <v>0.55931506849315071</v>
      </c>
      <c r="L166" s="28">
        <v>3.4794520547945205E-3</v>
      </c>
      <c r="M166" s="28">
        <v>4684.6815890410962</v>
      </c>
      <c r="N166" s="97">
        <v>8.7968442284755803E-3</v>
      </c>
      <c r="O166" s="97">
        <v>0.88838215633611606</v>
      </c>
      <c r="Q166" s="28">
        <f>+L166+J166-K166</f>
        <v>1.0367123287671232</v>
      </c>
    </row>
    <row r="167" spans="3:17" x14ac:dyDescent="0.25">
      <c r="C167" s="28" t="s">
        <v>862</v>
      </c>
      <c r="D167" s="28" t="s">
        <v>39</v>
      </c>
      <c r="E167" s="28">
        <v>3.2034520547945204</v>
      </c>
      <c r="F167" s="28">
        <v>0</v>
      </c>
      <c r="G167" s="28">
        <v>0</v>
      </c>
      <c r="H167" s="28">
        <v>0.24364383561643835</v>
      </c>
      <c r="I167" s="28">
        <v>0</v>
      </c>
      <c r="J167" s="28">
        <v>2.9598356164383564</v>
      </c>
      <c r="K167" s="28">
        <v>1.3757260273972602</v>
      </c>
      <c r="L167" s="28">
        <v>0</v>
      </c>
      <c r="M167" s="28">
        <v>4210.8083835616435</v>
      </c>
      <c r="N167" s="97">
        <v>7.90701026784894E-3</v>
      </c>
      <c r="O167" s="97">
        <v>0.89628916660396496</v>
      </c>
      <c r="Q167" s="28">
        <f>+L167+J167-K167</f>
        <v>1.5841095890410961</v>
      </c>
    </row>
    <row r="168" spans="3:17" x14ac:dyDescent="0.25">
      <c r="C168" s="28" t="s">
        <v>863</v>
      </c>
      <c r="D168" s="28" t="s">
        <v>402</v>
      </c>
      <c r="E168" s="28">
        <v>3.137397260273973</v>
      </c>
      <c r="F168" s="28">
        <v>0</v>
      </c>
      <c r="G168" s="28">
        <v>0</v>
      </c>
      <c r="H168" s="28">
        <v>9.2904109589041092E-2</v>
      </c>
      <c r="I168" s="28">
        <v>3.0444931506849313</v>
      </c>
      <c r="J168" s="28">
        <v>0</v>
      </c>
      <c r="K168" s="28">
        <v>0</v>
      </c>
      <c r="L168" s="28">
        <v>0</v>
      </c>
      <c r="M168" s="28">
        <v>4233.3403013698626</v>
      </c>
      <c r="N168" s="97">
        <v>7.9493204584905816E-3</v>
      </c>
      <c r="O168" s="97">
        <v>0.90423848706245558</v>
      </c>
      <c r="Q168" s="28">
        <f>+L168+J168-K168</f>
        <v>0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v>3.6843437641336935E-3</v>
      </c>
      <c r="O169" s="97">
        <v>0.90792283082658931</v>
      </c>
      <c r="Q169" s="28">
        <f>+L169+J169-K169</f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v>2.7726001713513668E-3</v>
      </c>
      <c r="O170" s="97">
        <v>0.9106954309979407</v>
      </c>
      <c r="Q170" s="28">
        <f>+L170+J170-K170</f>
        <v>0</v>
      </c>
    </row>
    <row r="171" spans="3:17" x14ac:dyDescent="0.25">
      <c r="C171" s="28" t="s">
        <v>853</v>
      </c>
      <c r="D171" s="28" t="s">
        <v>833</v>
      </c>
      <c r="M171" s="28">
        <v>47558.358356164186</v>
      </c>
      <c r="N171" s="97">
        <v>8.9304569002059075E-2</v>
      </c>
      <c r="O171" s="97">
        <v>0.99999999999999978</v>
      </c>
      <c r="Q171" s="28">
        <f>+L171+J171-K171</f>
        <v>0</v>
      </c>
    </row>
    <row r="174" spans="3:17" x14ac:dyDescent="0.25">
      <c r="N174" s="28">
        <f>+SUM(N151:N171)</f>
        <v>0.99999999999999978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6">+U180*T180</f>
        <v>114056.06200000001</v>
      </c>
      <c r="X180" s="28">
        <f t="shared" ref="X180:X203" si="27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6"/>
        <v>42334.39687671233</v>
      </c>
      <c r="X181" s="28">
        <f t="shared" si="27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6"/>
        <v>27008.407917808221</v>
      </c>
      <c r="X182" s="28">
        <f t="shared" si="27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6"/>
        <v>20119.028164383562</v>
      </c>
      <c r="X183" s="28">
        <f t="shared" si="27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6"/>
        <v>19756.607616438356</v>
      </c>
      <c r="X184" s="28">
        <f t="shared" si="27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6"/>
        <v>17849.99879452055</v>
      </c>
      <c r="X185" s="28">
        <f t="shared" si="27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6"/>
        <v>12119.396575342465</v>
      </c>
      <c r="X186" s="28">
        <f t="shared" si="27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6"/>
        <v>10231.853999999999</v>
      </c>
      <c r="X187" s="28">
        <f t="shared" si="27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6"/>
        <v>0</v>
      </c>
      <c r="X188" s="28">
        <f t="shared" si="27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6"/>
        <v>0</v>
      </c>
      <c r="X189" s="28">
        <f t="shared" si="27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6"/>
        <v>0</v>
      </c>
      <c r="X190" s="28">
        <f t="shared" si="27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6"/>
        <v>0</v>
      </c>
      <c r="X191" s="28">
        <f t="shared" si="27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6"/>
        <v>0</v>
      </c>
      <c r="X192" s="28">
        <f t="shared" si="27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6"/>
        <v>4233.3403013698626</v>
      </c>
      <c r="X193" s="28">
        <f t="shared" si="27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6"/>
        <v>0</v>
      </c>
      <c r="X194" s="28">
        <f t="shared" si="27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6"/>
        <v>4154.1152328767121</v>
      </c>
      <c r="X195" s="28">
        <f t="shared" si="27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6"/>
        <v>3941.1335068493149</v>
      </c>
      <c r="X196" s="28">
        <f t="shared" si="27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6"/>
        <v>1962.0646849315069</v>
      </c>
      <c r="X197" s="28">
        <f t="shared" si="27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6"/>
        <v>1476.5236986301368</v>
      </c>
      <c r="X198" s="28">
        <f t="shared" si="27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6"/>
        <v>3182.6220821917809</v>
      </c>
      <c r="X199" s="28">
        <f t="shared" si="27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6"/>
        <v>0</v>
      </c>
      <c r="X200" s="28">
        <f t="shared" si="27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6"/>
        <v>27.609561643835615</v>
      </c>
      <c r="X201" s="28">
        <f t="shared" si="27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6"/>
        <v>0</v>
      </c>
      <c r="X202" s="28">
        <f t="shared" si="27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6"/>
        <v>0</v>
      </c>
      <c r="X203" s="28">
        <f t="shared" si="27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28">+SUM(W179:W203)</f>
        <v>401761.84369863011</v>
      </c>
      <c r="X205" s="28">
        <f t="shared" si="28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98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2022-11-21T20:51:42Z</dcterms:modified>
</cp:coreProperties>
</file>