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5.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6.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Users\JULIAN\Music\TIMES-UIS-v1-Nov\"/>
    </mc:Choice>
  </mc:AlternateContent>
  <xr:revisionPtr revIDLastSave="0" documentId="13_ncr:1_{12CE24BF-70D4-4B9E-A0E1-8C19024EFDA0}" xr6:coauthVersionLast="47" xr6:coauthVersionMax="47" xr10:uidLastSave="{00000000-0000-0000-0000-000000000000}"/>
  <bookViews>
    <workbookView xWindow="-120" yWindow="-120" windowWidth="29040" windowHeight="15840" firstSheet="3" activeTab="11" xr2:uid="{00000000-000D-0000-FFFF-FFFF00000000}"/>
  </bookViews>
  <sheets>
    <sheet name="COMM" sheetId="1" r:id="rId1"/>
    <sheet name="PROCESS" sheetId="4" r:id="rId2"/>
    <sheet name="Bases de Cálculo" sheetId="10" r:id="rId3"/>
    <sheet name="1. EXP_IMP" sheetId="5" r:id="rId4"/>
    <sheet name="2. DEM" sheetId="3" r:id="rId5"/>
    <sheet name="3. Scope3" sheetId="11" r:id="rId6"/>
    <sheet name="4. Refinery's Data" sheetId="16" r:id="rId7"/>
    <sheet name="4.1 Ref_Cart" sheetId="19" r:id="rId8"/>
    <sheet name="4.2 Ref_Barranca" sheetId="20" r:id="rId9"/>
    <sheet name="5. Potencial O&amp;G" sheetId="23" r:id="rId10"/>
    <sheet name="5. 2019 O&amp;G" sheetId="22" r:id="rId11"/>
    <sheet name="5, Produccion" sheetId="24" r:id="rId12"/>
  </sheets>
  <externalReferences>
    <externalReference r:id="rId13"/>
    <externalReference r:id="rId14"/>
  </externalReferences>
  <definedNames>
    <definedName name="_xlnm._FilterDatabase" localSheetId="10" hidden="1">'5. 2019 O&amp;G'!$C$12:$W$12</definedName>
    <definedName name="_xlnm._FilterDatabase" localSheetId="9" hidden="1">'5. Potencial O&amp;G'!$B$35:$H$35</definedName>
    <definedName name="ADDITIVE">[1]Definitions!$C$35</definedName>
    <definedName name="AGRICULT">[1]Definitions!$C$167</definedName>
    <definedName name="ANTCOAL">[1]Definitions!$C$13</definedName>
    <definedName name="AUTOCHP">[1]Definitions!$C$103</definedName>
    <definedName name="AUTOELEC">[1]Definitions!$C$101</definedName>
    <definedName name="AUTOHEAT">[1]Definitions!$C$105</definedName>
    <definedName name="AVBUNK">[1]Definitions!$C$92</definedName>
    <definedName name="AVGAS">[1]Definitions!$C$42</definedName>
    <definedName name="BIODIESEL">[1]Definitions!$C$65</definedName>
    <definedName name="BIOGASES">[1]Definitions!$C$62</definedName>
    <definedName name="BIOGASOL">[1]Definitions!$C$63</definedName>
    <definedName name="BIOJETKERO">[1]Definitions!$C$64</definedName>
    <definedName name="BITCOAL">[1]Definitions!$C$15</definedName>
    <definedName name="BITUMEN">[1]Definitions!$C$51</definedName>
    <definedName name="BKB">[1]Definitions!$C$22</definedName>
    <definedName name="BLFURGS">[1]Definitions!$C$25</definedName>
    <definedName name="CFHeadings">'[1]Conversion factors'!$B$4:$Q$4</definedName>
    <definedName name="CHARCOAL">[1]Definitions!$C$68</definedName>
    <definedName name="CHEMICAL">[1]Definitions!$C$145</definedName>
    <definedName name="COALTAR">[1]Definitions!$C$21</definedName>
    <definedName name="COKCOAL">[1]Definitions!$C$14</definedName>
    <definedName name="COKEOVGS">[1]Definitions!$C$24</definedName>
    <definedName name="COMMPUB">[1]Definitions!$C$166</definedName>
    <definedName name="CONSTRUC">[1]Definitions!$C$154</definedName>
    <definedName name="ConversionFactors">OFFSET('[1]Conversion factors'!$B$5,0,0,100,16)</definedName>
    <definedName name="CountryName">'[1]Main Menu'!$D$10</definedName>
    <definedName name="CRUDEOIL">[1]Definitions!$C$32</definedName>
    <definedName name="DataYear">'[1]Main Menu'!$D$12</definedName>
    <definedName name="DISTLOSS">[1]Definitions!$C$140</definedName>
    <definedName name="DOMESAIR">[1]Definitions!$C$158</definedName>
    <definedName name="DOMESNAV">[1]Definitions!$C$162</definedName>
    <definedName name="DOMSUP">[1]Definitions!$C$94</definedName>
    <definedName name="EBIOGAS">[1]Definitions!$C$128</definedName>
    <definedName name="EBKB">[1]Definitions!$C$130</definedName>
    <definedName name="EBLASTFUR">[1]Definitions!$C$129</definedName>
    <definedName name="ECHARCOAL">[1]Definitions!$C$138</definedName>
    <definedName name="ECOALLIQ">[1]Definitions!$C$132</definedName>
    <definedName name="ECOKEOVS">[1]Definitions!$C$126</definedName>
    <definedName name="EGASWKS">[1]Definitions!$C$127</definedName>
    <definedName name="EGTL">[1]Definitions!$C$134</definedName>
    <definedName name="ELECTR">[1]Definitions!$C$81</definedName>
    <definedName name="ELNG">[1]Definitions!$C$133</definedName>
    <definedName name="ELOUTPUT">[1]Definitions!$C$176</definedName>
    <definedName name="EMINES">[1]Definitions!$C$123</definedName>
    <definedName name="ENONSPEC">[1]Definitions!$C$139</definedName>
    <definedName name="ENUC">[1]Definitions!$C$137</definedName>
    <definedName name="EOILGASEX">[1]Definitions!$C$124</definedName>
    <definedName name="EPATFUEL">[1]Definitions!$C$125</definedName>
    <definedName name="EPOWERPLT">[1]Definitions!$C$135</definedName>
    <definedName name="EPUMPST">[1]Definitions!$C$136</definedName>
    <definedName name="EREFINER">[1]Definitions!$C$131</definedName>
    <definedName name="ETHANE">[1]Definitions!$C$39</definedName>
    <definedName name="EXPORTS">[1]Definitions!$C$90</definedName>
    <definedName name="FID_1">[2]AGR_Fuels!$A$2</definedName>
    <definedName name="FINCONS">[1]Definitions!$C$142</definedName>
    <definedName name="FISHING">[1]Definitions!$C$168</definedName>
    <definedName name="FOODPRO">[1]Definitions!$C$151</definedName>
    <definedName name="GASCOKE">[1]Definitions!$C$20</definedName>
    <definedName name="GASWKSGS">[1]Definitions!$C$23</definedName>
    <definedName name="GEOTHERM">[1]Definitions!$C$72</definedName>
    <definedName name="GWh_to_ktoe">'[1]Conversion factors'!$C$58</definedName>
    <definedName name="HEAT">[1]Definitions!$C$82</definedName>
    <definedName name="HEATNS">[1]Definitions!$C$83</definedName>
    <definedName name="HEATOUT">[1]Definitions!$C$177</definedName>
    <definedName name="HEATPUMP">[1]Definitions!$C$77</definedName>
    <definedName name="HYDRO">[1]Definitions!$C$71</definedName>
    <definedName name="IMPORTS">[1]Definitions!$C$89</definedName>
    <definedName name="INDPROD">[1]Definitions!$C$87</definedName>
    <definedName name="INDWASTE">[1]Definitions!$C$58</definedName>
    <definedName name="INONSPEC">[1]Definitions!$C$156</definedName>
    <definedName name="IRONSTL">[1]Definitions!$C$144</definedName>
    <definedName name="JETGAS">[1]Definitions!$C$43</definedName>
    <definedName name="LangChoice">'[1]Main Menu'!$L$3</definedName>
    <definedName name="LIGNITE">[1]Definitions!$C$17</definedName>
    <definedName name="LPG">[1]Definitions!$C$40</definedName>
    <definedName name="LUBRIC">[1]Definitions!$C$50</definedName>
    <definedName name="MACHINE">[1]Definitions!$C$149</definedName>
    <definedName name="MAINCHP">[1]Definitions!$C$102</definedName>
    <definedName name="MAINELEC">[1]Definitions!$C$100</definedName>
    <definedName name="MAINHEAT">[1]Definitions!$C$104</definedName>
    <definedName name="MANGAS">[1]Definitions!$C$27</definedName>
    <definedName name="MARBUNK">[1]Definitions!$C$91</definedName>
    <definedName name="MINING">[1]Definitions!$C$150</definedName>
    <definedName name="MJ_per_toe">41868</definedName>
    <definedName name="MUNWASTEN">[1]Definitions!$C$60</definedName>
    <definedName name="MUNWASTER">[1]Definitions!$C$59</definedName>
    <definedName name="NAPHTHA">[1]Definitions!$C$48</definedName>
    <definedName name="NATGAS">[1]Definitions!$C$56</definedName>
    <definedName name="NECHEM">[1]Definitions!$C$174</definedName>
    <definedName name="NEINTREN">[1]Definitions!$C$171</definedName>
    <definedName name="NEOTHER">[1]Definitions!$C$173</definedName>
    <definedName name="NETRANS">[1]Definitions!$C$172</definedName>
    <definedName name="NGL">[1]Definitions!$C$33</definedName>
    <definedName name="NONBIODIES">[1]Definitions!$C$46</definedName>
    <definedName name="NONBIOGASO">[1]Definitions!$C$41</definedName>
    <definedName name="NONBIOJETK">[1]Definitions!$C$44</definedName>
    <definedName name="NONCRUDE">[1]Definitions!$C$36</definedName>
    <definedName name="NONENUSE">[1]Definitions!$C$170</definedName>
    <definedName name="NONFERR">[1]Definitions!$C$146</definedName>
    <definedName name="NONMET">[1]Definitions!$C$147</definedName>
    <definedName name="NUCLEAR">[1]Definitions!$C$70</definedName>
    <definedName name="OBIOLIQ">[1]Definitions!$C$66</definedName>
    <definedName name="OGASES">[1]Definitions!$C$26</definedName>
    <definedName name="OILSHALE">[1]Definitions!$C$30</definedName>
    <definedName name="ONONSPEC">[1]Definitions!$C$54</definedName>
    <definedName name="OTHER">[1]Definitions!$C$80</definedName>
    <definedName name="OTHKERO">[1]Definitions!$C$45</definedName>
    <definedName name="OTHNONSPEC">[1]Definitions!$C$169</definedName>
    <definedName name="OVENCOKE">[1]Definitions!$C$19</definedName>
    <definedName name="PAPERPRO">[1]Definitions!$C$152</definedName>
    <definedName name="PARWAX">[1]Definitions!$C$52</definedName>
    <definedName name="PATFUEL">[1]Definitions!$C$18</definedName>
    <definedName name="PEAT">[1]Definitions!$C$28</definedName>
    <definedName name="PEATPROD">[1]Definitions!$C$29</definedName>
    <definedName name="PETCOKE">[1]Definitions!$C$53</definedName>
    <definedName name="PIPELINE">[1]Definitions!$C$161</definedName>
    <definedName name="PRIMSBIO">[1]Definitions!$C$61</definedName>
    <definedName name="RAIL">[1]Definitions!$C$160</definedName>
    <definedName name="RawData">'[1]Data in physical units'!$B$5:$BP$106</definedName>
    <definedName name="RawDataHeadings">'[1]Data in physical units'!$B$4:$BP$4</definedName>
    <definedName name="REFFEEDS">[1]Definitions!$C$34</definedName>
    <definedName name="REFINGAS">[1]Definitions!$C$38</definedName>
    <definedName name="RENEWNS">[1]Definitions!$C$67</definedName>
    <definedName name="RESFUEL">[1]Definitions!$C$47</definedName>
    <definedName name="RESIDENT">[1]Definitions!$C$165</definedName>
    <definedName name="ROAD">[1]Definitions!$C$159</definedName>
    <definedName name="SOLARPV">[1]Definitions!$C$73</definedName>
    <definedName name="SOLARTH">[1]Definitions!$C$74</definedName>
    <definedName name="STATDIFF">[1]Definitions!$C$97</definedName>
    <definedName name="STOCKCHA">[1]Definitions!$C$93</definedName>
    <definedName name="SUBCOAL">[1]Definitions!$C$16</definedName>
    <definedName name="TBKB">[1]Definitions!$C$114</definedName>
    <definedName name="TBLASTFUR">[1]Definitions!$C$112</definedName>
    <definedName name="TBLENDGAS">[1]Definitions!$C$118</definedName>
    <definedName name="TBOILER">[1]Definitions!$C$107</definedName>
    <definedName name="TCHARCOAL">[1]Definitions!$C$119</definedName>
    <definedName name="TCOALLIQ">[1]Definitions!$C$116</definedName>
    <definedName name="TCOKEOVS">[1]Definitions!$C$110</definedName>
    <definedName name="TELE">[1]Definitions!$C$108</definedName>
    <definedName name="TEXTILES">[1]Definitions!$C$155</definedName>
    <definedName name="TGASWKS">[1]Definitions!$C$111</definedName>
    <definedName name="TGTL">[1]Definitions!$C$117</definedName>
    <definedName name="THEAT">[1]Definitions!$C$106</definedName>
    <definedName name="TIDE">[1]Definitions!$C$75</definedName>
    <definedName name="TJ_to_ktoe">'[1]Conversion factors'!$C$56</definedName>
    <definedName name="TNONSPEC">[1]Definitions!$C$120</definedName>
    <definedName name="TOTENGY">[1]Definitions!$C$122</definedName>
    <definedName name="TOTIND">[1]Definitions!$C$143</definedName>
    <definedName name="TOTOTHER">[1]Definitions!$C$164</definedName>
    <definedName name="TOTTRANF">[1]Definitions!$C$99</definedName>
    <definedName name="TOTTRANS">[1]Definitions!$C$157</definedName>
    <definedName name="TPATFUEL">[1]Definitions!$C$109</definedName>
    <definedName name="TPES">[1]Definitions!$C$95</definedName>
    <definedName name="TPETCHEM">[1]Definitions!$C$113</definedName>
    <definedName name="TRANSEQ">[1]Definitions!$C$148</definedName>
    <definedName name="TRANSFER">[1]Definitions!$C$96</definedName>
    <definedName name="TREFINER">[1]Definitions!$C$115</definedName>
    <definedName name="TRNONSPE">[1]Definitions!$C$163</definedName>
    <definedName name="WHITESP">[1]Definitions!$C$49</definedName>
    <definedName name="WIND">[1]Definitions!$C$76</definedName>
    <definedName name="WOODPRO">[1]Definitions!$C$153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169" i="24" l="1" a="1"/>
  <c r="O169" i="24" s="1"/>
  <c r="P146" i="24"/>
  <c r="P148" i="24"/>
  <c r="O152" i="24"/>
  <c r="O150" i="24"/>
  <c r="O148" i="24"/>
  <c r="O146" i="24"/>
  <c r="O144" i="24"/>
  <c r="O142" i="24"/>
  <c r="J34" i="24"/>
  <c r="O125" i="24" s="1"/>
  <c r="N122" i="24" l="1" a="1"/>
  <c r="N122" i="24" s="1"/>
  <c r="N131" i="24" s="1" a="1"/>
  <c r="N131" i="24" s="1"/>
  <c r="N141" i="24" s="1"/>
  <c r="N84" i="4" a="1"/>
  <c r="N84" i="4" s="1"/>
  <c r="K34" i="24" l="1"/>
  <c r="S166" i="24"/>
  <c r="S165" i="24"/>
  <c r="S164" i="24"/>
  <c r="O187" i="24" a="1"/>
  <c r="O187" i="24" s="1"/>
  <c r="O181" i="24" a="1"/>
  <c r="O181" i="24" s="1"/>
  <c r="O175" i="24" a="1"/>
  <c r="O175" i="24" s="1"/>
  <c r="O163" i="24" a="1"/>
  <c r="O163" i="24" s="1"/>
  <c r="O115" i="24"/>
  <c r="O114" i="24"/>
  <c r="O136" i="24" s="1"/>
  <c r="O113" i="24"/>
  <c r="O112" i="24"/>
  <c r="O135" i="24" s="1"/>
  <c r="O111" i="24"/>
  <c r="O110" i="24"/>
  <c r="O109" i="24"/>
  <c r="O133" i="24" s="1"/>
  <c r="O108" i="24"/>
  <c r="O107" i="24"/>
  <c r="O132" i="24" s="1"/>
  <c r="O106" i="24"/>
  <c r="O131" i="24" s="1"/>
  <c r="N95" i="24" a="1"/>
  <c r="N95" i="24" s="1"/>
  <c r="N106" i="24" s="1"/>
  <c r="N74" i="4" a="1"/>
  <c r="N74" i="4" s="1"/>
  <c r="P69" i="24"/>
  <c r="P70" i="24"/>
  <c r="P78" i="24"/>
  <c r="P77" i="24"/>
  <c r="O84" i="24" a="1"/>
  <c r="O84" i="24" s="1"/>
  <c r="P55" i="24" a="1"/>
  <c r="P55" i="24" s="1"/>
  <c r="O95" i="24" s="1" a="1"/>
  <c r="O95" i="24" s="1"/>
  <c r="D80" i="1" a="1"/>
  <c r="D80" i="1" s="1"/>
  <c r="N55" i="24" a="1"/>
  <c r="N55" i="24" s="1"/>
  <c r="N76" i="24" s="1"/>
  <c r="AQ11" i="23"/>
  <c r="AQ10" i="23"/>
  <c r="AQ9" i="23"/>
  <c r="AQ8" i="23"/>
  <c r="AQ7" i="23"/>
  <c r="AQ6" i="23"/>
  <c r="AR6" i="23"/>
  <c r="J25" i="23"/>
  <c r="J24" i="23"/>
  <c r="J23" i="23"/>
  <c r="J22" i="23"/>
  <c r="J21" i="23"/>
  <c r="J20" i="23"/>
  <c r="J19" i="23"/>
  <c r="J18" i="23"/>
  <c r="J17" i="23"/>
  <c r="J16" i="23"/>
  <c r="J15" i="23"/>
  <c r="J14" i="23"/>
  <c r="J13" i="23"/>
  <c r="J12" i="23"/>
  <c r="J11" i="23"/>
  <c r="J10" i="23"/>
  <c r="J9" i="23"/>
  <c r="J8" i="23"/>
  <c r="J7" i="23"/>
  <c r="J6" i="23"/>
  <c r="K9" i="23"/>
  <c r="K6" i="23"/>
  <c r="N114" i="24" l="1"/>
  <c r="N109" i="24"/>
  <c r="N107" i="24"/>
  <c r="N112" i="24"/>
  <c r="N111" i="24"/>
  <c r="N78" i="24"/>
  <c r="N84" i="24" a="1"/>
  <c r="N84" i="24" s="1"/>
  <c r="N66" i="24" a="1"/>
  <c r="N66" i="24" s="1"/>
  <c r="N77" i="24"/>
  <c r="O43" i="24" l="1" a="1"/>
  <c r="O43" i="24" s="1"/>
  <c r="O55" i="24" s="1" a="1"/>
  <c r="O55" i="24" s="1"/>
  <c r="N43" i="24" a="1"/>
  <c r="N43" i="24" s="1"/>
  <c r="Y36" i="24"/>
  <c r="P71" i="24" s="1"/>
  <c r="Y33" i="24"/>
  <c r="P68" i="24" s="1"/>
  <c r="Y32" i="24"/>
  <c r="P67" i="24" s="1"/>
  <c r="Y31" i="24"/>
  <c r="W25" i="22"/>
  <c r="W26" i="22"/>
  <c r="S6" i="24"/>
  <c r="S7" i="24"/>
  <c r="S8" i="24"/>
  <c r="S9" i="24"/>
  <c r="S10" i="24"/>
  <c r="S11" i="24"/>
  <c r="S12" i="24"/>
  <c r="S13" i="24"/>
  <c r="S14" i="24"/>
  <c r="S15" i="24"/>
  <c r="S16" i="24"/>
  <c r="S17" i="24"/>
  <c r="S18" i="24"/>
  <c r="S19" i="24"/>
  <c r="S20" i="24"/>
  <c r="S21" i="24"/>
  <c r="S22" i="24"/>
  <c r="S23" i="24"/>
  <c r="S24" i="24"/>
  <c r="S25" i="24"/>
  <c r="U5" i="24"/>
  <c r="T5" i="24"/>
  <c r="L5" i="24"/>
  <c r="M5" i="24"/>
  <c r="N5" i="24"/>
  <c r="O5" i="24"/>
  <c r="O30" i="24" s="1"/>
  <c r="P5" i="24"/>
  <c r="Q5" i="24"/>
  <c r="R5" i="24"/>
  <c r="S5" i="24"/>
  <c r="L6" i="24"/>
  <c r="M6" i="24"/>
  <c r="N6" i="24"/>
  <c r="O6" i="24"/>
  <c r="P6" i="24"/>
  <c r="Q6" i="24"/>
  <c r="R6" i="24"/>
  <c r="L7" i="24"/>
  <c r="M7" i="24"/>
  <c r="N7" i="24"/>
  <c r="O7" i="24"/>
  <c r="P7" i="24"/>
  <c r="Q7" i="24"/>
  <c r="R7" i="24"/>
  <c r="L8" i="24"/>
  <c r="M8" i="24"/>
  <c r="N8" i="24"/>
  <c r="O8" i="24"/>
  <c r="P8" i="24"/>
  <c r="Q8" i="24"/>
  <c r="R8" i="24"/>
  <c r="L9" i="24"/>
  <c r="M9" i="24"/>
  <c r="N9" i="24"/>
  <c r="O9" i="24"/>
  <c r="P9" i="24"/>
  <c r="Q9" i="24"/>
  <c r="L10" i="24"/>
  <c r="M10" i="24"/>
  <c r="N10" i="24"/>
  <c r="O10" i="24"/>
  <c r="P10" i="24"/>
  <c r="Q10" i="24"/>
  <c r="L11" i="24"/>
  <c r="M11" i="24"/>
  <c r="N11" i="24"/>
  <c r="O11" i="24"/>
  <c r="P11" i="24"/>
  <c r="Q11" i="24"/>
  <c r="L12" i="24"/>
  <c r="M12" i="24"/>
  <c r="N12" i="24"/>
  <c r="O12" i="24"/>
  <c r="P12" i="24"/>
  <c r="Q12" i="24"/>
  <c r="L13" i="24"/>
  <c r="M13" i="24"/>
  <c r="N13" i="24"/>
  <c r="O13" i="24"/>
  <c r="P13" i="24"/>
  <c r="Q13" i="24"/>
  <c r="L14" i="24"/>
  <c r="M14" i="24"/>
  <c r="N14" i="24"/>
  <c r="O14" i="24"/>
  <c r="P14" i="24"/>
  <c r="Q14" i="24"/>
  <c r="L15" i="24"/>
  <c r="M15" i="24"/>
  <c r="N15" i="24"/>
  <c r="O15" i="24"/>
  <c r="P15" i="24"/>
  <c r="Q15" i="24"/>
  <c r="L16" i="24"/>
  <c r="M16" i="24"/>
  <c r="N16" i="24"/>
  <c r="O16" i="24"/>
  <c r="P16" i="24"/>
  <c r="Q16" i="24"/>
  <c r="L17" i="24"/>
  <c r="M17" i="24"/>
  <c r="N17" i="24"/>
  <c r="O17" i="24"/>
  <c r="P17" i="24"/>
  <c r="Q17" i="24"/>
  <c r="L18" i="24"/>
  <c r="M18" i="24"/>
  <c r="N18" i="24"/>
  <c r="O18" i="24"/>
  <c r="P18" i="24"/>
  <c r="Q18" i="24"/>
  <c r="L19" i="24"/>
  <c r="M19" i="24"/>
  <c r="N19" i="24"/>
  <c r="O19" i="24"/>
  <c r="P19" i="24"/>
  <c r="Q19" i="24"/>
  <c r="L20" i="24"/>
  <c r="M20" i="24"/>
  <c r="N20" i="24"/>
  <c r="O20" i="24"/>
  <c r="P20" i="24"/>
  <c r="Q20" i="24"/>
  <c r="L21" i="24"/>
  <c r="M21" i="24"/>
  <c r="N21" i="24"/>
  <c r="O21" i="24"/>
  <c r="P21" i="24"/>
  <c r="Q21" i="24"/>
  <c r="L22" i="24"/>
  <c r="M22" i="24"/>
  <c r="N22" i="24"/>
  <c r="O22" i="24"/>
  <c r="P22" i="24"/>
  <c r="Q22" i="24"/>
  <c r="L23" i="24"/>
  <c r="M23" i="24"/>
  <c r="N23" i="24"/>
  <c r="O23" i="24"/>
  <c r="P23" i="24"/>
  <c r="Q23" i="24"/>
  <c r="L24" i="24"/>
  <c r="M24" i="24"/>
  <c r="N24" i="24"/>
  <c r="O24" i="24"/>
  <c r="P24" i="24"/>
  <c r="Q24" i="24"/>
  <c r="L25" i="24"/>
  <c r="M25" i="24"/>
  <c r="N25" i="24"/>
  <c r="O25" i="24"/>
  <c r="P25" i="24"/>
  <c r="Q25" i="24"/>
  <c r="F17" i="24"/>
  <c r="E17" i="24"/>
  <c r="D17" i="24"/>
  <c r="F16" i="24"/>
  <c r="E16" i="24"/>
  <c r="D16" i="24"/>
  <c r="F15" i="24"/>
  <c r="E15" i="24"/>
  <c r="D15" i="24"/>
  <c r="C15" i="24"/>
  <c r="F14" i="24"/>
  <c r="E14" i="24"/>
  <c r="D14" i="24"/>
  <c r="C14" i="24"/>
  <c r="F13" i="24"/>
  <c r="E13" i="24"/>
  <c r="Q48" i="24" s="1"/>
  <c r="D13" i="24"/>
  <c r="C13" i="24"/>
  <c r="F12" i="24"/>
  <c r="E12" i="24"/>
  <c r="Q47" i="24" s="1"/>
  <c r="D12" i="24"/>
  <c r="C12" i="24"/>
  <c r="F11" i="24"/>
  <c r="E11" i="24"/>
  <c r="Q46" i="24" s="1"/>
  <c r="D11" i="24"/>
  <c r="C11" i="24"/>
  <c r="D10" i="24"/>
  <c r="C10" i="24"/>
  <c r="D9" i="24"/>
  <c r="C9" i="24"/>
  <c r="F8" i="24"/>
  <c r="E8" i="24"/>
  <c r="D8" i="24"/>
  <c r="C8" i="24"/>
  <c r="F7" i="24"/>
  <c r="E7" i="24"/>
  <c r="D7" i="24"/>
  <c r="C7" i="24"/>
  <c r="F6" i="24"/>
  <c r="E6" i="24"/>
  <c r="D6" i="24"/>
  <c r="F5" i="24"/>
  <c r="F4" i="24"/>
  <c r="E4" i="24"/>
  <c r="P2" i="23"/>
  <c r="M1" i="23"/>
  <c r="M2" i="23" s="1"/>
  <c r="W16" i="23"/>
  <c r="AE56" i="23"/>
  <c r="AI39" i="23"/>
  <c r="S7" i="23" s="1"/>
  <c r="AJ39" i="23"/>
  <c r="T7" i="23" s="1"/>
  <c r="AK39" i="23"/>
  <c r="U7" i="23" s="1"/>
  <c r="AL39" i="23"/>
  <c r="V7" i="23" s="1"/>
  <c r="AM39" i="23"/>
  <c r="W7" i="23" s="1"/>
  <c r="AG40" i="23"/>
  <c r="AH40" i="23"/>
  <c r="AI40" i="23"/>
  <c r="AJ40" i="23"/>
  <c r="AK40" i="23"/>
  <c r="AL40" i="23"/>
  <c r="AM40" i="23"/>
  <c r="W19" i="23" s="1"/>
  <c r="AH42" i="23"/>
  <c r="AI42" i="23"/>
  <c r="AJ42" i="23"/>
  <c r="AK42" i="23"/>
  <c r="AL42" i="23"/>
  <c r="AM42" i="23"/>
  <c r="AJ43" i="23"/>
  <c r="AK43" i="23"/>
  <c r="AL43" i="23"/>
  <c r="AM43" i="23"/>
  <c r="AI45" i="23"/>
  <c r="AJ45" i="23"/>
  <c r="AK45" i="23"/>
  <c r="AL45" i="23"/>
  <c r="AM45" i="23"/>
  <c r="AK46" i="23"/>
  <c r="AL46" i="23"/>
  <c r="AM46" i="23"/>
  <c r="AD47" i="23"/>
  <c r="N6" i="23" s="1"/>
  <c r="AE47" i="23"/>
  <c r="O6" i="23" s="1"/>
  <c r="AF47" i="23"/>
  <c r="P6" i="23" s="1"/>
  <c r="AG47" i="23"/>
  <c r="Q6" i="23" s="1"/>
  <c r="AH47" i="23"/>
  <c r="R6" i="23" s="1"/>
  <c r="AI47" i="23"/>
  <c r="S6" i="23" s="1"/>
  <c r="AJ47" i="23"/>
  <c r="T6" i="23" s="1"/>
  <c r="AK47" i="23"/>
  <c r="U6" i="23" s="1"/>
  <c r="AL47" i="23"/>
  <c r="V6" i="23" s="1"/>
  <c r="AM47" i="23"/>
  <c r="W6" i="23" s="1"/>
  <c r="AG48" i="23"/>
  <c r="AH48" i="23"/>
  <c r="AI48" i="23"/>
  <c r="AJ48" i="23"/>
  <c r="AK48" i="23"/>
  <c r="AL48" i="23"/>
  <c r="AM48" i="23"/>
  <c r="AM49" i="23"/>
  <c r="AC51" i="23"/>
  <c r="AD51" i="23"/>
  <c r="AE51" i="23"/>
  <c r="AF51" i="23"/>
  <c r="AG51" i="23"/>
  <c r="AH51" i="23"/>
  <c r="AI51" i="23"/>
  <c r="AJ51" i="23"/>
  <c r="AK51" i="23"/>
  <c r="AL51" i="23"/>
  <c r="AM51" i="23"/>
  <c r="AC52" i="23"/>
  <c r="AD52" i="23"/>
  <c r="AE52" i="23"/>
  <c r="AF52" i="23"/>
  <c r="AG52" i="23"/>
  <c r="AH52" i="23"/>
  <c r="AI52" i="23"/>
  <c r="AJ52" i="23"/>
  <c r="AK52" i="23"/>
  <c r="AL52" i="23"/>
  <c r="AM52" i="23"/>
  <c r="AF53" i="23"/>
  <c r="AG53" i="23"/>
  <c r="AH53" i="23"/>
  <c r="AI53" i="23"/>
  <c r="AJ53" i="23"/>
  <c r="AK53" i="23"/>
  <c r="AL53" i="23"/>
  <c r="AM53" i="23"/>
  <c r="AI55" i="23"/>
  <c r="AJ55" i="23"/>
  <c r="AK55" i="23"/>
  <c r="AL55" i="23"/>
  <c r="AM55" i="23"/>
  <c r="AF56" i="23"/>
  <c r="AG56" i="23"/>
  <c r="AH56" i="23"/>
  <c r="AI56" i="23"/>
  <c r="AJ56" i="23"/>
  <c r="AK56" i="23"/>
  <c r="AL56" i="23"/>
  <c r="AM56" i="23"/>
  <c r="AE58" i="23"/>
  <c r="O8" i="23" s="1"/>
  <c r="AF58" i="23"/>
  <c r="P8" i="23" s="1"/>
  <c r="AG58" i="23"/>
  <c r="Q8" i="23" s="1"/>
  <c r="AH58" i="23"/>
  <c r="R8" i="23" s="1"/>
  <c r="AI58" i="23"/>
  <c r="S8" i="23" s="1"/>
  <c r="AJ58" i="23"/>
  <c r="T8" i="23" s="1"/>
  <c r="AK58" i="23"/>
  <c r="U8" i="23" s="1"/>
  <c r="AL58" i="23"/>
  <c r="V8" i="23" s="1"/>
  <c r="AM58" i="23"/>
  <c r="W8" i="23" s="1"/>
  <c r="AJ59" i="23"/>
  <c r="AK59" i="23"/>
  <c r="AL59" i="23"/>
  <c r="AM59" i="23"/>
  <c r="AJ60" i="23"/>
  <c r="T22" i="23" s="1"/>
  <c r="AK60" i="23"/>
  <c r="U22" i="23" s="1"/>
  <c r="AL60" i="23"/>
  <c r="V22" i="23" s="1"/>
  <c r="AM60" i="23"/>
  <c r="W22" i="23" s="1"/>
  <c r="AK61" i="23"/>
  <c r="U18" i="23" s="1"/>
  <c r="AL61" i="23"/>
  <c r="V18" i="23" s="1"/>
  <c r="AM61" i="23"/>
  <c r="W18" i="23" s="1"/>
  <c r="AJ62" i="23"/>
  <c r="AK62" i="23"/>
  <c r="AL62" i="23"/>
  <c r="AM62" i="23"/>
  <c r="AF63" i="23"/>
  <c r="AG63" i="23"/>
  <c r="AH63" i="23"/>
  <c r="AI63" i="23"/>
  <c r="AJ63" i="23"/>
  <c r="AK63" i="23"/>
  <c r="AL63" i="23"/>
  <c r="AM63" i="23"/>
  <c r="AH64" i="23"/>
  <c r="R13" i="23" s="1"/>
  <c r="AI64" i="23"/>
  <c r="S13" i="23" s="1"/>
  <c r="AJ64" i="23"/>
  <c r="T13" i="23" s="1"/>
  <c r="AK64" i="23"/>
  <c r="U13" i="23" s="1"/>
  <c r="AL64" i="23"/>
  <c r="V13" i="23" s="1"/>
  <c r="AM64" i="23"/>
  <c r="W13" i="23" s="1"/>
  <c r="AL66" i="23"/>
  <c r="V20" i="23" s="1"/>
  <c r="AM66" i="23"/>
  <c r="W20" i="23" s="1"/>
  <c r="AE37" i="23"/>
  <c r="AF37" i="23"/>
  <c r="AG37" i="23"/>
  <c r="AH37" i="23"/>
  <c r="AI37" i="23"/>
  <c r="AJ37" i="23"/>
  <c r="AK37" i="23"/>
  <c r="AL37" i="23"/>
  <c r="AM37" i="23"/>
  <c r="AJ38" i="23"/>
  <c r="AK38" i="23"/>
  <c r="AL38" i="23"/>
  <c r="AM38" i="23"/>
  <c r="AM36" i="23"/>
  <c r="X37" i="23"/>
  <c r="X38" i="23"/>
  <c r="X39" i="23"/>
  <c r="X40" i="23"/>
  <c r="X41" i="23"/>
  <c r="X42" i="23"/>
  <c r="X43" i="23"/>
  <c r="X44" i="23"/>
  <c r="X45" i="23"/>
  <c r="X46" i="23"/>
  <c r="X47" i="23"/>
  <c r="X48" i="23"/>
  <c r="X49" i="23"/>
  <c r="X50" i="23"/>
  <c r="X51" i="23"/>
  <c r="X52" i="23"/>
  <c r="X53" i="23"/>
  <c r="X54" i="23"/>
  <c r="X55" i="23"/>
  <c r="X56" i="23"/>
  <c r="X57" i="23"/>
  <c r="X58" i="23"/>
  <c r="X59" i="23"/>
  <c r="X60" i="23"/>
  <c r="X61" i="23"/>
  <c r="X62" i="23"/>
  <c r="X63" i="23"/>
  <c r="X64" i="23"/>
  <c r="X65" i="23"/>
  <c r="X66" i="23"/>
  <c r="X67" i="23"/>
  <c r="X68" i="23"/>
  <c r="X36" i="23"/>
  <c r="J31" i="24" l="1"/>
  <c r="J35" i="24"/>
  <c r="J32" i="24"/>
  <c r="O123" i="24" s="1"/>
  <c r="J36" i="24"/>
  <c r="O127" i="24" s="1"/>
  <c r="J33" i="24"/>
  <c r="O124" i="24" s="1"/>
  <c r="K31" i="24"/>
  <c r="K36" i="24"/>
  <c r="K32" i="24"/>
  <c r="P143" i="24" s="1"/>
  <c r="P144" i="24" s="1"/>
  <c r="K35" i="24"/>
  <c r="K33" i="24"/>
  <c r="E9" i="24"/>
  <c r="Q43" i="24"/>
  <c r="Q33" i="24"/>
  <c r="Q34" i="24"/>
  <c r="L34" i="24"/>
  <c r="L35" i="24"/>
  <c r="L33" i="24"/>
  <c r="L36" i="24"/>
  <c r="L32" i="24"/>
  <c r="L31" i="24"/>
  <c r="P76" i="24"/>
  <c r="P66" i="24"/>
  <c r="Q31" i="24"/>
  <c r="Q35" i="24"/>
  <c r="F9" i="24"/>
  <c r="Q32" i="24"/>
  <c r="Q36" i="24"/>
  <c r="W11" i="23"/>
  <c r="W17" i="23"/>
  <c r="T10" i="23"/>
  <c r="P10" i="23"/>
  <c r="T11" i="23"/>
  <c r="V17" i="23"/>
  <c r="W10" i="23"/>
  <c r="S10" i="23"/>
  <c r="O10" i="23"/>
  <c r="W15" i="23"/>
  <c r="V10" i="23"/>
  <c r="R10" i="23"/>
  <c r="N10" i="23"/>
  <c r="V15" i="23"/>
  <c r="T17" i="23"/>
  <c r="U11" i="23"/>
  <c r="U10" i="23"/>
  <c r="Q10" i="23"/>
  <c r="M10" i="23"/>
  <c r="U15" i="23"/>
  <c r="V11" i="23"/>
  <c r="U17" i="23"/>
  <c r="P151" i="24" l="1"/>
  <c r="P152" i="24" s="1"/>
  <c r="O126" i="24"/>
  <c r="P149" i="24"/>
  <c r="P150" i="24" s="1"/>
  <c r="E10" i="24"/>
  <c r="Q45" i="24" s="1"/>
  <c r="Q44" i="24"/>
  <c r="P141" i="24"/>
  <c r="P142" i="24" s="1"/>
  <c r="O122" i="24"/>
  <c r="F10" i="24"/>
  <c r="W38" i="23" l="1"/>
  <c r="W37" i="23"/>
  <c r="W36" i="23"/>
  <c r="AB36" i="23" l="1"/>
  <c r="L16" i="23" s="1"/>
  <c r="Z16" i="23" s="1"/>
  <c r="AF36" i="23"/>
  <c r="P16" i="23" s="1"/>
  <c r="AD16" i="23" s="1"/>
  <c r="AJ36" i="23"/>
  <c r="T16" i="23" s="1"/>
  <c r="AH16" i="23" s="1"/>
  <c r="AA36" i="23"/>
  <c r="K16" i="23" s="1"/>
  <c r="AC36" i="23"/>
  <c r="M16" i="23" s="1"/>
  <c r="AA16" i="23" s="1"/>
  <c r="AG36" i="23"/>
  <c r="Q16" i="23" s="1"/>
  <c r="AE16" i="23" s="1"/>
  <c r="AK36" i="23"/>
  <c r="U16" i="23" s="1"/>
  <c r="AI16" i="23" s="1"/>
  <c r="AI36" i="23"/>
  <c r="S16" i="23" s="1"/>
  <c r="AG16" i="23" s="1"/>
  <c r="AD36" i="23"/>
  <c r="N16" i="23" s="1"/>
  <c r="AB16" i="23" s="1"/>
  <c r="AL36" i="23"/>
  <c r="V16" i="23" s="1"/>
  <c r="AJ16" i="23" s="1"/>
  <c r="AE36" i="23"/>
  <c r="O16" i="23" s="1"/>
  <c r="AC16" i="23" s="1"/>
  <c r="AH36" i="23"/>
  <c r="R16" i="23" s="1"/>
  <c r="AF16" i="23" s="1"/>
  <c r="AC37" i="23"/>
  <c r="AD37" i="23"/>
  <c r="AA37" i="23"/>
  <c r="AB37" i="23"/>
  <c r="L17" i="23" s="1"/>
  <c r="Z17" i="23" s="1"/>
  <c r="AB38" i="23"/>
  <c r="AF38" i="23"/>
  <c r="P17" i="23" s="1"/>
  <c r="AD17" i="23" s="1"/>
  <c r="AC38" i="23"/>
  <c r="AG38" i="23"/>
  <c r="Q17" i="23" s="1"/>
  <c r="AE17" i="23" s="1"/>
  <c r="AA38" i="23"/>
  <c r="AI38" i="23"/>
  <c r="S17" i="23" s="1"/>
  <c r="AG17" i="23" s="1"/>
  <c r="AD38" i="23"/>
  <c r="AE38" i="23"/>
  <c r="O17" i="23" s="1"/>
  <c r="AC17" i="23" s="1"/>
  <c r="AH38" i="23"/>
  <c r="R17" i="23" s="1"/>
  <c r="AF17" i="23" s="1"/>
  <c r="W39" i="23"/>
  <c r="W40" i="23"/>
  <c r="W41" i="23"/>
  <c r="W42" i="23"/>
  <c r="W43" i="23"/>
  <c r="W44" i="23"/>
  <c r="W45" i="23"/>
  <c r="W46" i="23"/>
  <c r="W47" i="23"/>
  <c r="W48" i="23"/>
  <c r="W49" i="23"/>
  <c r="W50" i="23"/>
  <c r="W51" i="23"/>
  <c r="W52" i="23"/>
  <c r="W53" i="23"/>
  <c r="W54" i="23"/>
  <c r="W55" i="23"/>
  <c r="W56" i="23"/>
  <c r="W57" i="23"/>
  <c r="W58" i="23"/>
  <c r="W59" i="23"/>
  <c r="W60" i="23"/>
  <c r="W61" i="23"/>
  <c r="W62" i="23"/>
  <c r="W63" i="23"/>
  <c r="W64" i="23"/>
  <c r="W65" i="23"/>
  <c r="W66" i="23"/>
  <c r="W67" i="23"/>
  <c r="W68" i="23"/>
  <c r="X16" i="23" l="1"/>
  <c r="Y16" i="23"/>
  <c r="AL16" i="23" s="1"/>
  <c r="K17" i="23"/>
  <c r="Y17" i="23" s="1"/>
  <c r="N17" i="23"/>
  <c r="AB17" i="23" s="1"/>
  <c r="AA62" i="23"/>
  <c r="AE62" i="23"/>
  <c r="S11" i="23"/>
  <c r="AG11" i="23" s="1"/>
  <c r="AB62" i="23"/>
  <c r="AF62" i="23"/>
  <c r="P11" i="23" s="1"/>
  <c r="AD11" i="23" s="1"/>
  <c r="AC62" i="23"/>
  <c r="AG62" i="23"/>
  <c r="Q11" i="23" s="1"/>
  <c r="AE11" i="23" s="1"/>
  <c r="AH62" i="23"/>
  <c r="R11" i="23" s="1"/>
  <c r="AF11" i="23" s="1"/>
  <c r="AD62" i="23"/>
  <c r="M17" i="23"/>
  <c r="AC65" i="23"/>
  <c r="M24" i="23" s="1"/>
  <c r="AA24" i="23" s="1"/>
  <c r="AG65" i="23"/>
  <c r="Q24" i="23" s="1"/>
  <c r="AE24" i="23" s="1"/>
  <c r="AK65" i="23"/>
  <c r="U24" i="23" s="1"/>
  <c r="AI24" i="23" s="1"/>
  <c r="AD65" i="23"/>
  <c r="N24" i="23" s="1"/>
  <c r="AB24" i="23" s="1"/>
  <c r="AH65" i="23"/>
  <c r="R24" i="23" s="1"/>
  <c r="AF24" i="23" s="1"/>
  <c r="AL65" i="23"/>
  <c r="V24" i="23" s="1"/>
  <c r="AJ24" i="23" s="1"/>
  <c r="AB65" i="23"/>
  <c r="L24" i="23" s="1"/>
  <c r="Z24" i="23" s="1"/>
  <c r="AJ65" i="23"/>
  <c r="T24" i="23" s="1"/>
  <c r="AH24" i="23" s="1"/>
  <c r="AE65" i="23"/>
  <c r="O24" i="23" s="1"/>
  <c r="AC24" i="23" s="1"/>
  <c r="AM65" i="23"/>
  <c r="W24" i="23" s="1"/>
  <c r="AK24" i="23" s="1"/>
  <c r="AF65" i="23"/>
  <c r="P24" i="23" s="1"/>
  <c r="AD24" i="23" s="1"/>
  <c r="AA65" i="23"/>
  <c r="K24" i="23" s="1"/>
  <c r="Y24" i="23" s="1"/>
  <c r="AI65" i="23"/>
  <c r="S24" i="23" s="1"/>
  <c r="AG24" i="23" s="1"/>
  <c r="AC61" i="23"/>
  <c r="M18" i="23" s="1"/>
  <c r="AA18" i="23" s="1"/>
  <c r="AT9" i="23" s="1"/>
  <c r="AG61" i="23"/>
  <c r="Q18" i="23" s="1"/>
  <c r="AE18" i="23" s="1"/>
  <c r="AX9" i="23" s="1"/>
  <c r="AD61" i="23"/>
  <c r="N18" i="23" s="1"/>
  <c r="AB18" i="23" s="1"/>
  <c r="AU9" i="23" s="1"/>
  <c r="AH61" i="23"/>
  <c r="R18" i="23" s="1"/>
  <c r="AF18" i="23" s="1"/>
  <c r="AY9" i="23" s="1"/>
  <c r="AF61" i="23"/>
  <c r="P18" i="23" s="1"/>
  <c r="AD18" i="23" s="1"/>
  <c r="AW9" i="23" s="1"/>
  <c r="AA61" i="23"/>
  <c r="K18" i="23" s="1"/>
  <c r="Y18" i="23" s="1"/>
  <c r="AI61" i="23"/>
  <c r="S18" i="23" s="1"/>
  <c r="AG18" i="23" s="1"/>
  <c r="AZ9" i="23" s="1"/>
  <c r="AB61" i="23"/>
  <c r="L18" i="23" s="1"/>
  <c r="Z18" i="23" s="1"/>
  <c r="AS9" i="23" s="1"/>
  <c r="AJ61" i="23"/>
  <c r="T18" i="23" s="1"/>
  <c r="AH18" i="23" s="1"/>
  <c r="AE61" i="23"/>
  <c r="O18" i="23" s="1"/>
  <c r="AC18" i="23" s="1"/>
  <c r="AV9" i="23" s="1"/>
  <c r="AC57" i="23"/>
  <c r="AG57" i="23"/>
  <c r="Q12" i="23" s="1"/>
  <c r="AE12" i="23" s="1"/>
  <c r="AK57" i="23"/>
  <c r="U12" i="23" s="1"/>
  <c r="AI12" i="23" s="1"/>
  <c r="AD57" i="23"/>
  <c r="AH57" i="23"/>
  <c r="R12" i="23" s="1"/>
  <c r="AF12" i="23" s="1"/>
  <c r="AL57" i="23"/>
  <c r="V12" i="23" s="1"/>
  <c r="AJ12" i="23" s="1"/>
  <c r="AB57" i="23"/>
  <c r="AJ57" i="23"/>
  <c r="T12" i="23" s="1"/>
  <c r="AH12" i="23" s="1"/>
  <c r="AE57" i="23"/>
  <c r="O12" i="23" s="1"/>
  <c r="AC12" i="23" s="1"/>
  <c r="AM57" i="23"/>
  <c r="W12" i="23" s="1"/>
  <c r="AK12" i="23" s="1"/>
  <c r="AF57" i="23"/>
  <c r="P12" i="23" s="1"/>
  <c r="AD12" i="23" s="1"/>
  <c r="AA57" i="23"/>
  <c r="AI57" i="23"/>
  <c r="S12" i="23" s="1"/>
  <c r="AG12" i="23" s="1"/>
  <c r="AA53" i="23"/>
  <c r="AE53" i="23"/>
  <c r="AC53" i="23"/>
  <c r="AB53" i="23"/>
  <c r="AD53" i="23"/>
  <c r="AA49" i="23"/>
  <c r="AE49" i="23"/>
  <c r="AI49" i="23"/>
  <c r="AC49" i="23"/>
  <c r="AK49" i="23"/>
  <c r="AB49" i="23"/>
  <c r="AF49" i="23"/>
  <c r="AJ49" i="23"/>
  <c r="AG49" i="23"/>
  <c r="AD49" i="23"/>
  <c r="AH49" i="23"/>
  <c r="AA45" i="23"/>
  <c r="AE45" i="23"/>
  <c r="AC45" i="23"/>
  <c r="AB45" i="23"/>
  <c r="AF45" i="23"/>
  <c r="AG45" i="23"/>
  <c r="AD45" i="23"/>
  <c r="AH45" i="23"/>
  <c r="AA41" i="23"/>
  <c r="AE41" i="23"/>
  <c r="AI41" i="23"/>
  <c r="S19" i="23" s="1"/>
  <c r="AG19" i="23" s="1"/>
  <c r="AZ10" i="23" s="1"/>
  <c r="AG41" i="23"/>
  <c r="Q19" i="23" s="1"/>
  <c r="AE19" i="23" s="1"/>
  <c r="AB41" i="23"/>
  <c r="AF41" i="23"/>
  <c r="AJ41" i="23"/>
  <c r="T19" i="23" s="1"/>
  <c r="AH19" i="23" s="1"/>
  <c r="BA10" i="23" s="1"/>
  <c r="AC41" i="23"/>
  <c r="AK41" i="23"/>
  <c r="U19" i="23" s="1"/>
  <c r="AI19" i="23" s="1"/>
  <c r="AD41" i="23"/>
  <c r="N19" i="23" s="1"/>
  <c r="AB19" i="23" s="1"/>
  <c r="AH41" i="23"/>
  <c r="R19" i="23" s="1"/>
  <c r="AF19" i="23" s="1"/>
  <c r="AL41" i="23"/>
  <c r="V19" i="23" s="1"/>
  <c r="AJ19" i="23" s="1"/>
  <c r="AD68" i="23"/>
  <c r="N21" i="23" s="1"/>
  <c r="AB21" i="23" s="1"/>
  <c r="AH68" i="23"/>
  <c r="R21" i="23" s="1"/>
  <c r="AF21" i="23" s="1"/>
  <c r="AL68" i="23"/>
  <c r="V21" i="23" s="1"/>
  <c r="AJ21" i="23" s="1"/>
  <c r="AA68" i="23"/>
  <c r="K21" i="23" s="1"/>
  <c r="Y21" i="23" s="1"/>
  <c r="AE68" i="23"/>
  <c r="O21" i="23" s="1"/>
  <c r="AC21" i="23" s="1"/>
  <c r="AI68" i="23"/>
  <c r="S21" i="23" s="1"/>
  <c r="AG21" i="23" s="1"/>
  <c r="AM68" i="23"/>
  <c r="W21" i="23" s="1"/>
  <c r="AK21" i="23" s="1"/>
  <c r="AC68" i="23"/>
  <c r="M21" i="23" s="1"/>
  <c r="AA21" i="23" s="1"/>
  <c r="AK68" i="23"/>
  <c r="U21" i="23" s="1"/>
  <c r="AI21" i="23" s="1"/>
  <c r="AF68" i="23"/>
  <c r="P21" i="23" s="1"/>
  <c r="AD21" i="23" s="1"/>
  <c r="AG68" i="23"/>
  <c r="Q21" i="23" s="1"/>
  <c r="AE21" i="23" s="1"/>
  <c r="AB68" i="23"/>
  <c r="L21" i="23" s="1"/>
  <c r="Z21" i="23" s="1"/>
  <c r="AJ68" i="23"/>
  <c r="T21" i="23" s="1"/>
  <c r="AH21" i="23" s="1"/>
  <c r="AD64" i="23"/>
  <c r="N13" i="23" s="1"/>
  <c r="AB13" i="23" s="1"/>
  <c r="AA64" i="23"/>
  <c r="K13" i="23" s="1"/>
  <c r="Y13" i="23" s="1"/>
  <c r="AE64" i="23"/>
  <c r="O13" i="23" s="1"/>
  <c r="AC13" i="23" s="1"/>
  <c r="AG64" i="23"/>
  <c r="Q13" i="23" s="1"/>
  <c r="AE13" i="23" s="1"/>
  <c r="AB64" i="23"/>
  <c r="L13" i="23" s="1"/>
  <c r="Z13" i="23" s="1"/>
  <c r="AC64" i="23"/>
  <c r="M13" i="23" s="1"/>
  <c r="AA13" i="23" s="1"/>
  <c r="AF64" i="23"/>
  <c r="P13" i="23" s="1"/>
  <c r="AD13" i="23" s="1"/>
  <c r="AD60" i="23"/>
  <c r="AH60" i="23"/>
  <c r="AA60" i="23"/>
  <c r="AE60" i="23"/>
  <c r="AG60" i="23"/>
  <c r="AB60" i="23"/>
  <c r="AC60" i="23"/>
  <c r="AF60" i="23"/>
  <c r="AC56" i="23"/>
  <c r="M12" i="23" s="1"/>
  <c r="AA12" i="23" s="1"/>
  <c r="AB56" i="23"/>
  <c r="L12" i="23" s="1"/>
  <c r="Z12" i="23" s="1"/>
  <c r="AD56" i="23"/>
  <c r="AA56" i="23"/>
  <c r="AB52" i="23"/>
  <c r="AA52" i="23"/>
  <c r="AB48" i="23"/>
  <c r="AF48" i="23"/>
  <c r="AC48" i="23"/>
  <c r="AD48" i="23"/>
  <c r="AA48" i="23"/>
  <c r="AE48" i="23"/>
  <c r="AB44" i="23"/>
  <c r="AF44" i="23"/>
  <c r="AJ44" i="23"/>
  <c r="T14" i="23" s="1"/>
  <c r="AH14" i="23" s="1"/>
  <c r="BA8" i="23" s="1"/>
  <c r="AH44" i="23"/>
  <c r="AC44" i="23"/>
  <c r="AG44" i="23"/>
  <c r="AK44" i="23"/>
  <c r="U14" i="23" s="1"/>
  <c r="AI14" i="23" s="1"/>
  <c r="BB8" i="23" s="1"/>
  <c r="AD44" i="23"/>
  <c r="AL44" i="23"/>
  <c r="V14" i="23" s="1"/>
  <c r="AJ14" i="23" s="1"/>
  <c r="BC8" i="23" s="1"/>
  <c r="AI44" i="23"/>
  <c r="AM44" i="23"/>
  <c r="W14" i="23" s="1"/>
  <c r="AK14" i="23" s="1"/>
  <c r="BD8" i="23" s="1"/>
  <c r="AA44" i="23"/>
  <c r="AE44" i="23"/>
  <c r="AB40" i="23"/>
  <c r="AF40" i="23"/>
  <c r="AD40" i="23"/>
  <c r="AC40" i="23"/>
  <c r="AA40" i="23"/>
  <c r="AE40" i="23"/>
  <c r="AA67" i="23"/>
  <c r="K25" i="23" s="1"/>
  <c r="Y25" i="23" s="1"/>
  <c r="AE67" i="23"/>
  <c r="O25" i="23" s="1"/>
  <c r="AC25" i="23" s="1"/>
  <c r="AI67" i="23"/>
  <c r="S25" i="23" s="1"/>
  <c r="AG25" i="23" s="1"/>
  <c r="AM67" i="23"/>
  <c r="W25" i="23" s="1"/>
  <c r="AK25" i="23" s="1"/>
  <c r="AB67" i="23"/>
  <c r="L25" i="23" s="1"/>
  <c r="Z25" i="23" s="1"/>
  <c r="AF67" i="23"/>
  <c r="P25" i="23" s="1"/>
  <c r="AD25" i="23" s="1"/>
  <c r="AJ67" i="23"/>
  <c r="T25" i="23" s="1"/>
  <c r="AH25" i="23" s="1"/>
  <c r="AH67" i="23"/>
  <c r="R25" i="23" s="1"/>
  <c r="AF25" i="23" s="1"/>
  <c r="AC67" i="23"/>
  <c r="M25" i="23" s="1"/>
  <c r="AA25" i="23" s="1"/>
  <c r="AK67" i="23"/>
  <c r="U25" i="23" s="1"/>
  <c r="AI25" i="23" s="1"/>
  <c r="AD67" i="23"/>
  <c r="N25" i="23" s="1"/>
  <c r="AB25" i="23" s="1"/>
  <c r="AL67" i="23"/>
  <c r="V25" i="23" s="1"/>
  <c r="AJ25" i="23" s="1"/>
  <c r="AG67" i="23"/>
  <c r="Q25" i="23" s="1"/>
  <c r="AE25" i="23" s="1"/>
  <c r="AA63" i="23"/>
  <c r="AE63" i="23"/>
  <c r="AB63" i="23"/>
  <c r="AD63" i="23"/>
  <c r="AC63" i="23"/>
  <c r="AA59" i="23"/>
  <c r="AE59" i="23"/>
  <c r="AB59" i="23"/>
  <c r="AF59" i="23"/>
  <c r="AH59" i="23"/>
  <c r="AC59" i="23"/>
  <c r="AD59" i="23"/>
  <c r="AG59" i="23"/>
  <c r="AC55" i="23"/>
  <c r="AG55" i="23"/>
  <c r="AD55" i="23"/>
  <c r="AH55" i="23"/>
  <c r="AF55" i="23"/>
  <c r="AA55" i="23"/>
  <c r="AB55" i="23"/>
  <c r="AE55" i="23"/>
  <c r="AA51" i="23"/>
  <c r="AB51" i="23"/>
  <c r="AC47" i="23"/>
  <c r="M6" i="23" s="1"/>
  <c r="AA6" i="23" s="1"/>
  <c r="AA47" i="23"/>
  <c r="Y6" i="23" s="1"/>
  <c r="AB47" i="23"/>
  <c r="L6" i="23" s="1"/>
  <c r="Z6" i="23" s="1"/>
  <c r="AC43" i="23"/>
  <c r="AG43" i="23"/>
  <c r="AE43" i="23"/>
  <c r="AD43" i="23"/>
  <c r="AH43" i="23"/>
  <c r="R14" i="23" s="1"/>
  <c r="AF14" i="23" s="1"/>
  <c r="AA43" i="23"/>
  <c r="AI43" i="23"/>
  <c r="AB43" i="23"/>
  <c r="AF43" i="23"/>
  <c r="AC39" i="23"/>
  <c r="M7" i="23" s="1"/>
  <c r="AA7" i="23" s="1"/>
  <c r="AG39" i="23"/>
  <c r="Q7" i="23" s="1"/>
  <c r="AE7" i="23" s="1"/>
  <c r="AX6" i="23" s="1"/>
  <c r="AE39" i="23"/>
  <c r="O7" i="23" s="1"/>
  <c r="AC7" i="23" s="1"/>
  <c r="AV6" i="23" s="1"/>
  <c r="AD39" i="23"/>
  <c r="N7" i="23" s="1"/>
  <c r="AB7" i="23" s="1"/>
  <c r="AU6" i="23" s="1"/>
  <c r="AH39" i="23"/>
  <c r="R7" i="23" s="1"/>
  <c r="AF7" i="23" s="1"/>
  <c r="AY6" i="23" s="1"/>
  <c r="AA39" i="23"/>
  <c r="K7" i="23" s="1"/>
  <c r="Y7" i="23" s="1"/>
  <c r="AB39" i="23"/>
  <c r="L7" i="23" s="1"/>
  <c r="Z7" i="23" s="1"/>
  <c r="AF39" i="23"/>
  <c r="P7" i="23" s="1"/>
  <c r="AD7" i="23" s="1"/>
  <c r="AW6" i="23" s="1"/>
  <c r="AB66" i="23"/>
  <c r="L20" i="23" s="1"/>
  <c r="Z20" i="23" s="1"/>
  <c r="AF66" i="23"/>
  <c r="P20" i="23" s="1"/>
  <c r="AD20" i="23" s="1"/>
  <c r="AJ66" i="23"/>
  <c r="T20" i="23" s="1"/>
  <c r="AH20" i="23" s="1"/>
  <c r="AC66" i="23"/>
  <c r="M20" i="23" s="1"/>
  <c r="AA20" i="23" s="1"/>
  <c r="AG66" i="23"/>
  <c r="Q20" i="23" s="1"/>
  <c r="AE20" i="23" s="1"/>
  <c r="AK66" i="23"/>
  <c r="U20" i="23" s="1"/>
  <c r="AI20" i="23" s="1"/>
  <c r="AE66" i="23"/>
  <c r="O20" i="23" s="1"/>
  <c r="AC20" i="23" s="1"/>
  <c r="AH66" i="23"/>
  <c r="R20" i="23" s="1"/>
  <c r="AF20" i="23" s="1"/>
  <c r="AA66" i="23"/>
  <c r="K20" i="23" s="1"/>
  <c r="Y20" i="23" s="1"/>
  <c r="AI66" i="23"/>
  <c r="S20" i="23" s="1"/>
  <c r="AG20" i="23" s="1"/>
  <c r="AD66" i="23"/>
  <c r="N20" i="23" s="1"/>
  <c r="AB20" i="23" s="1"/>
  <c r="AB58" i="23"/>
  <c r="L8" i="23" s="1"/>
  <c r="Z8" i="23" s="1"/>
  <c r="AC58" i="23"/>
  <c r="M8" i="23" s="1"/>
  <c r="AA8" i="23" s="1"/>
  <c r="AA58" i="23"/>
  <c r="K8" i="23" s="1"/>
  <c r="Y8" i="23" s="1"/>
  <c r="N8" i="23"/>
  <c r="AD54" i="23"/>
  <c r="AH54" i="23"/>
  <c r="V23" i="23"/>
  <c r="AF54" i="23"/>
  <c r="P23" i="23" s="1"/>
  <c r="AD23" i="23" s="1"/>
  <c r="AW11" i="23" s="1"/>
  <c r="AA54" i="23"/>
  <c r="AE54" i="23"/>
  <c r="AI54" i="23"/>
  <c r="S23" i="23" s="1"/>
  <c r="AG23" i="23" s="1"/>
  <c r="AZ11" i="23" s="1"/>
  <c r="W23" i="23"/>
  <c r="AB54" i="23"/>
  <c r="AJ54" i="23"/>
  <c r="T23" i="23" s="1"/>
  <c r="AH23" i="23" s="1"/>
  <c r="BA11" i="23" s="1"/>
  <c r="AK54" i="23"/>
  <c r="U23" i="23" s="1"/>
  <c r="AC54" i="23"/>
  <c r="AG54" i="23"/>
  <c r="Q23" i="23" s="1"/>
  <c r="AE23" i="23" s="1"/>
  <c r="AX11" i="23" s="1"/>
  <c r="AD50" i="23"/>
  <c r="AH50" i="23"/>
  <c r="AL50" i="23"/>
  <c r="AF50" i="23"/>
  <c r="AA50" i="23"/>
  <c r="AE50" i="23"/>
  <c r="AI50" i="23"/>
  <c r="AM50" i="23"/>
  <c r="W9" i="23" s="1"/>
  <c r="AK9" i="23" s="1"/>
  <c r="BD7" i="23" s="1"/>
  <c r="AB50" i="23"/>
  <c r="AJ50" i="23"/>
  <c r="AK50" i="23"/>
  <c r="AC50" i="23"/>
  <c r="AG50" i="23"/>
  <c r="AD46" i="23"/>
  <c r="AH46" i="23"/>
  <c r="AF46" i="23"/>
  <c r="AJ46" i="23"/>
  <c r="T15" i="23" s="1"/>
  <c r="AH15" i="23" s="1"/>
  <c r="AA46" i="23"/>
  <c r="AE46" i="23"/>
  <c r="AI46" i="23"/>
  <c r="S15" i="23" s="1"/>
  <c r="AG15" i="23" s="1"/>
  <c r="AB46" i="23"/>
  <c r="AC46" i="23"/>
  <c r="AG46" i="23"/>
  <c r="AD42" i="23"/>
  <c r="AB42" i="23"/>
  <c r="AA42" i="23"/>
  <c r="AE42" i="23"/>
  <c r="AF42" i="23"/>
  <c r="AC42" i="23"/>
  <c r="AG42" i="23"/>
  <c r="J43" i="22"/>
  <c r="AS6" i="23" l="1"/>
  <c r="R22" i="23"/>
  <c r="AF22" i="23" s="1"/>
  <c r="P19" i="23"/>
  <c r="AD19" i="23" s="1"/>
  <c r="BD11" i="23"/>
  <c r="BC11" i="23"/>
  <c r="AL7" i="23"/>
  <c r="S14" i="23"/>
  <c r="AG14" i="23" s="1"/>
  <c r="AZ8" i="23" s="1"/>
  <c r="AL6" i="23"/>
  <c r="BB10" i="23"/>
  <c r="AL8" i="23"/>
  <c r="AL20" i="23"/>
  <c r="AT6" i="23"/>
  <c r="AL25" i="23"/>
  <c r="K12" i="23"/>
  <c r="Y12" i="23" s="1"/>
  <c r="AL21" i="23"/>
  <c r="BC10" i="23"/>
  <c r="S9" i="23"/>
  <c r="AG9" i="23" s="1"/>
  <c r="AZ7" i="23" s="1"/>
  <c r="AL24" i="23"/>
  <c r="X17" i="23"/>
  <c r="AA17" i="23"/>
  <c r="AL17" i="23" s="1"/>
  <c r="AL13" i="23"/>
  <c r="AY10" i="23"/>
  <c r="AL18" i="23"/>
  <c r="AR9" i="23"/>
  <c r="BE9" i="23" s="1"/>
  <c r="W34" i="24" s="1"/>
  <c r="BB11" i="23"/>
  <c r="R23" i="23"/>
  <c r="AF23" i="23" s="1"/>
  <c r="AY11" i="23" s="1"/>
  <c r="K14" i="23"/>
  <c r="Y14" i="23" s="1"/>
  <c r="Q22" i="23"/>
  <c r="AE22" i="23" s="1"/>
  <c r="AX10" i="23" s="1"/>
  <c r="N15" i="23"/>
  <c r="AB15" i="23" s="1"/>
  <c r="O9" i="23"/>
  <c r="AC9" i="23" s="1"/>
  <c r="P22" i="23"/>
  <c r="AD22" i="23" s="1"/>
  <c r="L19" i="23"/>
  <c r="Z19" i="23" s="1"/>
  <c r="O19" i="23"/>
  <c r="AC19" i="23" s="1"/>
  <c r="Q15" i="23"/>
  <c r="AE15" i="23" s="1"/>
  <c r="O15" i="23"/>
  <c r="AC15" i="23" s="1"/>
  <c r="V9" i="23"/>
  <c r="AJ9" i="23" s="1"/>
  <c r="M23" i="23"/>
  <c r="AA23" i="23" s="1"/>
  <c r="AT11" i="23" s="1"/>
  <c r="X20" i="23"/>
  <c r="Q14" i="23"/>
  <c r="AE14" i="23" s="1"/>
  <c r="AX8" i="23" s="1"/>
  <c r="M9" i="23"/>
  <c r="AA9" i="23" s="1"/>
  <c r="AT7" i="23" s="1"/>
  <c r="M15" i="23"/>
  <c r="AA15" i="23" s="1"/>
  <c r="X24" i="23"/>
  <c r="O11" i="23"/>
  <c r="AC11" i="23" s="1"/>
  <c r="K10" i="23"/>
  <c r="L23" i="23"/>
  <c r="Z23" i="23" s="1"/>
  <c r="AS11" i="23" s="1"/>
  <c r="L10" i="23"/>
  <c r="Z10" i="23" s="1"/>
  <c r="X25" i="23"/>
  <c r="N22" i="23"/>
  <c r="AB22" i="23" s="1"/>
  <c r="AU10" i="23" s="1"/>
  <c r="X18" i="23"/>
  <c r="N11" i="23"/>
  <c r="AB11" i="23" s="1"/>
  <c r="K11" i="23"/>
  <c r="Y11" i="23" s="1"/>
  <c r="AL11" i="23" s="1"/>
  <c r="L14" i="23"/>
  <c r="Z14" i="23" s="1"/>
  <c r="N14" i="23"/>
  <c r="AB14" i="23" s="1"/>
  <c r="AU8" i="23" s="1"/>
  <c r="Y9" i="23"/>
  <c r="L9" i="23"/>
  <c r="Z9" i="23" s="1"/>
  <c r="AS7" i="23" s="1"/>
  <c r="N12" i="23"/>
  <c r="M22" i="23"/>
  <c r="AA22" i="23" s="1"/>
  <c r="O22" i="23"/>
  <c r="AC22" i="23" s="1"/>
  <c r="X21" i="23"/>
  <c r="M19" i="23"/>
  <c r="AA19" i="23" s="1"/>
  <c r="K19" i="23"/>
  <c r="Y19" i="23" s="1"/>
  <c r="P15" i="23"/>
  <c r="AD15" i="23" s="1"/>
  <c r="K15" i="23"/>
  <c r="Y15" i="23" s="1"/>
  <c r="AL15" i="23" s="1"/>
  <c r="Q9" i="23"/>
  <c r="AE9" i="23" s="1"/>
  <c r="AX7" i="23" s="1"/>
  <c r="U9" i="23"/>
  <c r="AI9" i="23" s="1"/>
  <c r="BB7" i="23" s="1"/>
  <c r="O23" i="23"/>
  <c r="AC23" i="23" s="1"/>
  <c r="AV11" i="23" s="1"/>
  <c r="L11" i="23"/>
  <c r="Z11" i="23" s="1"/>
  <c r="M11" i="23"/>
  <c r="AA11" i="23" s="1"/>
  <c r="P14" i="23"/>
  <c r="AD14" i="23" s="1"/>
  <c r="AW8" i="23" s="1"/>
  <c r="M14" i="23"/>
  <c r="AA14" i="23" s="1"/>
  <c r="AT8" i="23" s="1"/>
  <c r="P9" i="23"/>
  <c r="AD9" i="23" s="1"/>
  <c r="AW7" i="23" s="1"/>
  <c r="S22" i="23"/>
  <c r="X8" i="23"/>
  <c r="X7" i="23"/>
  <c r="O14" i="23"/>
  <c r="AC14" i="23" s="1"/>
  <c r="AV8" i="23" s="1"/>
  <c r="X6" i="23"/>
  <c r="N9" i="23"/>
  <c r="AB9" i="23" s="1"/>
  <c r="L22" i="23"/>
  <c r="Z22" i="23" s="1"/>
  <c r="K22" i="23"/>
  <c r="Y22" i="23" s="1"/>
  <c r="X13" i="23"/>
  <c r="R15" i="23"/>
  <c r="AF15" i="23" s="1"/>
  <c r="AY8" i="23" s="1"/>
  <c r="L15" i="23"/>
  <c r="Z15" i="23" s="1"/>
  <c r="AS8" i="23" s="1"/>
  <c r="R9" i="23"/>
  <c r="AF9" i="23" s="1"/>
  <c r="AY7" i="23" s="1"/>
  <c r="T9" i="23"/>
  <c r="AH9" i="23" s="1"/>
  <c r="BA7" i="23" s="1"/>
  <c r="N23" i="23"/>
  <c r="AB23" i="23" s="1"/>
  <c r="AU11" i="23" s="1"/>
  <c r="K23" i="23"/>
  <c r="Y23" i="23" s="1"/>
  <c r="AR11" i="23" s="1"/>
  <c r="J39" i="22"/>
  <c r="J40" i="22"/>
  <c r="J41" i="22"/>
  <c r="J42" i="22"/>
  <c r="G68" i="23"/>
  <c r="D68" i="23" s="1"/>
  <c r="G67" i="23"/>
  <c r="D67" i="23" s="1"/>
  <c r="G66" i="23"/>
  <c r="D66" i="23" s="1"/>
  <c r="G65" i="23"/>
  <c r="D65" i="23" s="1"/>
  <c r="D64" i="23"/>
  <c r="E64" i="23" s="1"/>
  <c r="I64" i="23" s="1"/>
  <c r="G63" i="23"/>
  <c r="D63" i="23" s="1"/>
  <c r="G62" i="23"/>
  <c r="D62" i="23" s="1"/>
  <c r="G61" i="23"/>
  <c r="D61" i="23" s="1"/>
  <c r="G60" i="23"/>
  <c r="D60" i="23" s="1"/>
  <c r="G59" i="23"/>
  <c r="D59" i="23" s="1"/>
  <c r="D58" i="23"/>
  <c r="D57" i="23"/>
  <c r="G56" i="23"/>
  <c r="D56" i="23" s="1"/>
  <c r="G55" i="23"/>
  <c r="D55" i="23" s="1"/>
  <c r="G54" i="23"/>
  <c r="D54" i="23" s="1"/>
  <c r="G53" i="23"/>
  <c r="D53" i="23" s="1"/>
  <c r="G52" i="23"/>
  <c r="D52" i="23" s="1"/>
  <c r="G51" i="23"/>
  <c r="D51" i="23" s="1"/>
  <c r="G50" i="23"/>
  <c r="D50" i="23" s="1"/>
  <c r="G49" i="23"/>
  <c r="D49" i="23" s="1"/>
  <c r="G48" i="23"/>
  <c r="D48" i="23" s="1"/>
  <c r="D47" i="23"/>
  <c r="G46" i="23"/>
  <c r="D46" i="23" s="1"/>
  <c r="D45" i="23"/>
  <c r="G44" i="23"/>
  <c r="D44" i="23" s="1"/>
  <c r="E44" i="23" s="1"/>
  <c r="I44" i="23" s="1"/>
  <c r="D43" i="23"/>
  <c r="E43" i="23" s="1"/>
  <c r="I43" i="23" s="1"/>
  <c r="D42" i="23"/>
  <c r="E42" i="23" s="1"/>
  <c r="I42" i="23" s="1"/>
  <c r="G41" i="23"/>
  <c r="D41" i="23" s="1"/>
  <c r="E41" i="23" s="1"/>
  <c r="I41" i="23" s="1"/>
  <c r="G40" i="23"/>
  <c r="D40" i="23" s="1"/>
  <c r="D39" i="23"/>
  <c r="E39" i="23" s="1"/>
  <c r="G38" i="23"/>
  <c r="D38" i="23" s="1"/>
  <c r="G37" i="23"/>
  <c r="D37" i="23" s="1"/>
  <c r="G36" i="23"/>
  <c r="D36" i="23" s="1"/>
  <c r="AL14" i="23" l="1"/>
  <c r="BE11" i="23"/>
  <c r="AV7" i="23"/>
  <c r="BE6" i="23"/>
  <c r="W31" i="24" s="1"/>
  <c r="AW10" i="23"/>
  <c r="AR10" i="23"/>
  <c r="AL19" i="23"/>
  <c r="AV10" i="23"/>
  <c r="AL23" i="23"/>
  <c r="AL22" i="23"/>
  <c r="AT10" i="23"/>
  <c r="X12" i="23"/>
  <c r="AB12" i="23"/>
  <c r="AU7" i="23" s="1"/>
  <c r="X10" i="23"/>
  <c r="Y10" i="23"/>
  <c r="AL10" i="23" s="1"/>
  <c r="AL9" i="23"/>
  <c r="BC7" i="23"/>
  <c r="AS10" i="23"/>
  <c r="AR8" i="23"/>
  <c r="BE8" i="23" s="1"/>
  <c r="W33" i="24" s="1"/>
  <c r="X14" i="23"/>
  <c r="X19" i="23"/>
  <c r="X22" i="23"/>
  <c r="X15" i="23"/>
  <c r="X23" i="23"/>
  <c r="X9" i="23"/>
  <c r="X11" i="23"/>
  <c r="E54" i="23"/>
  <c r="I54" i="23" s="1"/>
  <c r="E49" i="23"/>
  <c r="I49" i="23" s="1"/>
  <c r="I39" i="23"/>
  <c r="F39" i="23"/>
  <c r="E53" i="23"/>
  <c r="I53" i="23" s="1"/>
  <c r="V71" i="23"/>
  <c r="E36" i="23"/>
  <c r="I36" i="23" s="1"/>
  <c r="E47" i="23"/>
  <c r="I47" i="23" s="1"/>
  <c r="E58" i="23"/>
  <c r="I58" i="23" s="1"/>
  <c r="E60" i="23"/>
  <c r="I60" i="23" s="1"/>
  <c r="E50" i="23"/>
  <c r="D74" i="23" s="1"/>
  <c r="E57" i="23"/>
  <c r="I57" i="23" s="1"/>
  <c r="E65" i="23"/>
  <c r="I65" i="23" s="1"/>
  <c r="F64" i="23"/>
  <c r="J44" i="22"/>
  <c r="K41" i="22" s="1"/>
  <c r="K43" i="22"/>
  <c r="E38" i="23"/>
  <c r="I38" i="23" s="1"/>
  <c r="D71" i="23"/>
  <c r="E62" i="23"/>
  <c r="I62" i="23" s="1"/>
  <c r="E40" i="23"/>
  <c r="I40" i="23" s="1"/>
  <c r="E52" i="23"/>
  <c r="I52" i="23" s="1"/>
  <c r="E63" i="23"/>
  <c r="I63" i="23" s="1"/>
  <c r="E67" i="23"/>
  <c r="I67" i="23" s="1"/>
  <c r="E48" i="23"/>
  <c r="F48" i="23" s="1"/>
  <c r="E56" i="23"/>
  <c r="I56" i="23" s="1"/>
  <c r="S71" i="23"/>
  <c r="E46" i="23"/>
  <c r="I46" i="23" s="1"/>
  <c r="E59" i="23"/>
  <c r="I59" i="23" s="1"/>
  <c r="E68" i="23"/>
  <c r="I68" i="23" s="1"/>
  <c r="F42" i="23"/>
  <c r="F43" i="23"/>
  <c r="F44" i="23"/>
  <c r="E45" i="23"/>
  <c r="I45" i="23" s="1"/>
  <c r="E51" i="23"/>
  <c r="I51" i="23" s="1"/>
  <c r="E55" i="23"/>
  <c r="I55" i="23" s="1"/>
  <c r="E61" i="23"/>
  <c r="I61" i="23" s="1"/>
  <c r="E66" i="23"/>
  <c r="I66" i="23" s="1"/>
  <c r="L71" i="23"/>
  <c r="P71" i="23"/>
  <c r="T71" i="23"/>
  <c r="E37" i="23"/>
  <c r="I37" i="23" s="1"/>
  <c r="F41" i="23"/>
  <c r="M71" i="23"/>
  <c r="Q71" i="23"/>
  <c r="U71" i="23"/>
  <c r="N71" i="23"/>
  <c r="R71" i="23"/>
  <c r="J71" i="23"/>
  <c r="O71" i="23"/>
  <c r="AL12" i="23" l="1"/>
  <c r="BE15" i="23"/>
  <c r="BE16" i="23" s="1"/>
  <c r="W36" i="24"/>
  <c r="AK27" i="23"/>
  <c r="BE10" i="23"/>
  <c r="W35" i="24" s="1"/>
  <c r="AR7" i="23"/>
  <c r="F36" i="23"/>
  <c r="D73" i="23"/>
  <c r="I50" i="23"/>
  <c r="F55" i="23"/>
  <c r="F62" i="23"/>
  <c r="F49" i="23"/>
  <c r="F65" i="23"/>
  <c r="F57" i="23"/>
  <c r="F58" i="23"/>
  <c r="F50" i="23"/>
  <c r="P72" i="23"/>
  <c r="J72" i="23"/>
  <c r="J73" i="23" s="1"/>
  <c r="F56" i="23"/>
  <c r="F68" i="23"/>
  <c r="F46" i="23"/>
  <c r="F51" i="23"/>
  <c r="F53" i="23"/>
  <c r="F61" i="23"/>
  <c r="F63" i="23"/>
  <c r="F60" i="23"/>
  <c r="F47" i="23"/>
  <c r="F54" i="23"/>
  <c r="K39" i="22"/>
  <c r="K42" i="22"/>
  <c r="K40" i="22"/>
  <c r="L72" i="23"/>
  <c r="L73" i="23" s="1"/>
  <c r="R72" i="23"/>
  <c r="F67" i="23"/>
  <c r="F40" i="23"/>
  <c r="F37" i="23"/>
  <c r="Q72" i="23"/>
  <c r="N72" i="23"/>
  <c r="S72" i="23"/>
  <c r="F59" i="23"/>
  <c r="F66" i="23"/>
  <c r="D72" i="23"/>
  <c r="I48" i="23"/>
  <c r="F52" i="23"/>
  <c r="F38" i="23"/>
  <c r="U72" i="23"/>
  <c r="M72" i="23"/>
  <c r="T72" i="23"/>
  <c r="O72" i="23"/>
  <c r="F45" i="23"/>
  <c r="V72" i="23"/>
  <c r="BE7" i="23" l="1"/>
  <c r="W32" i="24" s="1"/>
  <c r="AR13" i="23"/>
  <c r="L71" i="22"/>
  <c r="N71" i="22" s="1"/>
  <c r="O71" i="22" s="1"/>
  <c r="L70" i="22"/>
  <c r="N70" i="22" s="1"/>
  <c r="O70" i="22" s="1"/>
  <c r="L69" i="22"/>
  <c r="N69" i="22" s="1"/>
  <c r="O69" i="22" s="1"/>
  <c r="L68" i="22"/>
  <c r="N68" i="22" s="1"/>
  <c r="O68" i="22" s="1"/>
  <c r="L67" i="22"/>
  <c r="N67" i="22" s="1"/>
  <c r="O67" i="22" s="1"/>
  <c r="L66" i="22"/>
  <c r="N66" i="22" s="1"/>
  <c r="O66" i="22" s="1"/>
  <c r="L65" i="22"/>
  <c r="N65" i="22" s="1"/>
  <c r="O65" i="22" s="1"/>
  <c r="L64" i="22"/>
  <c r="N64" i="22" s="1"/>
  <c r="O64" i="22" s="1"/>
  <c r="L63" i="22"/>
  <c r="N63" i="22" s="1"/>
  <c r="O63" i="22" s="1"/>
  <c r="L62" i="22"/>
  <c r="N62" i="22" s="1"/>
  <c r="O62" i="22" s="1"/>
  <c r="L61" i="22"/>
  <c r="N61" i="22" s="1"/>
  <c r="O61" i="22" s="1"/>
  <c r="L60" i="22"/>
  <c r="N60" i="22" s="1"/>
  <c r="O60" i="22" s="1"/>
  <c r="N59" i="22"/>
  <c r="O59" i="22" s="1"/>
  <c r="L59" i="22"/>
  <c r="M29" i="22"/>
  <c r="L29" i="22"/>
  <c r="K29" i="22"/>
  <c r="J29" i="22"/>
  <c r="H29" i="22"/>
  <c r="M28" i="22"/>
  <c r="L28" i="22"/>
  <c r="K28" i="22"/>
  <c r="J28" i="22"/>
  <c r="M25" i="22"/>
  <c r="G41" i="22" s="1"/>
  <c r="L25" i="22"/>
  <c r="K25" i="22"/>
  <c r="J25" i="22"/>
  <c r="M15" i="22"/>
  <c r="L15" i="22"/>
  <c r="K15" i="22"/>
  <c r="J15" i="22"/>
  <c r="M24" i="22"/>
  <c r="L24" i="22"/>
  <c r="K24" i="22"/>
  <c r="J24" i="22"/>
  <c r="M23" i="22"/>
  <c r="L23" i="22"/>
  <c r="K23" i="22"/>
  <c r="J23" i="22"/>
  <c r="M22" i="22"/>
  <c r="L22" i="22"/>
  <c r="K22" i="22"/>
  <c r="H22" i="22"/>
  <c r="J22" i="22" s="1"/>
  <c r="M21" i="22"/>
  <c r="L21" i="22"/>
  <c r="K21" i="22"/>
  <c r="J21" i="22"/>
  <c r="M20" i="22"/>
  <c r="L20" i="22"/>
  <c r="K20" i="22"/>
  <c r="H20" i="22"/>
  <c r="J20" i="22" s="1"/>
  <c r="M14" i="22"/>
  <c r="L14" i="22"/>
  <c r="K14" i="22"/>
  <c r="J14" i="22"/>
  <c r="M13" i="22"/>
  <c r="L13" i="22"/>
  <c r="K13" i="22"/>
  <c r="J13" i="22"/>
  <c r="M32" i="22"/>
  <c r="L32" i="22"/>
  <c r="K32" i="22"/>
  <c r="J32" i="22"/>
  <c r="M31" i="22"/>
  <c r="L31" i="22"/>
  <c r="K31" i="22"/>
  <c r="J31" i="22"/>
  <c r="M30" i="22"/>
  <c r="L30" i="22"/>
  <c r="K30" i="22"/>
  <c r="J30" i="22"/>
  <c r="M19" i="22"/>
  <c r="L19" i="22"/>
  <c r="K19" i="22"/>
  <c r="H19" i="22"/>
  <c r="J19" i="22" s="1"/>
  <c r="M18" i="22"/>
  <c r="L18" i="22"/>
  <c r="K18" i="22"/>
  <c r="J18" i="22"/>
  <c r="M17" i="22"/>
  <c r="L17" i="22"/>
  <c r="K17" i="22"/>
  <c r="J17" i="22"/>
  <c r="M16" i="22"/>
  <c r="L16" i="22"/>
  <c r="K16" i="22"/>
  <c r="J16" i="22"/>
  <c r="M27" i="22"/>
  <c r="L27" i="22"/>
  <c r="K27" i="22"/>
  <c r="J27" i="22"/>
  <c r="M26" i="22"/>
  <c r="G42" i="22" s="1"/>
  <c r="L26" i="22"/>
  <c r="K26" i="22"/>
  <c r="J26" i="22"/>
  <c r="P76" i="20"/>
  <c r="P61" i="20"/>
  <c r="P55" i="20"/>
  <c r="P75" i="20"/>
  <c r="P77" i="20"/>
  <c r="P74" i="20"/>
  <c r="P73" i="20"/>
  <c r="P72" i="20"/>
  <c r="P158" i="19"/>
  <c r="N117" i="20"/>
  <c r="O170" i="20"/>
  <c r="P170" i="20"/>
  <c r="N170" i="20"/>
  <c r="O170" i="19"/>
  <c r="P170" i="19"/>
  <c r="T19" i="24" l="1"/>
  <c r="U19" i="24"/>
  <c r="T20" i="24"/>
  <c r="W27" i="22"/>
  <c r="U20" i="24" s="1"/>
  <c r="T9" i="24"/>
  <c r="W16" i="22"/>
  <c r="U9" i="24" s="1"/>
  <c r="W17" i="22"/>
  <c r="U10" i="24" s="1"/>
  <c r="T10" i="24"/>
  <c r="W18" i="22"/>
  <c r="U11" i="24" s="1"/>
  <c r="T11" i="24"/>
  <c r="T12" i="24"/>
  <c r="W19" i="22"/>
  <c r="U12" i="24" s="1"/>
  <c r="W30" i="22"/>
  <c r="U23" i="24" s="1"/>
  <c r="T23" i="24"/>
  <c r="T24" i="24"/>
  <c r="W31" i="22"/>
  <c r="U24" i="24" s="1"/>
  <c r="T25" i="24"/>
  <c r="W32" i="22"/>
  <c r="U25" i="24" s="1"/>
  <c r="W13" i="22"/>
  <c r="U6" i="24" s="1"/>
  <c r="T6" i="24"/>
  <c r="T7" i="24"/>
  <c r="W14" i="22"/>
  <c r="U7" i="24" s="1"/>
  <c r="T13" i="24"/>
  <c r="W20" i="22"/>
  <c r="U13" i="24" s="1"/>
  <c r="W21" i="22"/>
  <c r="U14" i="24" s="1"/>
  <c r="T14" i="24"/>
  <c r="W22" i="22"/>
  <c r="U15" i="24" s="1"/>
  <c r="T15" i="24"/>
  <c r="T16" i="24"/>
  <c r="W23" i="22"/>
  <c r="U16" i="24" s="1"/>
  <c r="W24" i="22"/>
  <c r="U17" i="24" s="1"/>
  <c r="T17" i="24"/>
  <c r="T8" i="24"/>
  <c r="W15" i="22"/>
  <c r="U8" i="24" s="1"/>
  <c r="U18" i="24"/>
  <c r="T18" i="24"/>
  <c r="T21" i="24"/>
  <c r="W28" i="22"/>
  <c r="U21" i="24" s="1"/>
  <c r="W29" i="22"/>
  <c r="U22" i="24" s="1"/>
  <c r="T22" i="24"/>
  <c r="G40" i="22"/>
  <c r="G39" i="22"/>
  <c r="G43" i="22"/>
  <c r="L72" i="22"/>
  <c r="G17" i="11"/>
  <c r="G18" i="11" s="1"/>
  <c r="G19" i="11" s="1"/>
  <c r="F36" i="11"/>
  <c r="E36" i="11"/>
  <c r="F34" i="11"/>
  <c r="E34" i="11"/>
  <c r="O123" i="19"/>
  <c r="O152" i="19" s="1"/>
  <c r="D47" i="19"/>
  <c r="D34" i="11" s="1"/>
  <c r="B47" i="19"/>
  <c r="D46" i="19"/>
  <c r="C34" i="11" s="1"/>
  <c r="B46" i="19"/>
  <c r="D47" i="20"/>
  <c r="O153" i="20" s="1"/>
  <c r="D46" i="20"/>
  <c r="O123" i="20" s="1"/>
  <c r="B47" i="20"/>
  <c r="B46" i="20"/>
  <c r="B36" i="11"/>
  <c r="P43" i="19"/>
  <c r="P43" i="20"/>
  <c r="P42" i="20"/>
  <c r="R33" i="20"/>
  <c r="Z36" i="20"/>
  <c r="Z37" i="20"/>
  <c r="Z38" i="20"/>
  <c r="Z35" i="20"/>
  <c r="Y40" i="20"/>
  <c r="R36" i="20"/>
  <c r="P32" i="20"/>
  <c r="O32" i="20" s="1"/>
  <c r="P42" i="19"/>
  <c r="O135" i="20"/>
  <c r="P153" i="20"/>
  <c r="P152" i="20"/>
  <c r="P151" i="20"/>
  <c r="O132" i="20"/>
  <c r="I133" i="20"/>
  <c r="I132" i="20"/>
  <c r="O131" i="20" s="1"/>
  <c r="H131" i="20"/>
  <c r="P22" i="20"/>
  <c r="O41" i="20" s="1"/>
  <c r="O84" i="20"/>
  <c r="P31" i="24" l="1"/>
  <c r="S31" i="24" s="1"/>
  <c r="T31" i="24" s="1"/>
  <c r="P34" i="24"/>
  <c r="S34" i="24" s="1"/>
  <c r="P32" i="24"/>
  <c r="S32" i="24" s="1"/>
  <c r="T32" i="24" s="1"/>
  <c r="P35" i="24"/>
  <c r="S35" i="24" s="1"/>
  <c r="T35" i="24" s="1"/>
  <c r="P33" i="24"/>
  <c r="S33" i="24" s="1"/>
  <c r="T33" i="24" s="1"/>
  <c r="P36" i="24"/>
  <c r="S36" i="24" s="1"/>
  <c r="T36" i="24" s="1"/>
  <c r="G44" i="22"/>
  <c r="H39" i="22"/>
  <c r="O152" i="20"/>
  <c r="R34" i="20"/>
  <c r="R79" i="19"/>
  <c r="R72" i="19"/>
  <c r="O11" i="20"/>
  <c r="P11" i="20" s="1"/>
  <c r="AB31" i="24" l="1"/>
  <c r="R55" i="24"/>
  <c r="U43" i="24" s="1"/>
  <c r="Q66" i="24"/>
  <c r="T34" i="24"/>
  <c r="V34" i="24" s="1"/>
  <c r="P111" i="24" s="1"/>
  <c r="AB34" i="24"/>
  <c r="R58" i="24"/>
  <c r="V33" i="24"/>
  <c r="P110" i="24" s="1"/>
  <c r="P109" i="24" s="1"/>
  <c r="R56" i="24"/>
  <c r="AB32" i="24"/>
  <c r="R60" i="24"/>
  <c r="AB36" i="24"/>
  <c r="U31" i="24"/>
  <c r="V31" i="24"/>
  <c r="P106" i="24" s="1"/>
  <c r="R57" i="24"/>
  <c r="AB33" i="24"/>
  <c r="R59" i="24"/>
  <c r="AB35" i="24"/>
  <c r="H40" i="22"/>
  <c r="H41" i="22"/>
  <c r="H42" i="22"/>
  <c r="H43" i="22"/>
  <c r="P41" i="20"/>
  <c r="O196" i="20"/>
  <c r="O197" i="20" s="1"/>
  <c r="O166" i="20"/>
  <c r="N166" i="20"/>
  <c r="O159" i="20"/>
  <c r="O44" i="20" s="1"/>
  <c r="O158" i="20"/>
  <c r="P166" i="20" s="1"/>
  <c r="O151" i="20"/>
  <c r="R146" i="20"/>
  <c r="N145" i="20"/>
  <c r="N158" i="20" s="1"/>
  <c r="Y142" i="20"/>
  <c r="P159" i="20" s="1"/>
  <c r="X142" i="20"/>
  <c r="Y141" i="20"/>
  <c r="P158" i="20" s="1"/>
  <c r="X136" i="20"/>
  <c r="X137" i="20" s="1"/>
  <c r="Q135" i="20"/>
  <c r="Q132" i="20"/>
  <c r="E132" i="20"/>
  <c r="P123" i="20"/>
  <c r="N118" i="20"/>
  <c r="N123" i="20" s="1"/>
  <c r="O111" i="20"/>
  <c r="P111" i="20" s="1"/>
  <c r="O108" i="20"/>
  <c r="P108" i="20" s="1"/>
  <c r="R118" i="20" s="1"/>
  <c r="R100" i="20"/>
  <c r="O98" i="20"/>
  <c r="O86" i="20"/>
  <c r="N72" i="20"/>
  <c r="N97" i="20" s="1"/>
  <c r="O63" i="20"/>
  <c r="O43" i="20"/>
  <c r="O42" i="20"/>
  <c r="N41" i="20"/>
  <c r="P34" i="20"/>
  <c r="X108" i="20"/>
  <c r="X110" i="20" s="1"/>
  <c r="X111" i="20" s="1"/>
  <c r="X112" i="20" s="1"/>
  <c r="X113" i="20" s="1"/>
  <c r="P33" i="20"/>
  <c r="Q22" i="20"/>
  <c r="N22" i="20"/>
  <c r="F17" i="20"/>
  <c r="E17" i="20"/>
  <c r="D17" i="20"/>
  <c r="F16" i="20"/>
  <c r="E16" i="20"/>
  <c r="D16" i="20"/>
  <c r="F15" i="20"/>
  <c r="E15" i="20"/>
  <c r="D15" i="20"/>
  <c r="C15" i="20"/>
  <c r="F14" i="20"/>
  <c r="E14" i="20"/>
  <c r="D14" i="20"/>
  <c r="C14" i="20"/>
  <c r="F13" i="20"/>
  <c r="E13" i="20"/>
  <c r="D13" i="20"/>
  <c r="C13" i="20"/>
  <c r="F12" i="20"/>
  <c r="E12" i="20"/>
  <c r="D12" i="20"/>
  <c r="C12" i="20"/>
  <c r="F11" i="20"/>
  <c r="E11" i="20"/>
  <c r="D11" i="20"/>
  <c r="C11" i="20"/>
  <c r="D10" i="20"/>
  <c r="C10" i="20"/>
  <c r="O22" i="20" s="1"/>
  <c r="D9" i="20"/>
  <c r="C9" i="20"/>
  <c r="O23" i="20" s="1"/>
  <c r="F8" i="20"/>
  <c r="F9" i="20" s="1"/>
  <c r="F10" i="20" s="1"/>
  <c r="E8" i="20"/>
  <c r="D8" i="20"/>
  <c r="C8" i="20"/>
  <c r="O24" i="20" s="1"/>
  <c r="F7" i="20"/>
  <c r="E7" i="20"/>
  <c r="Q131" i="20" s="1"/>
  <c r="D7" i="20"/>
  <c r="C7" i="20"/>
  <c r="F6" i="20"/>
  <c r="E6" i="20"/>
  <c r="D6" i="20"/>
  <c r="F5" i="20"/>
  <c r="F4" i="20"/>
  <c r="E4" i="20"/>
  <c r="O131" i="19"/>
  <c r="E51" i="16"/>
  <c r="O132" i="19"/>
  <c r="R36" i="19"/>
  <c r="P36" i="19"/>
  <c r="O135" i="19"/>
  <c r="Q135" i="19"/>
  <c r="Q145" i="19"/>
  <c r="P159" i="19"/>
  <c r="R146" i="19"/>
  <c r="Y142" i="19"/>
  <c r="Y141" i="19"/>
  <c r="X142" i="19"/>
  <c r="O68" i="16"/>
  <c r="O66" i="16"/>
  <c r="O64" i="16"/>
  <c r="O65" i="16"/>
  <c r="M64" i="16"/>
  <c r="M65" i="16"/>
  <c r="M66" i="16"/>
  <c r="M67" i="16"/>
  <c r="O159" i="19"/>
  <c r="O44" i="19" s="1"/>
  <c r="I100" i="10"/>
  <c r="N99" i="10"/>
  <c r="N100" i="10" s="1"/>
  <c r="N101" i="10" s="1"/>
  <c r="N102" i="10" s="1"/>
  <c r="O109" i="10"/>
  <c r="I101" i="10"/>
  <c r="I102" i="10" s="1"/>
  <c r="I103" i="10" s="1"/>
  <c r="I104" i="10" s="1"/>
  <c r="Q68" i="24" l="1"/>
  <c r="U45" i="24"/>
  <c r="Q67" i="24"/>
  <c r="U44" i="24"/>
  <c r="U34" i="24"/>
  <c r="Q71" i="24"/>
  <c r="U48" i="24"/>
  <c r="Q70" i="24"/>
  <c r="U47" i="24"/>
  <c r="Q69" i="24"/>
  <c r="U46" i="24"/>
  <c r="U35" i="24"/>
  <c r="P113" i="24" s="1"/>
  <c r="P112" i="24" s="1"/>
  <c r="V35" i="24"/>
  <c r="U32" i="24"/>
  <c r="V32" i="24"/>
  <c r="P108" i="24" s="1"/>
  <c r="P107" i="24" s="1"/>
  <c r="U33" i="24"/>
  <c r="Q55" i="24"/>
  <c r="P84" i="24"/>
  <c r="Q58" i="24"/>
  <c r="P87" i="24"/>
  <c r="U36" i="24"/>
  <c r="V36" i="24"/>
  <c r="P115" i="24" s="1"/>
  <c r="P114" i="24" s="1"/>
  <c r="Q66" i="16"/>
  <c r="N51" i="20"/>
  <c r="S33" i="20"/>
  <c r="P59" i="20"/>
  <c r="P56" i="20"/>
  <c r="P57" i="20"/>
  <c r="P60" i="20"/>
  <c r="P58" i="20"/>
  <c r="X130" i="20"/>
  <c r="N100" i="20"/>
  <c r="N99" i="20"/>
  <c r="N98" i="20"/>
  <c r="Q133" i="20"/>
  <c r="X131" i="20"/>
  <c r="E9" i="20"/>
  <c r="E10" i="20" s="1"/>
  <c r="O64" i="20"/>
  <c r="O65" i="20" s="1"/>
  <c r="P89" i="20" s="1"/>
  <c r="N146" i="20"/>
  <c r="S34" i="20"/>
  <c r="N151" i="20"/>
  <c r="G131" i="19"/>
  <c r="E132" i="19"/>
  <c r="G132" i="19" s="1"/>
  <c r="Q60" i="24" l="1"/>
  <c r="P89" i="24"/>
  <c r="Q56" i="24"/>
  <c r="P85" i="24"/>
  <c r="Q57" i="24"/>
  <c r="P86" i="24"/>
  <c r="Q59" i="24"/>
  <c r="P88" i="24"/>
  <c r="X132" i="20"/>
  <c r="Q63" i="20"/>
  <c r="Q79" i="20"/>
  <c r="P63" i="20"/>
  <c r="P36" i="20"/>
  <c r="P85" i="20"/>
  <c r="Q97" i="20" s="1"/>
  <c r="P84" i="20"/>
  <c r="Q98" i="20" s="1"/>
  <c r="O166" i="19"/>
  <c r="N166" i="19"/>
  <c r="N170" i="19" s="1"/>
  <c r="N146" i="19"/>
  <c r="O158" i="19"/>
  <c r="P166" i="19" s="1"/>
  <c r="O151" i="19"/>
  <c r="N145" i="19"/>
  <c r="N151" i="19" s="1"/>
  <c r="P123" i="19"/>
  <c r="N118" i="19"/>
  <c r="N123" i="19" s="1"/>
  <c r="O43" i="19"/>
  <c r="O42" i="19"/>
  <c r="N22" i="19"/>
  <c r="N41" i="19"/>
  <c r="N72" i="19"/>
  <c r="N97" i="19" s="1"/>
  <c r="N100" i="19" s="1"/>
  <c r="P44" i="20" l="1"/>
  <c r="R99" i="20"/>
  <c r="N158" i="19"/>
  <c r="N99" i="19"/>
  <c r="O111" i="19"/>
  <c r="P111" i="19" s="1"/>
  <c r="O108" i="19"/>
  <c r="P108" i="19" s="1"/>
  <c r="R118" i="19" s="1"/>
  <c r="O86" i="19"/>
  <c r="O63" i="19"/>
  <c r="N63" i="19"/>
  <c r="Q59" i="19" s="1"/>
  <c r="O34" i="19"/>
  <c r="X108" i="19" s="1"/>
  <c r="O196" i="19"/>
  <c r="O197" i="19" s="1"/>
  <c r="P46" i="20" l="1"/>
  <c r="P55" i="19"/>
  <c r="P90" i="19"/>
  <c r="Q58" i="19"/>
  <c r="X110" i="19"/>
  <c r="X111" i="19" s="1"/>
  <c r="X112" i="19" s="1"/>
  <c r="X113" i="19" s="1"/>
  <c r="Q57" i="19"/>
  <c r="O90" i="19"/>
  <c r="Q55" i="19"/>
  <c r="Q60" i="19"/>
  <c r="Q56" i="19"/>
  <c r="N64" i="19"/>
  <c r="N65" i="19" s="1"/>
  <c r="O89" i="19" s="1"/>
  <c r="P34" i="19"/>
  <c r="S34" i="19"/>
  <c r="Q63" i="19" l="1"/>
  <c r="P60" i="19"/>
  <c r="P72" i="19" s="1"/>
  <c r="O11" i="19"/>
  <c r="Q22" i="19" s="1"/>
  <c r="O33" i="19"/>
  <c r="R100" i="19"/>
  <c r="O98" i="19"/>
  <c r="N98" i="19"/>
  <c r="O41" i="19"/>
  <c r="F17" i="19"/>
  <c r="E17" i="19"/>
  <c r="D17" i="19"/>
  <c r="F16" i="19"/>
  <c r="E16" i="19"/>
  <c r="D16" i="19"/>
  <c r="F15" i="19"/>
  <c r="E15" i="19"/>
  <c r="D15" i="19"/>
  <c r="C15" i="19"/>
  <c r="F14" i="19"/>
  <c r="E14" i="19"/>
  <c r="D14" i="19"/>
  <c r="C14" i="19"/>
  <c r="F13" i="19"/>
  <c r="E13" i="19"/>
  <c r="D13" i="19"/>
  <c r="C13" i="19"/>
  <c r="F12" i="19"/>
  <c r="E12" i="19"/>
  <c r="D12" i="19"/>
  <c r="C12" i="19"/>
  <c r="F11" i="19"/>
  <c r="E11" i="19"/>
  <c r="D11" i="19"/>
  <c r="C11" i="19"/>
  <c r="D10" i="19"/>
  <c r="C10" i="19"/>
  <c r="O22" i="19" s="1"/>
  <c r="D9" i="19"/>
  <c r="C9" i="19"/>
  <c r="O23" i="19" s="1"/>
  <c r="F8" i="19"/>
  <c r="F9" i="19" s="1"/>
  <c r="F10" i="19" s="1"/>
  <c r="E8" i="19"/>
  <c r="D8" i="19"/>
  <c r="C8" i="19"/>
  <c r="O24" i="19" s="1"/>
  <c r="F7" i="19"/>
  <c r="E7" i="19"/>
  <c r="D7" i="19"/>
  <c r="C7" i="19"/>
  <c r="F6" i="19"/>
  <c r="E6" i="19"/>
  <c r="D6" i="19"/>
  <c r="F5" i="19"/>
  <c r="F4" i="19"/>
  <c r="E4" i="19"/>
  <c r="X136" i="19" l="1"/>
  <c r="P33" i="19"/>
  <c r="Q132" i="19"/>
  <c r="Q131" i="19"/>
  <c r="S33" i="19"/>
  <c r="O64" i="19"/>
  <c r="O65" i="19" s="1"/>
  <c r="P89" i="19" s="1"/>
  <c r="P59" i="19"/>
  <c r="P76" i="19" s="1"/>
  <c r="P58" i="19"/>
  <c r="P75" i="19" s="1"/>
  <c r="P57" i="19"/>
  <c r="P74" i="19" s="1"/>
  <c r="P61" i="19"/>
  <c r="P77" i="19" s="1"/>
  <c r="P56" i="19"/>
  <c r="E9" i="19"/>
  <c r="E10" i="19" s="1"/>
  <c r="P32" i="19"/>
  <c r="R34" i="19" s="1"/>
  <c r="R33" i="19" l="1"/>
  <c r="X131" i="19"/>
  <c r="X130" i="19"/>
  <c r="Q133" i="19"/>
  <c r="P151" i="19" s="1"/>
  <c r="P73" i="19"/>
  <c r="P79" i="19" s="1"/>
  <c r="P63" i="19"/>
  <c r="P85" i="19"/>
  <c r="P84" i="19"/>
  <c r="Q98" i="19" s="1"/>
  <c r="P152" i="19" l="1"/>
  <c r="Q97" i="19"/>
  <c r="X137" i="19"/>
  <c r="X132" i="19"/>
  <c r="H52" i="16"/>
  <c r="E52" i="16"/>
  <c r="D51" i="16"/>
  <c r="P41" i="19" l="1"/>
  <c r="P44" i="19"/>
  <c r="R99" i="19"/>
  <c r="P46" i="19"/>
  <c r="L71" i="16"/>
  <c r="J75" i="16"/>
  <c r="E36" i="16"/>
  <c r="D36" i="16"/>
  <c r="E33" i="16"/>
  <c r="D33" i="16"/>
  <c r="E86" i="16"/>
  <c r="D86" i="16"/>
  <c r="D80" i="16"/>
  <c r="E74" i="16"/>
  <c r="D74" i="16"/>
  <c r="G65" i="16"/>
  <c r="G66" i="16"/>
  <c r="G67" i="16"/>
  <c r="G64" i="16"/>
  <c r="D68" i="16"/>
  <c r="E68" i="16"/>
  <c r="E16" i="16"/>
  <c r="F8" i="16"/>
  <c r="F7" i="16"/>
  <c r="E9" i="16" l="1"/>
  <c r="E15" i="16" s="1"/>
  <c r="D9" i="16"/>
  <c r="D15" i="16" s="1"/>
  <c r="F9" i="16" l="1"/>
  <c r="F15" i="16" s="1"/>
  <c r="AP34" i="10" l="1"/>
  <c r="AN34" i="10"/>
  <c r="AN30" i="10"/>
  <c r="AP30" i="10" s="1"/>
  <c r="AL35" i="10"/>
  <c r="AN35" i="10" s="1"/>
  <c r="AP35" i="10" s="1"/>
  <c r="AL34" i="10"/>
  <c r="AL31" i="10"/>
  <c r="AN31" i="10" s="1"/>
  <c r="AL30" i="10"/>
  <c r="AP37" i="10" l="1"/>
  <c r="AP31" i="10"/>
  <c r="AR31" i="10"/>
  <c r="AN19" i="10"/>
  <c r="AN22" i="10"/>
  <c r="AN23" i="10"/>
  <c r="AN24" i="10" s="1"/>
  <c r="AN18" i="10"/>
  <c r="AL20" i="10"/>
  <c r="AN20" i="10" s="1"/>
  <c r="AL14" i="10" l="1"/>
  <c r="AL15" i="10" s="1"/>
  <c r="AL27" i="10" s="1"/>
  <c r="J7" i="10"/>
  <c r="L54" i="5"/>
  <c r="L53" i="5"/>
  <c r="L40" i="5"/>
  <c r="C22" i="10" l="1"/>
  <c r="D74" i="3"/>
  <c r="M68" i="3" s="1"/>
  <c r="D73" i="3"/>
  <c r="Q89" i="3" s="1"/>
  <c r="P26" i="3"/>
  <c r="P27" i="3"/>
  <c r="F26" i="11"/>
  <c r="E26" i="11"/>
  <c r="D26" i="11"/>
  <c r="C26" i="11"/>
  <c r="K19" i="3"/>
  <c r="K17" i="3"/>
  <c r="G29" i="10"/>
  <c r="F29" i="10"/>
  <c r="F18" i="10"/>
  <c r="D32" i="10"/>
  <c r="C32" i="10"/>
  <c r="F28" i="10" s="1"/>
  <c r="B26" i="11"/>
  <c r="B4" i="11" a="1"/>
  <c r="B4" i="11" s="1"/>
  <c r="P68" i="3" l="1"/>
  <c r="Q79" i="3"/>
  <c r="P87" i="3"/>
  <c r="T70" i="3"/>
  <c r="T77" i="3"/>
  <c r="T89" i="3"/>
  <c r="P70" i="3"/>
  <c r="O77" i="3"/>
  <c r="P89" i="3"/>
  <c r="T68" i="3"/>
  <c r="M79" i="3"/>
  <c r="T87" i="3"/>
  <c r="S68" i="3"/>
  <c r="O68" i="3"/>
  <c r="S70" i="3"/>
  <c r="O70" i="3"/>
  <c r="T79" i="3"/>
  <c r="P79" i="3"/>
  <c r="R77" i="3"/>
  <c r="N77" i="3"/>
  <c r="S87" i="3"/>
  <c r="O87" i="3"/>
  <c r="S89" i="3"/>
  <c r="O89" i="3"/>
  <c r="R68" i="3"/>
  <c r="N68" i="3"/>
  <c r="R70" i="3"/>
  <c r="N70" i="3"/>
  <c r="S79" i="3"/>
  <c r="O79" i="3"/>
  <c r="Q77" i="3"/>
  <c r="S77" i="3"/>
  <c r="R87" i="3"/>
  <c r="N87" i="3"/>
  <c r="R89" i="3"/>
  <c r="N89" i="3"/>
  <c r="Q68" i="3"/>
  <c r="M70" i="3"/>
  <c r="Q70" i="3"/>
  <c r="M77" i="3"/>
  <c r="R79" i="3"/>
  <c r="N79" i="3"/>
  <c r="P77" i="3"/>
  <c r="M87" i="3"/>
  <c r="Q87" i="3"/>
  <c r="M89" i="3"/>
  <c r="G28" i="10"/>
  <c r="F14" i="11"/>
  <c r="M65" i="5" l="1"/>
  <c r="N65" i="5"/>
  <c r="O65" i="5"/>
  <c r="P65" i="5"/>
  <c r="Q65" i="5"/>
  <c r="R65" i="5"/>
  <c r="S65" i="5"/>
  <c r="L65" i="5"/>
  <c r="L55" i="5"/>
  <c r="L56" i="5"/>
  <c r="L57" i="5"/>
  <c r="L58" i="5"/>
  <c r="L59" i="5"/>
  <c r="Q127" i="5"/>
  <c r="L127" i="5"/>
  <c r="K127" i="5"/>
  <c r="J127" i="5"/>
  <c r="M127" i="5"/>
  <c r="N127" i="5"/>
  <c r="O127" i="5"/>
  <c r="P127" i="5"/>
  <c r="J126" i="5"/>
  <c r="I127" i="5"/>
  <c r="J52" i="5" l="1"/>
  <c r="K65" i="5" s="1"/>
  <c r="H11" i="3"/>
  <c r="P11" i="3" s="1"/>
  <c r="G24" i="10" l="1"/>
  <c r="G14" i="11" s="1"/>
  <c r="G25" i="10" l="1"/>
  <c r="N53" i="10" l="1"/>
  <c r="N46" i="10"/>
  <c r="N49" i="10"/>
  <c r="N50" i="10"/>
  <c r="N51" i="10"/>
  <c r="N52" i="10"/>
  <c r="N54" i="10"/>
  <c r="N55" i="10"/>
  <c r="N45" i="10"/>
  <c r="I45" i="10"/>
  <c r="F127" i="10"/>
  <c r="C238" i="10"/>
  <c r="C237" i="10"/>
  <c r="C236" i="10"/>
  <c r="C235" i="10"/>
  <c r="C234" i="10"/>
  <c r="C233" i="10"/>
  <c r="C232" i="10"/>
  <c r="C231" i="10"/>
  <c r="C230" i="10"/>
  <c r="C229" i="10"/>
  <c r="C228" i="10"/>
  <c r="C227" i="10"/>
  <c r="C226" i="10"/>
  <c r="C225" i="10"/>
  <c r="C224" i="10"/>
  <c r="C223" i="10"/>
  <c r="C222" i="10"/>
  <c r="C221" i="10"/>
  <c r="C220" i="10"/>
  <c r="C219" i="10"/>
  <c r="P216" i="10"/>
  <c r="N216" i="10"/>
  <c r="G216" i="10"/>
  <c r="K216" i="10" s="1"/>
  <c r="P215" i="10"/>
  <c r="N215" i="10"/>
  <c r="G215" i="10"/>
  <c r="J215" i="10" s="1"/>
  <c r="P214" i="10"/>
  <c r="N214" i="10"/>
  <c r="G214" i="10"/>
  <c r="P213" i="10"/>
  <c r="N213" i="10"/>
  <c r="G213" i="10"/>
  <c r="K213" i="10" s="1"/>
  <c r="P212" i="10"/>
  <c r="N212" i="10"/>
  <c r="S115" i="10" s="1"/>
  <c r="G212" i="10"/>
  <c r="J212" i="10" s="1"/>
  <c r="P211" i="10"/>
  <c r="N211" i="10"/>
  <c r="G211" i="10"/>
  <c r="J211" i="10" s="1"/>
  <c r="P210" i="10"/>
  <c r="N210" i="10"/>
  <c r="S113" i="10" s="1"/>
  <c r="G210" i="10"/>
  <c r="P209" i="10"/>
  <c r="N209" i="10"/>
  <c r="G209" i="10"/>
  <c r="K209" i="10" s="1"/>
  <c r="P208" i="10"/>
  <c r="N208" i="10"/>
  <c r="G208" i="10"/>
  <c r="J208" i="10" s="1"/>
  <c r="P207" i="10"/>
  <c r="N207" i="10"/>
  <c r="G207" i="10"/>
  <c r="J207" i="10" s="1"/>
  <c r="P206" i="10"/>
  <c r="N206" i="10"/>
  <c r="G206" i="10"/>
  <c r="P205" i="10"/>
  <c r="N205" i="10"/>
  <c r="G205" i="10"/>
  <c r="J205" i="10" s="1"/>
  <c r="P204" i="10"/>
  <c r="N204" i="10"/>
  <c r="G204" i="10"/>
  <c r="J204" i="10" s="1"/>
  <c r="P203" i="10"/>
  <c r="N203" i="10"/>
  <c r="S109" i="10" s="1"/>
  <c r="G203" i="10"/>
  <c r="J203" i="10" s="1"/>
  <c r="P202" i="10"/>
  <c r="N202" i="10"/>
  <c r="G202" i="10"/>
  <c r="P201" i="10"/>
  <c r="N201" i="10"/>
  <c r="G201" i="10"/>
  <c r="K201" i="10" s="1"/>
  <c r="P200" i="10"/>
  <c r="N200" i="10"/>
  <c r="G200" i="10"/>
  <c r="J200" i="10" s="1"/>
  <c r="P199" i="10"/>
  <c r="N199" i="10"/>
  <c r="G199" i="10"/>
  <c r="J199" i="10" s="1"/>
  <c r="P198" i="10"/>
  <c r="N198" i="10"/>
  <c r="G198" i="10"/>
  <c r="P197" i="10"/>
  <c r="N197" i="10"/>
  <c r="G197" i="10"/>
  <c r="K197" i="10" s="1"/>
  <c r="P196" i="10"/>
  <c r="N196" i="10"/>
  <c r="G196" i="10"/>
  <c r="J196" i="10" s="1"/>
  <c r="P195" i="10"/>
  <c r="N195" i="10"/>
  <c r="G195" i="10"/>
  <c r="J195" i="10" s="1"/>
  <c r="P194" i="10"/>
  <c r="N194" i="10"/>
  <c r="G194" i="10"/>
  <c r="P193" i="10"/>
  <c r="N193" i="10"/>
  <c r="G193" i="10"/>
  <c r="K193" i="10" s="1"/>
  <c r="P192" i="10"/>
  <c r="N192" i="10"/>
  <c r="S110" i="10" s="1"/>
  <c r="G192" i="10"/>
  <c r="J192" i="10" s="1"/>
  <c r="P191" i="10"/>
  <c r="N191" i="10"/>
  <c r="P190" i="10"/>
  <c r="N190" i="10"/>
  <c r="E190" i="10"/>
  <c r="P189" i="10"/>
  <c r="N189" i="10"/>
  <c r="H189" i="10"/>
  <c r="G189" i="10"/>
  <c r="P188" i="10"/>
  <c r="N188" i="10"/>
  <c r="H188" i="10"/>
  <c r="G188" i="10"/>
  <c r="P187" i="10"/>
  <c r="N187" i="10"/>
  <c r="H187" i="10"/>
  <c r="G187" i="10"/>
  <c r="P186" i="10"/>
  <c r="N186" i="10"/>
  <c r="H186" i="10"/>
  <c r="G186" i="10"/>
  <c r="P185" i="10"/>
  <c r="N185" i="10"/>
  <c r="H185" i="10"/>
  <c r="G185" i="10"/>
  <c r="P184" i="10"/>
  <c r="N184" i="10"/>
  <c r="H184" i="10"/>
  <c r="G184" i="10"/>
  <c r="P183" i="10"/>
  <c r="N183" i="10"/>
  <c r="H183" i="10"/>
  <c r="G183" i="10"/>
  <c r="P182" i="10"/>
  <c r="N182" i="10"/>
  <c r="H182" i="10"/>
  <c r="G182" i="10"/>
  <c r="P181" i="10"/>
  <c r="N181" i="10"/>
  <c r="H181" i="10"/>
  <c r="G181" i="10"/>
  <c r="P180" i="10"/>
  <c r="N180" i="10"/>
  <c r="H180" i="10"/>
  <c r="G180" i="10"/>
  <c r="P179" i="10"/>
  <c r="N179" i="10"/>
  <c r="H179" i="10"/>
  <c r="G179" i="10"/>
  <c r="P178" i="10"/>
  <c r="N178" i="10"/>
  <c r="H178" i="10"/>
  <c r="G178" i="10"/>
  <c r="P177" i="10"/>
  <c r="N177" i="10"/>
  <c r="H177" i="10"/>
  <c r="G177" i="10"/>
  <c r="P176" i="10"/>
  <c r="N176" i="10"/>
  <c r="H176" i="10"/>
  <c r="G176" i="10"/>
  <c r="P175" i="10"/>
  <c r="N175" i="10"/>
  <c r="H175" i="10"/>
  <c r="G175" i="10"/>
  <c r="P173" i="10"/>
  <c r="N173" i="10"/>
  <c r="E173" i="10"/>
  <c r="P172" i="10"/>
  <c r="N172" i="10"/>
  <c r="E172" i="10"/>
  <c r="P171" i="10"/>
  <c r="N171" i="10"/>
  <c r="E171" i="10"/>
  <c r="P170" i="10"/>
  <c r="N170" i="10"/>
  <c r="E170" i="10"/>
  <c r="P169" i="10"/>
  <c r="N169" i="10"/>
  <c r="E169" i="10"/>
  <c r="P168" i="10"/>
  <c r="N168" i="10"/>
  <c r="E168" i="10"/>
  <c r="P167" i="10"/>
  <c r="N167" i="10"/>
  <c r="E167" i="10"/>
  <c r="P166" i="10"/>
  <c r="N166" i="10"/>
  <c r="S111" i="10" s="1"/>
  <c r="E166" i="10"/>
  <c r="P165" i="10"/>
  <c r="N165" i="10"/>
  <c r="E165" i="10"/>
  <c r="P164" i="10"/>
  <c r="N164" i="10"/>
  <c r="E164" i="10"/>
  <c r="P163" i="10"/>
  <c r="N163" i="10"/>
  <c r="E163" i="10"/>
  <c r="P162" i="10"/>
  <c r="N162" i="10"/>
  <c r="E162" i="10"/>
  <c r="P161" i="10"/>
  <c r="N161" i="10"/>
  <c r="E161" i="10"/>
  <c r="P160" i="10"/>
  <c r="N160" i="10"/>
  <c r="E160" i="10"/>
  <c r="P159" i="10"/>
  <c r="N159" i="10"/>
  <c r="E159" i="10"/>
  <c r="P158" i="10"/>
  <c r="N158" i="10"/>
  <c r="E158" i="10"/>
  <c r="P157" i="10"/>
  <c r="N157" i="10"/>
  <c r="E157" i="10"/>
  <c r="H152" i="10"/>
  <c r="H149" i="10"/>
  <c r="R148" i="10"/>
  <c r="H146" i="10"/>
  <c r="H143" i="10"/>
  <c r="G170" i="10" s="1"/>
  <c r="B141" i="10" a="1"/>
  <c r="L138" i="10"/>
  <c r="K138" i="10" s="1"/>
  <c r="F138" i="10"/>
  <c r="H138" i="10" s="1"/>
  <c r="J138" i="10" s="1"/>
  <c r="N137" i="10"/>
  <c r="M137" i="10"/>
  <c r="G137" i="10"/>
  <c r="E137" i="10"/>
  <c r="D137" i="10"/>
  <c r="L136" i="10"/>
  <c r="F51" i="10" s="1"/>
  <c r="G12" i="10" s="1"/>
  <c r="G6" i="11" s="1"/>
  <c r="G135" i="10"/>
  <c r="E135" i="10"/>
  <c r="D135" i="10"/>
  <c r="L134" i="10"/>
  <c r="F49" i="10" s="1"/>
  <c r="G10" i="10" s="1"/>
  <c r="L133" i="10"/>
  <c r="F52" i="10" s="1"/>
  <c r="G13" i="10" s="1"/>
  <c r="G7" i="11" s="1"/>
  <c r="L132" i="10"/>
  <c r="K132" i="10" s="1"/>
  <c r="F132" i="10"/>
  <c r="F137" i="10" s="1"/>
  <c r="L131" i="10"/>
  <c r="F53" i="10" s="1"/>
  <c r="G14" i="10" s="1"/>
  <c r="G8" i="11" s="1"/>
  <c r="D36" i="11" s="1"/>
  <c r="K130" i="10"/>
  <c r="F130" i="10"/>
  <c r="H130" i="10" s="1"/>
  <c r="J130" i="10" s="1"/>
  <c r="K129" i="10"/>
  <c r="F129" i="10"/>
  <c r="I129" i="10" s="1"/>
  <c r="L128" i="10"/>
  <c r="F50" i="10" s="1"/>
  <c r="G11" i="10" s="1"/>
  <c r="L127" i="10"/>
  <c r="K127" i="10" s="1"/>
  <c r="L126" i="10"/>
  <c r="K126" i="10" s="1"/>
  <c r="F126" i="10"/>
  <c r="I126" i="10" s="1"/>
  <c r="L125" i="10"/>
  <c r="F55" i="10" s="1"/>
  <c r="L124" i="10"/>
  <c r="F54" i="10" s="1"/>
  <c r="G15" i="10" s="1"/>
  <c r="G122" i="10"/>
  <c r="E122" i="10"/>
  <c r="G121" i="10"/>
  <c r="E121" i="10"/>
  <c r="K120" i="10"/>
  <c r="F120" i="10"/>
  <c r="I120" i="10" s="1"/>
  <c r="L119" i="10"/>
  <c r="L118" i="10"/>
  <c r="L117" i="10"/>
  <c r="E116" i="10"/>
  <c r="D116" i="10"/>
  <c r="K115" i="10"/>
  <c r="F115" i="10"/>
  <c r="I115" i="10" s="1"/>
  <c r="L114" i="10"/>
  <c r="F46" i="10" s="1"/>
  <c r="G7" i="10" s="1"/>
  <c r="G10" i="11" s="1"/>
  <c r="L113" i="10"/>
  <c r="K112" i="10"/>
  <c r="F112" i="10"/>
  <c r="I112" i="10" s="1"/>
  <c r="L111" i="10"/>
  <c r="F45" i="10" s="1"/>
  <c r="G6" i="10" s="1"/>
  <c r="G9" i="11" s="1"/>
  <c r="C36" i="11" s="1"/>
  <c r="L110" i="10"/>
  <c r="L109" i="10"/>
  <c r="W105" i="10"/>
  <c r="G17" i="10" l="1"/>
  <c r="G16" i="10"/>
  <c r="F56" i="10"/>
  <c r="G117" i="10"/>
  <c r="F117" i="10" s="1"/>
  <c r="I117" i="10" s="1"/>
  <c r="K192" i="10"/>
  <c r="J193" i="10"/>
  <c r="I185" i="10"/>
  <c r="K185" i="10" s="1"/>
  <c r="G110" i="10"/>
  <c r="F110" i="10" s="1"/>
  <c r="I110" i="10" s="1"/>
  <c r="K208" i="10"/>
  <c r="J209" i="10"/>
  <c r="F122" i="10"/>
  <c r="F121" i="10"/>
  <c r="K200" i="10"/>
  <c r="J201" i="10"/>
  <c r="G109" i="10"/>
  <c r="F109" i="10" s="1"/>
  <c r="H109" i="10" s="1"/>
  <c r="J109" i="10" s="1"/>
  <c r="I130" i="10"/>
  <c r="H132" i="10"/>
  <c r="H135" i="10" s="1"/>
  <c r="T129" i="10"/>
  <c r="G118" i="10"/>
  <c r="F118" i="10" s="1"/>
  <c r="I118" i="10" s="1"/>
  <c r="I132" i="10"/>
  <c r="I135" i="10" s="1"/>
  <c r="H126" i="10"/>
  <c r="J126" i="10" s="1"/>
  <c r="K215" i="10"/>
  <c r="J216" i="10"/>
  <c r="I138" i="10"/>
  <c r="I175" i="10"/>
  <c r="K175" i="10" s="1"/>
  <c r="I177" i="10"/>
  <c r="J177" i="10" s="1"/>
  <c r="I184" i="10"/>
  <c r="J184" i="10" s="1"/>
  <c r="I187" i="10"/>
  <c r="J187" i="10" s="1"/>
  <c r="I188" i="10"/>
  <c r="J188" i="10" s="1"/>
  <c r="I189" i="10"/>
  <c r="K189" i="10" s="1"/>
  <c r="K196" i="10"/>
  <c r="J197" i="10"/>
  <c r="K204" i="10"/>
  <c r="K212" i="10"/>
  <c r="J213" i="10"/>
  <c r="K110" i="10"/>
  <c r="H122" i="10"/>
  <c r="I179" i="10"/>
  <c r="J179" i="10" s="1"/>
  <c r="I180" i="10"/>
  <c r="J180" i="10" s="1"/>
  <c r="I176" i="10"/>
  <c r="K176" i="10" s="1"/>
  <c r="I181" i="10"/>
  <c r="I186" i="10"/>
  <c r="L116" i="10"/>
  <c r="H120" i="10"/>
  <c r="J120" i="10" s="1"/>
  <c r="H129" i="10"/>
  <c r="J129" i="10" s="1"/>
  <c r="I178" i="10"/>
  <c r="I182" i="10"/>
  <c r="G124" i="10" s="1"/>
  <c r="I183" i="10"/>
  <c r="K195" i="10"/>
  <c r="K199" i="10"/>
  <c r="K203" i="10"/>
  <c r="K207" i="10"/>
  <c r="K211" i="10"/>
  <c r="J170" i="10"/>
  <c r="K170" i="10"/>
  <c r="B146" i="10"/>
  <c r="B142" i="10"/>
  <c r="B145" i="10"/>
  <c r="B141" i="10"/>
  <c r="I173" i="10"/>
  <c r="I169" i="10"/>
  <c r="I165" i="10"/>
  <c r="I161" i="10"/>
  <c r="I157" i="10"/>
  <c r="I170" i="10"/>
  <c r="I166" i="10"/>
  <c r="I162" i="10"/>
  <c r="I158" i="10"/>
  <c r="I159" i="10"/>
  <c r="I163" i="10"/>
  <c r="I167" i="10"/>
  <c r="I171" i="10"/>
  <c r="I172" i="10"/>
  <c r="H112" i="10"/>
  <c r="J112" i="10" s="1"/>
  <c r="H115" i="10"/>
  <c r="J115" i="10" s="1"/>
  <c r="L122" i="10"/>
  <c r="S129" i="10"/>
  <c r="B144" i="10"/>
  <c r="G158" i="10"/>
  <c r="G162" i="10"/>
  <c r="G166" i="10"/>
  <c r="K137" i="10"/>
  <c r="K135" i="10"/>
  <c r="K122" i="10"/>
  <c r="K121" i="10"/>
  <c r="I160" i="10"/>
  <c r="I164" i="10"/>
  <c r="I168" i="10"/>
  <c r="L137" i="10"/>
  <c r="B143" i="10"/>
  <c r="L121" i="10"/>
  <c r="I127" i="10"/>
  <c r="H127" i="10"/>
  <c r="J127" i="10" s="1"/>
  <c r="L135" i="10"/>
  <c r="G172" i="10"/>
  <c r="G168" i="10"/>
  <c r="G164" i="10"/>
  <c r="G160" i="10"/>
  <c r="G173" i="10"/>
  <c r="G169" i="10"/>
  <c r="G165" i="10"/>
  <c r="G161" i="10"/>
  <c r="G157" i="10"/>
  <c r="G159" i="10"/>
  <c r="G163" i="10"/>
  <c r="G167" i="10"/>
  <c r="G171" i="10"/>
  <c r="H190" i="10"/>
  <c r="I190" i="10" s="1"/>
  <c r="G190" i="10"/>
  <c r="K194" i="10"/>
  <c r="J194" i="10"/>
  <c r="K198" i="10"/>
  <c r="J198" i="10"/>
  <c r="K202" i="10"/>
  <c r="J202" i="10"/>
  <c r="K205" i="10"/>
  <c r="G119" i="10"/>
  <c r="K206" i="10"/>
  <c r="J206" i="10"/>
  <c r="K210" i="10"/>
  <c r="J210" i="10"/>
  <c r="G113" i="10"/>
  <c r="K214" i="10"/>
  <c r="J214" i="10"/>
  <c r="F135" i="10"/>
  <c r="H117" i="10" l="1"/>
  <c r="I137" i="10"/>
  <c r="H110" i="10"/>
  <c r="J110" i="10" s="1"/>
  <c r="K184" i="10"/>
  <c r="J189" i="10"/>
  <c r="I109" i="10"/>
  <c r="I121" i="10"/>
  <c r="G128" i="10"/>
  <c r="E50" i="10" s="1"/>
  <c r="F11" i="10" s="1"/>
  <c r="J175" i="10"/>
  <c r="K117" i="10"/>
  <c r="K179" i="10"/>
  <c r="J185" i="10"/>
  <c r="K124" i="10"/>
  <c r="E54" i="10"/>
  <c r="K109" i="10"/>
  <c r="K187" i="10"/>
  <c r="H118" i="10"/>
  <c r="J118" i="10" s="1"/>
  <c r="K118" i="10"/>
  <c r="G136" i="10"/>
  <c r="E51" i="10" s="1"/>
  <c r="F12" i="10" s="1"/>
  <c r="K188" i="10"/>
  <c r="G134" i="10"/>
  <c r="F134" i="10" s="1"/>
  <c r="K180" i="10"/>
  <c r="G114" i="10"/>
  <c r="F114" i="10" s="1"/>
  <c r="J176" i="10"/>
  <c r="J132" i="10"/>
  <c r="H121" i="10"/>
  <c r="H137" i="10"/>
  <c r="K177" i="10"/>
  <c r="I122" i="10"/>
  <c r="J186" i="10"/>
  <c r="K186" i="10"/>
  <c r="K181" i="10"/>
  <c r="J181" i="10"/>
  <c r="G125" i="10"/>
  <c r="E55" i="10" s="1"/>
  <c r="J182" i="10"/>
  <c r="J178" i="10"/>
  <c r="K178" i="10"/>
  <c r="K182" i="10"/>
  <c r="F124" i="10"/>
  <c r="H124" i="10" s="1"/>
  <c r="J124" i="10" s="1"/>
  <c r="J183" i="10"/>
  <c r="G131" i="10"/>
  <c r="E53" i="10" s="1"/>
  <c r="F14" i="10" s="1"/>
  <c r="K183" i="10"/>
  <c r="K190" i="10"/>
  <c r="G133" i="10"/>
  <c r="E52" i="10" s="1"/>
  <c r="F13" i="10" s="1"/>
  <c r="J190" i="10"/>
  <c r="K159" i="10"/>
  <c r="J159" i="10"/>
  <c r="K168" i="10"/>
  <c r="J168" i="10"/>
  <c r="J158" i="10"/>
  <c r="K158" i="10"/>
  <c r="J157" i="10"/>
  <c r="K157" i="10"/>
  <c r="K172" i="10"/>
  <c r="J172" i="10"/>
  <c r="K113" i="10"/>
  <c r="F113" i="10"/>
  <c r="K167" i="10"/>
  <c r="J167" i="10"/>
  <c r="K161" i="10"/>
  <c r="J161" i="10"/>
  <c r="K160" i="10"/>
  <c r="J160" i="10"/>
  <c r="J166" i="10"/>
  <c r="K166" i="10"/>
  <c r="G111" i="10"/>
  <c r="E45" i="10" s="1"/>
  <c r="F6" i="10" s="1"/>
  <c r="K169" i="10"/>
  <c r="J169" i="10"/>
  <c r="K171" i="10"/>
  <c r="J171" i="10"/>
  <c r="K173" i="10"/>
  <c r="J173" i="10"/>
  <c r="K119" i="10"/>
  <c r="F119" i="10"/>
  <c r="G116" i="10"/>
  <c r="K163" i="10"/>
  <c r="J163" i="10"/>
  <c r="K165" i="10"/>
  <c r="J165" i="10"/>
  <c r="K164" i="10"/>
  <c r="J164" i="10"/>
  <c r="J117" i="10"/>
  <c r="J162" i="10"/>
  <c r="K162" i="10"/>
  <c r="K128" i="10" l="1"/>
  <c r="D61" i="10"/>
  <c r="F57" i="10" s="1"/>
  <c r="F16" i="10"/>
  <c r="F15" i="10"/>
  <c r="F128" i="10"/>
  <c r="H128" i="10" s="1"/>
  <c r="K134" i="10"/>
  <c r="E49" i="10"/>
  <c r="F10" i="10" s="1"/>
  <c r="K114" i="10"/>
  <c r="E46" i="10"/>
  <c r="F7" i="10" s="1"/>
  <c r="F136" i="10"/>
  <c r="H136" i="10" s="1"/>
  <c r="J136" i="10" s="1"/>
  <c r="K136" i="10"/>
  <c r="P104" i="10"/>
  <c r="P105" i="10" s="1"/>
  <c r="P106" i="10" s="1"/>
  <c r="K116" i="10"/>
  <c r="J122" i="10"/>
  <c r="J121" i="10"/>
  <c r="J137" i="10"/>
  <c r="J135" i="10"/>
  <c r="I124" i="10"/>
  <c r="K131" i="10"/>
  <c r="F131" i="10"/>
  <c r="I128" i="10"/>
  <c r="F125" i="10"/>
  <c r="K125" i="10"/>
  <c r="H119" i="10"/>
  <c r="I119" i="10"/>
  <c r="I116" i="10" s="1"/>
  <c r="F116" i="10"/>
  <c r="I134" i="10"/>
  <c r="H134" i="10"/>
  <c r="H114" i="10"/>
  <c r="J114" i="10" s="1"/>
  <c r="I114" i="10"/>
  <c r="F111" i="10"/>
  <c r="K111" i="10"/>
  <c r="K133" i="10"/>
  <c r="F133" i="10"/>
  <c r="H113" i="10"/>
  <c r="J113" i="10" s="1"/>
  <c r="I113" i="10"/>
  <c r="E57" i="10" l="1"/>
  <c r="D22" i="10"/>
  <c r="C61" i="10"/>
  <c r="E56" i="10" s="1"/>
  <c r="G18" i="10"/>
  <c r="I136" i="10"/>
  <c r="I125" i="10"/>
  <c r="H125" i="10"/>
  <c r="J125" i="10" s="1"/>
  <c r="I131" i="10"/>
  <c r="H131" i="10"/>
  <c r="J131" i="10" s="1"/>
  <c r="J128" i="10"/>
  <c r="P128" i="10"/>
  <c r="Q128" i="10" s="1"/>
  <c r="H133" i="10"/>
  <c r="J133" i="10" s="1"/>
  <c r="I133" i="10"/>
  <c r="P134" i="10"/>
  <c r="J134" i="10"/>
  <c r="J119" i="10"/>
  <c r="J116" i="10" s="1"/>
  <c r="H116" i="10"/>
  <c r="I111" i="10"/>
  <c r="H111" i="10"/>
  <c r="F17" i="10" l="1"/>
  <c r="J111" i="10"/>
  <c r="P111" i="10"/>
  <c r="D36" i="5" l="1"/>
  <c r="R2" i="5"/>
  <c r="R3" i="5" s="1"/>
  <c r="L116" i="5" s="1"/>
  <c r="N41" i="5" s="1"/>
  <c r="N54" i="5" s="1"/>
  <c r="K105" i="5"/>
  <c r="L105" i="5"/>
  <c r="M105" i="5"/>
  <c r="N105" i="5"/>
  <c r="O105" i="5"/>
  <c r="P105" i="5"/>
  <c r="Q105" i="5"/>
  <c r="R105" i="5"/>
  <c r="S105" i="5"/>
  <c r="T105" i="5"/>
  <c r="U105" i="5"/>
  <c r="V105" i="5"/>
  <c r="W105" i="5"/>
  <c r="X105" i="5"/>
  <c r="Y105" i="5"/>
  <c r="Z105" i="5"/>
  <c r="N123" i="5" s="1"/>
  <c r="AA105" i="5"/>
  <c r="AB105" i="5"/>
  <c r="AC105" i="5"/>
  <c r="AD105" i="5"/>
  <c r="AE105" i="5"/>
  <c r="AF105" i="5"/>
  <c r="AG105" i="5"/>
  <c r="AH105" i="5"/>
  <c r="AI105" i="5"/>
  <c r="AJ105" i="5"/>
  <c r="AK105" i="5"/>
  <c r="AL105" i="5"/>
  <c r="AM105" i="5"/>
  <c r="AN105" i="5"/>
  <c r="AO105" i="5"/>
  <c r="J105" i="5"/>
  <c r="J123" i="5" s="1"/>
  <c r="L74" i="5"/>
  <c r="K75" i="5"/>
  <c r="L75" i="5" s="1"/>
  <c r="J83" i="5"/>
  <c r="J82" i="5"/>
  <c r="S9" i="5"/>
  <c r="T9" i="5" s="1"/>
  <c r="S10" i="5"/>
  <c r="T10" i="5" s="1"/>
  <c r="S11" i="5"/>
  <c r="T11" i="5" s="1"/>
  <c r="S12" i="5"/>
  <c r="T12" i="5" s="1"/>
  <c r="S13" i="5"/>
  <c r="T13" i="5" s="1"/>
  <c r="S14" i="5"/>
  <c r="T14" i="5" s="1"/>
  <c r="S15" i="5"/>
  <c r="T15" i="5" s="1"/>
  <c r="S16" i="5"/>
  <c r="T16" i="5" s="1"/>
  <c r="S18" i="5"/>
  <c r="T18" i="5" s="1"/>
  <c r="Q123" i="5" l="1"/>
  <c r="J120" i="5"/>
  <c r="L45" i="5" s="1"/>
  <c r="P123" i="5"/>
  <c r="L123" i="5"/>
  <c r="K126" i="5"/>
  <c r="M48" i="5" s="1"/>
  <c r="M61" i="5" s="1"/>
  <c r="M123" i="5"/>
  <c r="O123" i="5"/>
  <c r="K123" i="5"/>
  <c r="J119" i="5"/>
  <c r="L44" i="5" s="1"/>
  <c r="K122" i="5"/>
  <c r="M47" i="5" s="1"/>
  <c r="M60" i="5" s="1"/>
  <c r="M115" i="5"/>
  <c r="O40" i="5" s="1"/>
  <c r="O53" i="5" s="1"/>
  <c r="O122" i="5"/>
  <c r="Q47" i="5" s="1"/>
  <c r="Q60" i="5" s="1"/>
  <c r="M121" i="5"/>
  <c r="O46" i="5" s="1"/>
  <c r="O59" i="5" s="1"/>
  <c r="Q119" i="5"/>
  <c r="S44" i="5" s="1"/>
  <c r="S57" i="5" s="1"/>
  <c r="O118" i="5"/>
  <c r="Q43" i="5" s="1"/>
  <c r="Q56" i="5" s="1"/>
  <c r="M117" i="5"/>
  <c r="O42" i="5" s="1"/>
  <c r="O55" i="5" s="1"/>
  <c r="N126" i="5"/>
  <c r="P48" i="5" s="1"/>
  <c r="P61" i="5" s="1"/>
  <c r="J116" i="5"/>
  <c r="L41" i="5" s="1"/>
  <c r="K118" i="5"/>
  <c r="M43" i="5" s="1"/>
  <c r="M56" i="5" s="1"/>
  <c r="P115" i="5"/>
  <c r="R40" i="5" s="1"/>
  <c r="R53" i="5" s="1"/>
  <c r="N122" i="5"/>
  <c r="P47" i="5" s="1"/>
  <c r="P60" i="5" s="1"/>
  <c r="L121" i="5"/>
  <c r="N46" i="5" s="1"/>
  <c r="N59" i="5" s="1"/>
  <c r="P119" i="5"/>
  <c r="R44" i="5" s="1"/>
  <c r="R57" i="5" s="1"/>
  <c r="N118" i="5"/>
  <c r="P43" i="5" s="1"/>
  <c r="P56" i="5" s="1"/>
  <c r="L117" i="5"/>
  <c r="N42" i="5" s="1"/>
  <c r="N55" i="5" s="1"/>
  <c r="T3" i="5"/>
  <c r="L48" i="5"/>
  <c r="K117" i="5"/>
  <c r="M42" i="5" s="1"/>
  <c r="M55" i="5" s="1"/>
  <c r="Q115" i="5"/>
  <c r="S40" i="5" s="1"/>
  <c r="S53" i="5" s="1"/>
  <c r="Q121" i="5"/>
  <c r="S46" i="5" s="1"/>
  <c r="S59" i="5" s="1"/>
  <c r="O120" i="5"/>
  <c r="Q45" i="5" s="1"/>
  <c r="Q58" i="5" s="1"/>
  <c r="M119" i="5"/>
  <c r="O44" i="5" s="1"/>
  <c r="O57" i="5" s="1"/>
  <c r="Q117" i="5"/>
  <c r="S42" i="5" s="1"/>
  <c r="S55" i="5" s="1"/>
  <c r="O116" i="5"/>
  <c r="Q41" i="5" s="1"/>
  <c r="Q54" i="5" s="1"/>
  <c r="L115" i="5"/>
  <c r="N40" i="5" s="1"/>
  <c r="N53" i="5" s="1"/>
  <c r="O126" i="5"/>
  <c r="Q48" i="5" s="1"/>
  <c r="Q61" i="5" s="1"/>
  <c r="P121" i="5"/>
  <c r="R46" i="5" s="1"/>
  <c r="R59" i="5" s="1"/>
  <c r="N120" i="5"/>
  <c r="P45" i="5" s="1"/>
  <c r="P58" i="5" s="1"/>
  <c r="L119" i="5"/>
  <c r="N44" i="5" s="1"/>
  <c r="N57" i="5" s="1"/>
  <c r="P117" i="5"/>
  <c r="R42" i="5" s="1"/>
  <c r="R55" i="5" s="1"/>
  <c r="N116" i="5"/>
  <c r="P41" i="5" s="1"/>
  <c r="P54" i="5" s="1"/>
  <c r="J122" i="5"/>
  <c r="L47" i="5" s="1"/>
  <c r="J118" i="5"/>
  <c r="L43" i="5" s="1"/>
  <c r="J115" i="5"/>
  <c r="K120" i="5"/>
  <c r="M45" i="5" s="1"/>
  <c r="M58" i="5" s="1"/>
  <c r="K116" i="5"/>
  <c r="M41" i="5" s="1"/>
  <c r="M54" i="5" s="1"/>
  <c r="N115" i="5"/>
  <c r="P40" i="5" s="1"/>
  <c r="P53" i="5" s="1"/>
  <c r="Q126" i="5"/>
  <c r="S48" i="5" s="1"/>
  <c r="S61" i="5" s="1"/>
  <c r="M126" i="5"/>
  <c r="O48" i="5" s="1"/>
  <c r="O61" i="5" s="1"/>
  <c r="Q122" i="5"/>
  <c r="S47" i="5" s="1"/>
  <c r="S60" i="5" s="1"/>
  <c r="M122" i="5"/>
  <c r="O47" i="5" s="1"/>
  <c r="O60" i="5" s="1"/>
  <c r="O121" i="5"/>
  <c r="Q46" i="5" s="1"/>
  <c r="Q59" i="5" s="1"/>
  <c r="Q120" i="5"/>
  <c r="S45" i="5" s="1"/>
  <c r="S58" i="5" s="1"/>
  <c r="M120" i="5"/>
  <c r="O45" i="5" s="1"/>
  <c r="O58" i="5" s="1"/>
  <c r="O119" i="5"/>
  <c r="Q44" i="5" s="1"/>
  <c r="Q57" i="5" s="1"/>
  <c r="Q118" i="5"/>
  <c r="S43" i="5" s="1"/>
  <c r="S56" i="5" s="1"/>
  <c r="M118" i="5"/>
  <c r="O43" i="5" s="1"/>
  <c r="O56" i="5" s="1"/>
  <c r="O117" i="5"/>
  <c r="Q42" i="5" s="1"/>
  <c r="Q55" i="5" s="1"/>
  <c r="Q116" i="5"/>
  <c r="S41" i="5" s="1"/>
  <c r="S54" i="5" s="1"/>
  <c r="M116" i="5"/>
  <c r="O41" i="5" s="1"/>
  <c r="O54" i="5" s="1"/>
  <c r="J121" i="5"/>
  <c r="L46" i="5" s="1"/>
  <c r="J117" i="5"/>
  <c r="L42" i="5" s="1"/>
  <c r="K115" i="5"/>
  <c r="M40" i="5" s="1"/>
  <c r="M53" i="5" s="1"/>
  <c r="K119" i="5"/>
  <c r="M44" i="5" s="1"/>
  <c r="M57" i="5" s="1"/>
  <c r="K121" i="5"/>
  <c r="M46" i="5" s="1"/>
  <c r="M59" i="5" s="1"/>
  <c r="O115" i="5"/>
  <c r="Q40" i="5" s="1"/>
  <c r="Q53" i="5" s="1"/>
  <c r="P126" i="5"/>
  <c r="R48" i="5" s="1"/>
  <c r="R61" i="5" s="1"/>
  <c r="L126" i="5"/>
  <c r="N48" i="5" s="1"/>
  <c r="N61" i="5" s="1"/>
  <c r="P122" i="5"/>
  <c r="R47" i="5" s="1"/>
  <c r="R60" i="5" s="1"/>
  <c r="L122" i="5"/>
  <c r="N47" i="5" s="1"/>
  <c r="N60" i="5" s="1"/>
  <c r="N121" i="5"/>
  <c r="P46" i="5" s="1"/>
  <c r="P59" i="5" s="1"/>
  <c r="P120" i="5"/>
  <c r="R45" i="5" s="1"/>
  <c r="R58" i="5" s="1"/>
  <c r="L120" i="5"/>
  <c r="N45" i="5" s="1"/>
  <c r="N58" i="5" s="1"/>
  <c r="N119" i="5"/>
  <c r="P44" i="5" s="1"/>
  <c r="P57" i="5" s="1"/>
  <c r="P118" i="5"/>
  <c r="R43" i="5" s="1"/>
  <c r="R56" i="5" s="1"/>
  <c r="L118" i="5"/>
  <c r="N43" i="5" s="1"/>
  <c r="N56" i="5" s="1"/>
  <c r="N117" i="5"/>
  <c r="P42" i="5" s="1"/>
  <c r="P55" i="5" s="1"/>
  <c r="P116" i="5"/>
  <c r="R41" i="5" s="1"/>
  <c r="R54" i="5" s="1"/>
  <c r="M75" i="5"/>
  <c r="AA106" i="5" s="1"/>
  <c r="K76" i="5"/>
  <c r="L76" i="5" s="1"/>
  <c r="M76" i="5" s="1"/>
  <c r="AM107" i="5" s="1"/>
  <c r="S8" i="5"/>
  <c r="T8" i="5" s="1"/>
  <c r="R17" i="5"/>
  <c r="S17" i="5" s="1"/>
  <c r="T17" i="5" s="1"/>
  <c r="I62" i="3"/>
  <c r="I61" i="3"/>
  <c r="I60" i="3"/>
  <c r="I59" i="3"/>
  <c r="I58" i="3"/>
  <c r="I100" i="3" a="1"/>
  <c r="I100" i="3" s="1"/>
  <c r="T107" i="5" l="1"/>
  <c r="L106" i="5"/>
  <c r="N107" i="5"/>
  <c r="X106" i="5"/>
  <c r="S106" i="5"/>
  <c r="O106" i="5"/>
  <c r="N106" i="5"/>
  <c r="AB106" i="5"/>
  <c r="L107" i="5"/>
  <c r="AN106" i="5"/>
  <c r="J107" i="5"/>
  <c r="J125" i="5" s="1"/>
  <c r="L50" i="5" s="1"/>
  <c r="AI106" i="5"/>
  <c r="V106" i="5"/>
  <c r="W107" i="5"/>
  <c r="AB107" i="5"/>
  <c r="R107" i="5"/>
  <c r="P106" i="5"/>
  <c r="L124" i="5" s="1"/>
  <c r="N49" i="5" s="1"/>
  <c r="N62" i="5" s="1"/>
  <c r="AF106" i="5"/>
  <c r="O107" i="5"/>
  <c r="S107" i="5"/>
  <c r="AD106" i="5"/>
  <c r="AC106" i="5"/>
  <c r="AJ107" i="5"/>
  <c r="P125" i="5" s="1"/>
  <c r="R50" i="5" s="1"/>
  <c r="R63" i="5" s="1"/>
  <c r="J106" i="5"/>
  <c r="J124" i="5" s="1"/>
  <c r="L49" i="5" s="1"/>
  <c r="T106" i="5"/>
  <c r="AJ106" i="5"/>
  <c r="P124" i="5" s="1"/>
  <c r="R49" i="5" s="1"/>
  <c r="R62" i="5" s="1"/>
  <c r="AL106" i="5"/>
  <c r="V107" i="5"/>
  <c r="AD107" i="5"/>
  <c r="AL107" i="5"/>
  <c r="U107" i="5"/>
  <c r="M125" i="5" s="1"/>
  <c r="O50" i="5" s="1"/>
  <c r="O63" i="5" s="1"/>
  <c r="M107" i="5"/>
  <c r="Y107" i="5"/>
  <c r="AG107" i="5"/>
  <c r="AO107" i="5"/>
  <c r="Q125" i="5" s="1"/>
  <c r="S50" i="5" s="1"/>
  <c r="S63" i="5" s="1"/>
  <c r="AK107" i="5"/>
  <c r="Q107" i="5"/>
  <c r="Z107" i="5"/>
  <c r="N125" i="5" s="1"/>
  <c r="P50" i="5" s="1"/>
  <c r="P63" i="5" s="1"/>
  <c r="AH107" i="5"/>
  <c r="AC107" i="5"/>
  <c r="X107" i="5"/>
  <c r="AN107" i="5"/>
  <c r="AA107" i="5"/>
  <c r="L63" i="5"/>
  <c r="Z106" i="5"/>
  <c r="N124" i="5" s="1"/>
  <c r="P49" i="5" s="1"/>
  <c r="P62" i="5" s="1"/>
  <c r="K106" i="5"/>
  <c r="K124" i="5" s="1"/>
  <c r="M49" i="5" s="1"/>
  <c r="M62" i="5" s="1"/>
  <c r="AE107" i="5"/>
  <c r="O125" i="5" s="1"/>
  <c r="P107" i="5"/>
  <c r="L125" i="5" s="1"/>
  <c r="N50" i="5" s="1"/>
  <c r="N63" i="5" s="1"/>
  <c r="AF107" i="5"/>
  <c r="L62" i="5"/>
  <c r="Q106" i="5"/>
  <c r="Y106" i="5"/>
  <c r="AG106" i="5"/>
  <c r="AO106" i="5"/>
  <c r="Q124" i="5" s="1"/>
  <c r="S49" i="5" s="1"/>
  <c r="S62" i="5" s="1"/>
  <c r="W106" i="5"/>
  <c r="AE106" i="5"/>
  <c r="O124" i="5" s="1"/>
  <c r="Q49" i="5" s="1"/>
  <c r="Q62" i="5" s="1"/>
  <c r="U106" i="5"/>
  <c r="M124" i="5" s="1"/>
  <c r="O49" i="5" s="1"/>
  <c r="O62" i="5" s="1"/>
  <c r="M106" i="5"/>
  <c r="AM106" i="5"/>
  <c r="AI107" i="5"/>
  <c r="R106" i="5"/>
  <c r="AH106" i="5"/>
  <c r="K107" i="5"/>
  <c r="K125" i="5" s="1"/>
  <c r="M50" i="5" s="1"/>
  <c r="M63" i="5" s="1"/>
  <c r="AK106" i="5"/>
  <c r="Q50" i="5"/>
  <c r="Q63" i="5" s="1"/>
  <c r="Z30" i="1" a="1"/>
  <c r="Z30" i="1" s="1"/>
  <c r="P24" i="3"/>
  <c r="P25" i="3"/>
  <c r="H18" i="3"/>
  <c r="H16" i="3"/>
  <c r="I19" i="3"/>
  <c r="L60" i="5"/>
  <c r="L61" i="5"/>
  <c r="E42" i="5"/>
  <c r="E43" i="5" s="1"/>
  <c r="E44" i="5" s="1"/>
  <c r="I51" i="5"/>
  <c r="I64" i="5"/>
  <c r="K21" i="5" a="1"/>
  <c r="K21" i="5" s="1"/>
  <c r="K8" i="5" a="1"/>
  <c r="K8" i="5" s="1"/>
  <c r="J21" i="5" a="1"/>
  <c r="J21" i="5" s="1"/>
  <c r="I53" i="5" s="1"/>
  <c r="K53" i="5" s="1"/>
  <c r="J8" i="5" a="1"/>
  <c r="C8" i="3" a="1"/>
  <c r="C8" i="3" s="1"/>
  <c r="J24" i="3" s="1"/>
  <c r="O64" i="4" a="1"/>
  <c r="O64" i="4" s="1"/>
  <c r="O54" i="4" a="1"/>
  <c r="O54" i="4" s="1"/>
  <c r="N64" i="4" a="1"/>
  <c r="N64" i="4" s="1"/>
  <c r="N54" i="4" a="1"/>
  <c r="N54" i="4" s="1"/>
  <c r="O44" i="4" a="1"/>
  <c r="O44" i="4" s="1"/>
  <c r="O34" i="4" a="1"/>
  <c r="O34" i="4" s="1"/>
  <c r="N34" i="4" a="1"/>
  <c r="N34" i="4" s="1"/>
  <c r="O24" i="4" a="1"/>
  <c r="O24" i="4" s="1"/>
  <c r="N44" i="4" a="1"/>
  <c r="N44" i="4" s="1"/>
  <c r="N24" i="4" a="1"/>
  <c r="N24" i="4" s="1"/>
  <c r="E24" i="4" a="1"/>
  <c r="E24" i="4" s="1"/>
  <c r="D24" i="4" a="1"/>
  <c r="D24" i="4" s="1"/>
  <c r="J8" i="5" l="1"/>
  <c r="I40" i="5" s="1"/>
  <c r="J40" i="5" s="1"/>
  <c r="I50" i="5"/>
  <c r="L51" i="5"/>
  <c r="L64" i="5" s="1"/>
  <c r="I45" i="5"/>
  <c r="J45" i="5" s="1"/>
  <c r="I49" i="5"/>
  <c r="J49" i="5" s="1"/>
  <c r="I41" i="5"/>
  <c r="J41" i="5" s="1"/>
  <c r="I57" i="5"/>
  <c r="K57" i="5" s="1"/>
  <c r="I62" i="5"/>
  <c r="K62" i="5" s="1"/>
  <c r="I54" i="5"/>
  <c r="K54" i="5" s="1"/>
  <c r="I61" i="5"/>
  <c r="K61" i="5" s="1"/>
  <c r="I58" i="5"/>
  <c r="K58" i="5" s="1"/>
  <c r="J25" i="3"/>
  <c r="I48" i="5"/>
  <c r="J48" i="5" s="1"/>
  <c r="I60" i="5"/>
  <c r="K60" i="5" s="1"/>
  <c r="I56" i="5"/>
  <c r="K56" i="5" s="1"/>
  <c r="I47" i="5"/>
  <c r="J47" i="5" s="1"/>
  <c r="I43" i="5"/>
  <c r="J43" i="5" s="1"/>
  <c r="I44" i="5"/>
  <c r="J44" i="5" s="1"/>
  <c r="I63" i="5"/>
  <c r="K63" i="5" s="1"/>
  <c r="I59" i="5"/>
  <c r="K59" i="5" s="1"/>
  <c r="I55" i="5"/>
  <c r="K55" i="5" s="1"/>
  <c r="J50" i="5"/>
  <c r="I46" i="5"/>
  <c r="J46" i="5" s="1"/>
  <c r="I42" i="5"/>
  <c r="J42" i="5" s="1"/>
  <c r="J8" i="3"/>
  <c r="H8" i="3" s="1"/>
  <c r="P8" i="3" s="1"/>
  <c r="J7" i="3"/>
  <c r="H7" i="3" s="1"/>
  <c r="P7" i="3" s="1"/>
  <c r="J6" i="3"/>
  <c r="H6" i="3" s="1"/>
  <c r="P6" i="3" s="1"/>
  <c r="J10" i="3"/>
  <c r="H10" i="3" s="1"/>
  <c r="P10" i="3" s="1"/>
  <c r="J9" i="3"/>
  <c r="H9" i="3" s="1"/>
  <c r="P9" i="3" s="1"/>
  <c r="E70" i="1" l="1" a="1"/>
  <c r="E70" i="1" s="1"/>
  <c r="D70" i="1" a="1"/>
  <c r="D70" i="1" s="1"/>
  <c r="D60" i="1" a="1"/>
  <c r="D60" i="1" s="1"/>
  <c r="D50" i="1" a="1"/>
  <c r="D50" i="1" s="1"/>
  <c r="D40" i="1" a="1"/>
  <c r="D40" i="1" s="1"/>
  <c r="D30" i="1" a="1"/>
  <c r="D30" i="1" s="1"/>
  <c r="D20" i="1" a="1"/>
  <c r="D20" i="1" s="1"/>
  <c r="AL31" i="1" a="1"/>
  <c r="AL31" i="1" s="1"/>
  <c r="AA25" i="1" a="1"/>
  <c r="AA25" i="1" s="1"/>
  <c r="AA20" i="1" a="1"/>
  <c r="AA20" i="1" s="1"/>
  <c r="Z25" i="1" a="1"/>
  <c r="Z25" i="1" s="1"/>
  <c r="Z20" i="1" a="1"/>
  <c r="Z20" i="1" s="1"/>
  <c r="AL20" i="1" a="1"/>
  <c r="AL20" i="1" s="1"/>
  <c r="AK20" i="1" a="1"/>
  <c r="AK20" i="1" s="1"/>
  <c r="O27" i="1" a="1"/>
  <c r="O27" i="1" s="1"/>
  <c r="O20" i="1" a="1"/>
  <c r="O20" i="1" s="1"/>
  <c r="E60" i="1" a="1"/>
  <c r="E60" i="1" s="1"/>
  <c r="E50" i="1" a="1"/>
  <c r="E50" i="1" s="1"/>
  <c r="E40" i="1" a="1"/>
  <c r="E40" i="1" s="1"/>
  <c r="E30" i="1" a="1"/>
  <c r="E30" i="1" s="1"/>
  <c r="E20" i="1" a="1"/>
  <c r="E20" i="1" s="1"/>
  <c r="AK31" i="1" l="1" a="1"/>
  <c r="AK3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8" authorId="0" shapeId="0" xr:uid="{B7717D36-0AF0-4966-8274-7CBEA83D1C7E}">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18" authorId="1" shapeId="0" xr:uid="{56DDD958-119C-4F0D-8B02-EB974B61E1C8}">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18" authorId="2" shapeId="0" xr:uid="{4F71762A-E5C0-4B85-85D7-2AEE664D84F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18" authorId="2" shapeId="0" xr:uid="{2218E4E4-5A22-4CAC-B4FF-11B08DBC780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18" authorId="2" shapeId="0" xr:uid="{86AFA4CE-899A-4FFB-A2A9-59EF4E112707}">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M18" authorId="0" shapeId="0" xr:uid="{E93EC8C9-0A61-4807-ADC2-E0F1403645E7}">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R18" authorId="1" shapeId="0" xr:uid="{EDBB9FC2-F48C-4E85-B7BE-FE70AB9366EA}">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S18" authorId="2" shapeId="0" xr:uid="{1F1B658A-BA84-4109-96BF-CD822026793C}">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T18" authorId="2" shapeId="0" xr:uid="{0B893C8F-B41F-4FF3-87AD-D3043A47E657}">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U18" authorId="2" shapeId="0" xr:uid="{80002541-6746-4D48-BDBA-0D36FC19DA04}">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X18" authorId="0" shapeId="0" xr:uid="{00C86676-F7A1-4490-A86B-7B48C827E6B2}">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C18" authorId="1" shapeId="0" xr:uid="{8B1A213A-B020-4302-AD53-77C98EC30F32}">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D18" authorId="2" shapeId="0" xr:uid="{027CB008-EA77-498B-910D-DBDD1304D7D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E18" authorId="2" shapeId="0" xr:uid="{C3AEDE09-6905-4516-82AF-98FE4314DD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F18" authorId="2" shapeId="0" xr:uid="{1B9F00CE-82C6-4934-A4BD-D79B34FB317E}">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AI18" authorId="0" shapeId="0" xr:uid="{36424764-E427-4D32-90B0-B018C4112021}">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N18" authorId="1" shapeId="0" xr:uid="{1F6C37CC-7917-4E70-A953-4A69F1925A8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O18" authorId="2" shapeId="0" xr:uid="{A22E2220-2B66-4FA8-9B98-23F867B1152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P18" authorId="2" shapeId="0" xr:uid="{576E832E-5F10-4F20-81FA-D6D8B5BBEB1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Q18" authorId="2" shapeId="0" xr:uid="{67EF895B-D7CB-45CB-92E7-883836061731}">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21" authorId="0" shapeId="0" xr:uid="{2795E348-63AA-4694-AE34-2BDFCC16CBC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21" authorId="1" shapeId="0" xr:uid="{D56762F4-06B5-4791-9EC8-B1D280956B3D}">
      <text>
        <r>
          <rPr>
            <b/>
            <sz val="8"/>
            <color indexed="81"/>
            <rFont val="Tahoma"/>
            <family val="2"/>
          </rPr>
          <t>Amit Kanudia:</t>
        </r>
        <r>
          <rPr>
            <sz val="8"/>
            <color indexed="81"/>
            <rFont val="Tahoma"/>
            <family val="2"/>
          </rPr>
          <t xml:space="preserve">
Needed only when one wants to override the VEDA default assignment
</t>
        </r>
      </text>
    </comment>
    <comment ref="J21" authorId="0" shapeId="0" xr:uid="{555209E8-4BD5-48D8-9605-22F9F5C503F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R21" authorId="0" shapeId="0" xr:uid="{EA8C9AF6-20E5-4841-809C-0763F5CC8C67}">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21" authorId="1" shapeId="0" xr:uid="{8D39F338-384F-467C-95FA-0B15CF2BEF40}">
      <text>
        <r>
          <rPr>
            <b/>
            <sz val="8"/>
            <color indexed="81"/>
            <rFont val="Tahoma"/>
            <family val="2"/>
          </rPr>
          <t>Amit Kanudia:</t>
        </r>
        <r>
          <rPr>
            <sz val="8"/>
            <color indexed="81"/>
            <rFont val="Tahoma"/>
            <family val="2"/>
          </rPr>
          <t xml:space="preserve">
Needed only when one wants to override the VEDA default assignment
</t>
        </r>
      </text>
    </comment>
    <comment ref="T21" authorId="0" shapeId="0" xr:uid="{1CD64530-6EE6-4EAF-80C2-62BA685DCC37}">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B21" authorId="0" shapeId="0" xr:uid="{D2EABEE9-0770-46E9-A41F-CA87EB81D6B1}">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C21" authorId="1" shapeId="0" xr:uid="{371533DC-FD4F-4C81-826B-459E46752B7B}">
      <text>
        <r>
          <rPr>
            <b/>
            <sz val="8"/>
            <color indexed="81"/>
            <rFont val="Tahoma"/>
            <family val="2"/>
          </rPr>
          <t>Amit Kanudia:</t>
        </r>
        <r>
          <rPr>
            <sz val="8"/>
            <color indexed="81"/>
            <rFont val="Tahoma"/>
            <family val="2"/>
          </rPr>
          <t xml:space="preserve">
Needed only when one wants to override the VEDA default assignment
</t>
        </r>
      </text>
    </comment>
    <comment ref="AD21" authorId="0" shapeId="0" xr:uid="{3D70BDF9-22BD-41A1-A751-75864007E99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22" authorId="0" shapeId="0" xr:uid="{02293CC4-0CB4-4C7D-A172-0F033BEB3EF8}">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L22" authorId="0" shapeId="0" xr:uid="{58CBB892-4DED-4833-B727-12D0EBA2EBF9}">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V22" authorId="0" shapeId="0" xr:uid="{1B965C61-A466-40D5-8EE9-F745A526FD64}">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JULIAN</author>
    <author>Juan Andres de Avila</author>
  </authors>
  <commentList>
    <comment ref="D7" authorId="0" shapeId="0" xr:uid="{3ACC9C67-D202-4573-BFC6-4EF2099FBCB8}">
      <text>
        <r>
          <rPr>
            <b/>
            <sz val="9"/>
            <color indexed="81"/>
            <rFont val="Tahoma"/>
            <family val="2"/>
          </rPr>
          <t>JULIAN:</t>
        </r>
        <r>
          <rPr>
            <sz val="9"/>
            <color indexed="81"/>
            <rFont val="Tahoma"/>
            <family val="2"/>
          </rPr>
          <t xml:space="preserve">
La SG es 0,9414, es decir, 18,3 API</t>
        </r>
      </text>
    </comment>
    <comment ref="K42" authorId="0" shapeId="0" xr:uid="{292FDF27-791B-43F5-936B-E6A566B0133F}">
      <text>
        <r>
          <rPr>
            <b/>
            <sz val="9"/>
            <color indexed="81"/>
            <rFont val="Tahoma"/>
            <family val="2"/>
          </rPr>
          <t>JULIAN:</t>
        </r>
        <r>
          <rPr>
            <sz val="9"/>
            <color indexed="81"/>
            <rFont val="Tahoma"/>
            <family val="2"/>
          </rPr>
          <t xml:space="preserve">
Se tomo estacionaria por defecto IPCC</t>
        </r>
      </text>
    </comment>
    <comment ref="K43" authorId="0" shapeId="0" xr:uid="{D896EAB9-BAD4-495C-98DC-7C541256AE9A}">
      <text>
        <r>
          <rPr>
            <b/>
            <sz val="9"/>
            <color indexed="81"/>
            <rFont val="Tahoma"/>
            <family val="2"/>
          </rPr>
          <t>JULIAN: Es GWP para 100 time horizon.</t>
        </r>
      </text>
    </comment>
    <comment ref="I45" authorId="0" shapeId="0" xr:uid="{A90C36CC-0A74-470C-AE32-CA262627BC28}">
      <text>
        <r>
          <rPr>
            <b/>
            <sz val="9"/>
            <color indexed="81"/>
            <rFont val="Tahoma"/>
            <family val="2"/>
          </rPr>
          <t>JULIAN:</t>
        </r>
        <r>
          <rPr>
            <sz val="9"/>
            <color indexed="81"/>
            <rFont val="Tahoma"/>
            <family val="2"/>
          </rPr>
          <t xml:space="preserve">
También es 35,6522 MJ/m3. Corroborado en calculadora.</t>
        </r>
      </text>
    </comment>
    <comment ref="J46" authorId="0" shapeId="0" xr:uid="{81DEB959-12E4-4C2C-9FD2-B86C167977F3}">
      <text>
        <r>
          <rPr>
            <b/>
            <sz val="9"/>
            <color indexed="81"/>
            <rFont val="Tahoma"/>
            <family val="2"/>
          </rPr>
          <t>JULIAN:</t>
        </r>
        <r>
          <rPr>
            <sz val="9"/>
            <color indexed="81"/>
            <rFont val="Tahoma"/>
            <family val="2"/>
          </rPr>
          <t xml:space="preserve">
La SG es 0,9414, es decir, 18,3 API</t>
        </r>
      </text>
    </comment>
    <comment ref="C126" authorId="1" shapeId="0" xr:uid="{D12EA9C4-4708-428D-99D1-E2F4F740A6B4}">
      <text>
        <r>
          <rPr>
            <b/>
            <sz val="9"/>
            <color indexed="81"/>
            <rFont val="Tahoma"/>
            <family val="2"/>
          </rPr>
          <t>SubDemanda-UPME:</t>
        </r>
        <r>
          <rPr>
            <sz val="9"/>
            <color indexed="81"/>
            <rFont val="Tahoma"/>
            <family val="2"/>
          </rPr>
          <t xml:space="preserve">
Energético no caracterizado en FECOC. Se asumen valores de leña.</t>
        </r>
      </text>
    </comment>
    <comment ref="C127" authorId="1" shapeId="0" xr:uid="{B5EF51F5-4811-462A-8EA4-E8A1B3E3AE08}">
      <text>
        <r>
          <rPr>
            <b/>
            <sz val="9"/>
            <color indexed="81"/>
            <rFont val="Tahoma"/>
            <family val="2"/>
          </rPr>
          <t>SubDemanda-UPME:</t>
        </r>
        <r>
          <rPr>
            <sz val="9"/>
            <color indexed="81"/>
            <rFont val="Tahoma"/>
            <family val="2"/>
          </rPr>
          <t xml:space="preserve">
Energético no caracterizado en FECOC. Se asumen valores de carbón mineral.</t>
        </r>
      </text>
    </comment>
    <comment ref="C132" authorId="1" shapeId="0" xr:uid="{D4BFD9D1-2729-49A4-8E64-49FB763A57D2}">
      <text>
        <r>
          <rPr>
            <b/>
            <sz val="9"/>
            <color indexed="81"/>
            <rFont val="Tahoma"/>
            <family val="2"/>
          </rPr>
          <t>SubDemanda-UPME:</t>
        </r>
        <r>
          <rPr>
            <sz val="9"/>
            <color indexed="81"/>
            <rFont val="Tahoma"/>
            <family val="2"/>
          </rPr>
          <t xml:space="preserve">
No existen datos disponibles de consumo y demanda de este energético.</t>
        </r>
      </text>
    </comment>
    <comment ref="C133" authorId="1" shapeId="0" xr:uid="{D4D4CC5A-0065-47CF-9399-5C7719782D1B}">
      <text>
        <r>
          <rPr>
            <b/>
            <sz val="9"/>
            <color indexed="81"/>
            <rFont val="Tahoma"/>
            <family val="2"/>
          </rPr>
          <t>SubDemanda-UPME:</t>
        </r>
        <r>
          <rPr>
            <sz val="9"/>
            <color indexed="81"/>
            <rFont val="Tahoma"/>
            <family val="2"/>
          </rPr>
          <t xml:space="preserve">
Energético caracterizado en FECOC, pero se asume densidad teórica de fase liíquida de 2,1kg/gal</t>
        </r>
      </text>
    </comment>
    <comment ref="C135" authorId="1" shapeId="0" xr:uid="{72A5A92E-BCB7-453D-BBAB-884A6165125E}">
      <text>
        <r>
          <rPr>
            <b/>
            <sz val="9"/>
            <color indexed="81"/>
            <rFont val="Tahoma"/>
            <family val="2"/>
          </rPr>
          <t>SubDemanda-UPME:</t>
        </r>
        <r>
          <rPr>
            <sz val="9"/>
            <color indexed="81"/>
            <rFont val="Tahoma"/>
            <family val="2"/>
          </rPr>
          <t xml:space="preserve">
De acuerdo con las refinerias este gas es el mismo GLP, en una proxima versión se verá su consumo.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I6" authorId="0" shapeId="0" xr:uid="{2B07950A-6CDB-4C94-B630-B9BF55E8F1E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JULIAN</author>
    <author>tc={A5C3C82D-00EF-402F-9D9F-9B485154169C}</author>
  </authors>
  <commentList>
    <comment ref="C21" authorId="0" shapeId="0" xr:uid="{3B58F9CB-0430-47AC-A05E-8DF3CA3EC236}">
      <text>
        <r>
          <rPr>
            <b/>
            <sz val="9"/>
            <color indexed="81"/>
            <rFont val="Tahoma"/>
            <charset val="1"/>
          </rPr>
          <t>JULIAN:</t>
        </r>
        <r>
          <rPr>
            <sz val="9"/>
            <color indexed="81"/>
            <rFont val="Tahoma"/>
            <charset val="1"/>
          </rPr>
          <t xml:space="preserve">
Plan de Abastecimiento de Combustibles Líquidos, UPME-2019, pg.: 158 –162.</t>
        </r>
      </text>
    </comment>
    <comment ref="D25" authorId="0" shapeId="0" xr:uid="{7F05F9F4-F340-4F13-8BFB-F46EF81C32E7}">
      <text>
        <r>
          <rPr>
            <b/>
            <sz val="9"/>
            <color indexed="81"/>
            <rFont val="Tahoma"/>
            <family val="2"/>
          </rPr>
          <t>JULIAN:</t>
        </r>
        <r>
          <rPr>
            <sz val="9"/>
            <color indexed="81"/>
            <rFont val="Tahoma"/>
            <family val="2"/>
          </rPr>
          <t xml:space="preserve">
Ellos asumen 90% y 84%, esto quiere decir 209,500 como carga máxima de bpd</t>
        </r>
      </text>
    </comment>
    <comment ref="C40" authorId="0" shapeId="0" xr:uid="{5BED0E69-F2CE-49F8-9AAE-3AEFB58E42C0}">
      <text>
        <r>
          <rPr>
            <b/>
            <sz val="9"/>
            <color indexed="81"/>
            <rFont val="Tahoma"/>
            <family val="2"/>
          </rPr>
          <t>JULIAN:</t>
        </r>
        <r>
          <rPr>
            <sz val="9"/>
            <color indexed="81"/>
            <rFont val="Tahoma"/>
            <family val="2"/>
          </rPr>
          <t xml:space="preserve">
Hoy en día se importa 5% de la capacidad operativa de barrancabermeja. (Livianos)</t>
        </r>
      </text>
    </comment>
    <comment ref="C45" authorId="1" shapeId="0" xr:uid="{A5C3C82D-00EF-402F-9D9F-9B485154169C}">
      <text>
        <t>[Comentario encadenado]
Su versión de Excel le permite leer este comentario encadenado; sin embargo, las ediciones que se apliquen se quitarán si el archivo se abre en una versión más reciente de Excel. Más información: https://go.microsoft.com/fwlink/?linkid=870924
Comentario:
    Constante hasta 2038</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JULIAN</author>
    <author>tc={C3D33A80-FBA2-49ED-9F56-A08EC0925B50}</author>
    <author>Gary Goldstein</author>
  </authors>
  <commentList>
    <comment ref="C2" authorId="0" shapeId="0" xr:uid="{F8D999DF-5C9C-4F54-9459-FF790E07E974}">
      <text>
        <r>
          <rPr>
            <b/>
            <sz val="9"/>
            <color indexed="81"/>
            <rFont val="Tahoma"/>
            <family val="2"/>
          </rPr>
          <t>JULIAN:</t>
        </r>
        <r>
          <rPr>
            <sz val="9"/>
            <color indexed="81"/>
            <rFont val="Tahoma"/>
            <family val="2"/>
          </rPr>
          <t xml:space="preserve">
De acuerdo al BECO</t>
        </r>
      </text>
    </comment>
    <comment ref="N9" authorId="0" shapeId="0" xr:uid="{1A366186-0C3A-430C-BBBD-460BA6695BAD}">
      <text>
        <r>
          <rPr>
            <b/>
            <sz val="9"/>
            <color indexed="81"/>
            <rFont val="Tahoma"/>
            <charset val="1"/>
          </rPr>
          <t>JULIAN:</t>
        </r>
        <r>
          <rPr>
            <sz val="9"/>
            <color indexed="81"/>
            <rFont val="Tahoma"/>
            <charset val="1"/>
          </rPr>
          <t xml:space="preserve">
Morillo J. (2020).</t>
        </r>
      </text>
    </comment>
    <comment ref="N32" authorId="0" shapeId="0" xr:uid="{A311F9FF-C3BA-4DB1-AAF8-02EB93210760}">
      <text>
        <r>
          <rPr>
            <b/>
            <sz val="9"/>
            <color indexed="81"/>
            <rFont val="Tahoma"/>
            <family val="2"/>
          </rPr>
          <t>JULIAN:</t>
        </r>
        <r>
          <rPr>
            <sz val="9"/>
            <color indexed="81"/>
            <rFont val="Tahoma"/>
            <family val="2"/>
          </rPr>
          <t xml:space="preserve">
Reficar, 2020</t>
        </r>
      </text>
    </comment>
    <comment ref="N33" authorId="0" shapeId="0" xr:uid="{342480CF-5888-4EB7-A8A4-E4761282AACD}">
      <text>
        <r>
          <rPr>
            <b/>
            <sz val="9"/>
            <color indexed="81"/>
            <rFont val="Tahoma"/>
            <family val="2"/>
          </rPr>
          <t>JULIAN:</t>
        </r>
        <r>
          <rPr>
            <sz val="9"/>
            <color indexed="81"/>
            <rFont val="Tahoma"/>
            <family val="2"/>
          </rPr>
          <t xml:space="preserve">
Reficar 2020.</t>
        </r>
      </text>
    </comment>
    <comment ref="N34" authorId="1" shapeId="0" xr:uid="{C3D33A80-FBA2-49ED-9F56-A08EC0925B50}">
      <text>
        <t>[Comentario encadenado]
Su versión de Excel le permite leer este comentario encadenado; sin embargo, las ediciones que se apliquen se quitarán si el archivo se abre en una versión más reciente de Excel. Más información: https://go.microsoft.com/fwlink/?linkid=870924
Comentario:
    Hidrocraqueo 0.17 kton/d,
Hidrotratamiento de nafta es 0.015 kton/d
Hidrotratamiento de diesel es 0.035 kton/d*
Hidrotratamiento de diesel II es 0.043 kton/d</t>
      </text>
    </comment>
    <comment ref="A35" authorId="2" shapeId="0" xr:uid="{74670061-123E-4173-9E2C-EC0C9FE52AB8}">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ABABDF58-C3F7-4CF0-B895-2C3016DA9A5A}">
      <text>
        <r>
          <rPr>
            <b/>
            <sz val="9"/>
            <color indexed="81"/>
            <rFont val="Tahoma"/>
            <family val="2"/>
          </rPr>
          <t>JULIAN:</t>
        </r>
        <r>
          <rPr>
            <sz val="9"/>
            <color indexed="81"/>
            <rFont val="Tahoma"/>
            <family val="2"/>
          </rPr>
          <t xml:space="preserve">
Reficar, 2020</t>
        </r>
      </text>
    </comment>
    <comment ref="N84" authorId="0" shapeId="0" xr:uid="{D697B639-6A5F-4E31-B04A-FAB04D4EEEFC}">
      <text>
        <r>
          <rPr>
            <b/>
            <sz val="9"/>
            <color indexed="81"/>
            <rFont val="Tahoma"/>
            <family val="2"/>
          </rPr>
          <t>JULIAN:</t>
        </r>
        <r>
          <rPr>
            <sz val="9"/>
            <color indexed="81"/>
            <rFont val="Tahoma"/>
            <family val="2"/>
          </rPr>
          <t xml:space="preserve">
Reficar, 2020</t>
        </r>
      </text>
    </comment>
    <comment ref="N85" authorId="0" shapeId="0" xr:uid="{CF2FF35D-893A-47F8-ADB7-E365D76EF634}">
      <text>
        <r>
          <rPr>
            <b/>
            <sz val="9"/>
            <color indexed="81"/>
            <rFont val="Tahoma"/>
            <family val="2"/>
          </rPr>
          <t>JULIAN:</t>
        </r>
        <r>
          <rPr>
            <sz val="9"/>
            <color indexed="81"/>
            <rFont val="Tahoma"/>
            <family val="2"/>
          </rPr>
          <t xml:space="preserve">
Informe de Gestion ECP 2019</t>
        </r>
      </text>
    </comment>
    <comment ref="N89" authorId="0" shapeId="0" xr:uid="{C923F629-A301-4BF0-87B2-4EDC5EE966B3}">
      <text>
        <r>
          <rPr>
            <b/>
            <sz val="9"/>
            <color indexed="81"/>
            <rFont val="Tahoma"/>
            <charset val="1"/>
          </rPr>
          <t>JULIAN:</t>
        </r>
        <r>
          <rPr>
            <sz val="9"/>
            <color indexed="81"/>
            <rFont val="Tahoma"/>
            <charset val="1"/>
          </rPr>
          <t xml:space="preserve">
En reficar 2020, reprotan 97% en volumen</t>
        </r>
      </text>
    </comment>
    <comment ref="N90" authorId="0" shapeId="0" xr:uid="{092FA991-418B-4B2E-99C2-5BEEE7CC7EAF}">
      <text>
        <r>
          <rPr>
            <b/>
            <sz val="9"/>
            <color indexed="81"/>
            <rFont val="Tahoma"/>
            <charset val="1"/>
          </rPr>
          <t>JULIAN:</t>
        </r>
        <r>
          <rPr>
            <sz val="9"/>
            <color indexed="81"/>
            <rFont val="Tahoma"/>
            <charset val="1"/>
          </rPr>
          <t xml:space="preserve">
En reficar 2020, reprotan 97% en volumen</t>
        </r>
      </text>
    </comment>
    <comment ref="N92" authorId="0" shapeId="0" xr:uid="{13689D6F-BA51-4686-A6B8-DD1483E7C26A}">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F646BE0A-33C1-4CAF-B288-786B8626E680}">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F5DF27B2-FA44-4B8F-8A95-198087963208}">
      <text>
        <r>
          <rPr>
            <b/>
            <sz val="9"/>
            <color indexed="81"/>
            <rFont val="Tahoma"/>
            <family val="2"/>
          </rPr>
          <t>JULIAN:</t>
        </r>
        <r>
          <rPr>
            <sz val="9"/>
            <color indexed="81"/>
            <rFont val="Tahoma"/>
            <family val="2"/>
          </rPr>
          <t xml:space="preserve">
85 MW</t>
        </r>
      </text>
    </comment>
    <comment ref="M132" authorId="0" shapeId="0" xr:uid="{86B5A2C3-2723-4F57-90E3-8336FA6FCDF0}">
      <text>
        <r>
          <rPr>
            <b/>
            <sz val="9"/>
            <color indexed="81"/>
            <rFont val="Tahoma"/>
            <family val="2"/>
          </rPr>
          <t>JULIAN:</t>
        </r>
        <r>
          <rPr>
            <sz val="9"/>
            <color indexed="81"/>
            <rFont val="Tahoma"/>
            <family val="2"/>
          </rPr>
          <t xml:space="preserve">
874,8 Gwh</t>
        </r>
      </text>
    </comment>
    <comment ref="M135" authorId="0" shapeId="0" xr:uid="{5A5A9F01-853A-4BFA-B665-06431C5F7948}">
      <text>
        <r>
          <rPr>
            <b/>
            <sz val="9"/>
            <color indexed="81"/>
            <rFont val="Tahoma"/>
            <charset val="1"/>
          </rPr>
          <t>JULIAN:</t>
        </r>
        <r>
          <rPr>
            <sz val="9"/>
            <color indexed="81"/>
            <rFont val="Tahoma"/>
            <charset val="1"/>
          </rPr>
          <t xml:space="preserve">
Se tomo el vapor consumido en refinerias, se convirtio a PJ. 
Se asumio que las dos refinerias consumen por igual.</t>
        </r>
      </text>
    </comment>
    <comment ref="N137" authorId="0" shapeId="0" xr:uid="{3C6A49E5-47DF-4BEF-B990-B3B135D0467D}">
      <text>
        <r>
          <rPr>
            <b/>
            <sz val="9"/>
            <color indexed="81"/>
            <rFont val="Tahoma"/>
            <charset val="1"/>
          </rPr>
          <t>JULIAN:</t>
        </r>
        <r>
          <rPr>
            <sz val="9"/>
            <color indexed="81"/>
            <rFont val="Tahoma"/>
            <charset val="1"/>
          </rPr>
          <t xml:space="preserve">
https://www.reficar.com.co/Repositorio/06_SalaPrensa/01_Boletines/2014/2.Febrero/2.Informaci%C3%B3n%20Actualizada%20Proyecto%20Febrero.pdf</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JULIAN</author>
    <author>Gary Goldstein</author>
  </authors>
  <commentList>
    <comment ref="C2" authorId="0" shapeId="0" xr:uid="{94D3A0F3-DB2C-4037-832F-3278D481D75C}">
      <text>
        <r>
          <rPr>
            <b/>
            <sz val="9"/>
            <color indexed="81"/>
            <rFont val="Tahoma"/>
            <family val="2"/>
          </rPr>
          <t>JULIAN:</t>
        </r>
        <r>
          <rPr>
            <sz val="9"/>
            <color indexed="81"/>
            <rFont val="Tahoma"/>
            <family val="2"/>
          </rPr>
          <t xml:space="preserve">
De acuerdo al BECO</t>
        </r>
      </text>
    </comment>
    <comment ref="N9" authorId="0" shapeId="0" xr:uid="{4639B012-AD58-4DFD-9A93-789414733A2A}">
      <text>
        <r>
          <rPr>
            <b/>
            <sz val="9"/>
            <color indexed="81"/>
            <rFont val="Tahoma"/>
            <charset val="1"/>
          </rPr>
          <t>JULIAN:</t>
        </r>
        <r>
          <rPr>
            <sz val="9"/>
            <color indexed="81"/>
            <rFont val="Tahoma"/>
            <charset val="1"/>
          </rPr>
          <t xml:space="preserve">
Morillo J. (2020).</t>
        </r>
      </text>
    </comment>
    <comment ref="N32" authorId="0" shapeId="0" xr:uid="{45ACBC87-7D72-4D46-969A-FB1676E143CF}">
      <text>
        <r>
          <rPr>
            <b/>
            <sz val="9"/>
            <color indexed="81"/>
            <rFont val="Tahoma"/>
            <family val="2"/>
          </rPr>
          <t>JULIAN:</t>
        </r>
        <r>
          <rPr>
            <sz val="9"/>
            <color indexed="81"/>
            <rFont val="Tahoma"/>
            <family val="2"/>
          </rPr>
          <t xml:space="preserve">
Yañez et al. (2020)</t>
        </r>
      </text>
    </comment>
    <comment ref="N33" authorId="0" shapeId="0" xr:uid="{7C33714B-4577-48B7-A86B-32E4E98F9D68}">
      <text>
        <r>
          <rPr>
            <b/>
            <sz val="9"/>
            <color indexed="81"/>
            <rFont val="Tahoma"/>
            <family val="2"/>
          </rPr>
          <t>JULIAN:</t>
        </r>
        <r>
          <rPr>
            <sz val="9"/>
            <color indexed="81"/>
            <rFont val="Tahoma"/>
            <family val="2"/>
          </rPr>
          <t xml:space="preserve">
Yañez et al (2020)</t>
        </r>
      </text>
    </comment>
    <comment ref="A35" authorId="1" shapeId="0" xr:uid="{F6B29ECA-121E-4BC6-A896-FF7589EFFEF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402D16AA-5A29-4F1E-AF8E-C236DC10F53F}">
      <text>
        <r>
          <rPr>
            <b/>
            <sz val="9"/>
            <color indexed="81"/>
            <rFont val="Tahoma"/>
            <family val="2"/>
          </rPr>
          <t>JULIAN:</t>
        </r>
        <r>
          <rPr>
            <sz val="9"/>
            <color indexed="81"/>
            <rFont val="Tahoma"/>
            <family val="2"/>
          </rPr>
          <t xml:space="preserve">
Reficar, 2020</t>
        </r>
      </text>
    </comment>
    <comment ref="Q54" authorId="0" shapeId="0" xr:uid="{04AA435A-79D3-4138-8B81-778F063FFF1B}">
      <text>
        <r>
          <rPr>
            <b/>
            <sz val="9"/>
            <color indexed="81"/>
            <rFont val="Tahoma"/>
            <charset val="1"/>
          </rPr>
          <t>JULIAN:</t>
        </r>
        <r>
          <rPr>
            <sz val="9"/>
            <color indexed="81"/>
            <rFont val="Tahoma"/>
            <charset val="1"/>
          </rPr>
          <t xml:space="preserve">
LEAP</t>
        </r>
      </text>
    </comment>
    <comment ref="N84" authorId="0" shapeId="0" xr:uid="{A9845124-877E-4EE2-ADE3-7D8713543BFF}">
      <text>
        <r>
          <rPr>
            <b/>
            <sz val="9"/>
            <color indexed="81"/>
            <rFont val="Tahoma"/>
            <family val="2"/>
          </rPr>
          <t>JULIAN:</t>
        </r>
        <r>
          <rPr>
            <sz val="9"/>
            <color indexed="81"/>
            <rFont val="Tahoma"/>
            <family val="2"/>
          </rPr>
          <t xml:space="preserve">
Reficar, 2020</t>
        </r>
      </text>
    </comment>
    <comment ref="N85" authorId="0" shapeId="0" xr:uid="{CEED6FB3-C11E-44B9-AA93-6F4339F59365}">
      <text>
        <r>
          <rPr>
            <b/>
            <sz val="9"/>
            <color indexed="81"/>
            <rFont val="Tahoma"/>
            <family val="2"/>
          </rPr>
          <t>JULIAN:</t>
        </r>
        <r>
          <rPr>
            <sz val="9"/>
            <color indexed="81"/>
            <rFont val="Tahoma"/>
            <family val="2"/>
          </rPr>
          <t xml:space="preserve">
Informe de Gestion ECP 2019</t>
        </r>
      </text>
    </comment>
    <comment ref="N89" authorId="0" shapeId="0" xr:uid="{052D3F0D-A83D-42E1-A6A9-147CACBB3719}">
      <text>
        <r>
          <rPr>
            <b/>
            <sz val="9"/>
            <color indexed="81"/>
            <rFont val="Tahoma"/>
            <charset val="1"/>
          </rPr>
          <t>JULIAN:</t>
        </r>
        <r>
          <rPr>
            <sz val="9"/>
            <color indexed="81"/>
            <rFont val="Tahoma"/>
            <charset val="1"/>
          </rPr>
          <t xml:space="preserve">
En reficar 2020, reprotan 97% en volumen</t>
        </r>
      </text>
    </comment>
    <comment ref="N90" authorId="0" shapeId="0" xr:uid="{A3DF5B77-1456-43B8-8DE2-17AEF4190FC9}">
      <text>
        <r>
          <rPr>
            <b/>
            <sz val="9"/>
            <color indexed="81"/>
            <rFont val="Tahoma"/>
            <charset val="1"/>
          </rPr>
          <t>JULIAN:</t>
        </r>
        <r>
          <rPr>
            <sz val="9"/>
            <color indexed="81"/>
            <rFont val="Tahoma"/>
            <charset val="1"/>
          </rPr>
          <t xml:space="preserve">
En reficar 2020, reprotan 97% en volumen</t>
        </r>
      </text>
    </comment>
    <comment ref="N92" authorId="0" shapeId="0" xr:uid="{B17952FC-FEFE-4F89-901E-B80DBCCB816F}">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83CBBF9B-B2CC-4FBF-AD3E-2A8E88F7DFF8}">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DF26787A-D944-4AA5-9174-8BD10ED20A02}">
      <text>
        <r>
          <rPr>
            <b/>
            <sz val="9"/>
            <color indexed="81"/>
            <rFont val="Tahoma"/>
            <family val="2"/>
          </rPr>
          <t>JULIAN:</t>
        </r>
        <r>
          <rPr>
            <sz val="9"/>
            <color indexed="81"/>
            <rFont val="Tahoma"/>
            <family val="2"/>
          </rPr>
          <t xml:space="preserve">
85 MW</t>
        </r>
      </text>
    </comment>
    <comment ref="M132" authorId="0" shapeId="0" xr:uid="{06532B41-2C6C-4E41-A29E-A673D7D8C7D1}">
      <text>
        <r>
          <rPr>
            <b/>
            <sz val="9"/>
            <color indexed="81"/>
            <rFont val="Tahoma"/>
            <family val="2"/>
          </rPr>
          <t>JULIAN:</t>
        </r>
        <r>
          <rPr>
            <sz val="9"/>
            <color indexed="81"/>
            <rFont val="Tahoma"/>
            <family val="2"/>
          </rPr>
          <t xml:space="preserve">
874,8 Gwh</t>
        </r>
      </text>
    </comment>
    <comment ref="M135" authorId="0" shapeId="0" xr:uid="{94F67E5E-A9D7-4D10-A303-B5D50D248FD3}">
      <text>
        <r>
          <rPr>
            <b/>
            <sz val="9"/>
            <color indexed="81"/>
            <rFont val="Tahoma"/>
            <charset val="1"/>
          </rPr>
          <t>JULIAN:</t>
        </r>
        <r>
          <rPr>
            <sz val="9"/>
            <color indexed="81"/>
            <rFont val="Tahoma"/>
            <charset val="1"/>
          </rPr>
          <t xml:space="preserve">
Se tomo el vapor consumido en refinerias, se convirtio a PJ. 
Se asumio que las dos refinerias consumen por igual.</t>
        </r>
      </text>
    </comment>
    <comment ref="N137" authorId="0" shapeId="0" xr:uid="{9B34B72F-C5B2-4E69-BB9E-D36C6AADE9C4}">
      <text>
        <r>
          <rPr>
            <b/>
            <sz val="9"/>
            <color indexed="81"/>
            <rFont val="Tahoma"/>
            <charset val="1"/>
          </rPr>
          <t>JULIAN:</t>
        </r>
        <r>
          <rPr>
            <sz val="9"/>
            <color indexed="81"/>
            <rFont val="Tahoma"/>
            <charset val="1"/>
          </rPr>
          <t xml:space="preserve">
https://www.reficar.com.co/Repositorio/06_SalaPrensa/01_Boletines/2014/2.Febrero/2.Informaci%C3%B3n%20Actualizada%20Proyecto%20Febrero.pdf</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H24" authorId="0" shapeId="0" xr:uid="{6D3546AE-0D0C-430E-8420-8E12335D6E8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H23" authorId="0" shapeId="0" xr:uid="{1185D194-8FF2-4E0B-BDA8-AADC7F8F65AA}">
      <text>
        <r>
          <rPr>
            <b/>
            <sz val="9"/>
            <color indexed="81"/>
            <rFont val="Tahoma"/>
            <family val="2"/>
          </rPr>
          <t>JULIAN:</t>
        </r>
        <r>
          <rPr>
            <sz val="9"/>
            <color indexed="81"/>
            <rFont val="Tahoma"/>
            <family val="2"/>
          </rPr>
          <t xml:space="preserve">
spe-171080-ms</t>
        </r>
      </text>
    </comment>
    <comment ref="H24" authorId="0" shapeId="0" xr:uid="{22DC80D5-6749-4256-8C41-F282604D0A7D}">
      <text>
        <r>
          <rPr>
            <b/>
            <sz val="9"/>
            <color indexed="81"/>
            <rFont val="Tahoma"/>
            <family val="2"/>
          </rPr>
          <t>JULIAN:</t>
        </r>
        <r>
          <rPr>
            <sz val="9"/>
            <color indexed="81"/>
            <rFont val="Tahoma"/>
            <family val="2"/>
          </rPr>
          <t xml:space="preserve">
9-16 api</t>
        </r>
      </text>
    </comment>
    <comment ref="H25" authorId="0" shapeId="0" xr:uid="{32BDFDC1-D500-4B1E-9A44-D46002B262DD}">
      <text>
        <r>
          <rPr>
            <b/>
            <sz val="9"/>
            <color indexed="81"/>
            <rFont val="Tahoma"/>
            <family val="2"/>
          </rPr>
          <t>JULIAN:</t>
        </r>
        <r>
          <rPr>
            <sz val="9"/>
            <color indexed="81"/>
            <rFont val="Tahoma"/>
            <family val="2"/>
          </rPr>
          <t xml:space="preserve">
http://www.scielo.org.co/scielo.php?script=sci_arttext&amp;pid=S0122-53832001000100009
Usa gas lift</t>
        </r>
      </text>
    </comment>
    <comment ref="H27" authorId="0" shapeId="0" xr:uid="{25833F56-CEB5-489B-88FA-6580B1E9899D}">
      <text>
        <r>
          <rPr>
            <b/>
            <sz val="9"/>
            <color indexed="81"/>
            <rFont val="Tahoma"/>
            <family val="2"/>
          </rPr>
          <t>JULIAN:</t>
        </r>
        <r>
          <rPr>
            <sz val="9"/>
            <color indexed="81"/>
            <rFont val="Tahoma"/>
            <family val="2"/>
          </rPr>
          <t xml:space="preserve">
Solo vapor.</t>
        </r>
      </text>
    </comment>
    <comment ref="H30" authorId="0" shapeId="0" xr:uid="{95578B0B-CC5D-4991-8D2D-8E5E99FC602C}">
      <text>
        <r>
          <rPr>
            <b/>
            <sz val="9"/>
            <color indexed="81"/>
            <rFont val="Tahoma"/>
            <family val="2"/>
          </rPr>
          <t>JULIAN:</t>
        </r>
        <r>
          <rPr>
            <sz val="9"/>
            <color indexed="81"/>
            <rFont val="Tahoma"/>
            <family val="2"/>
          </rPr>
          <t xml:space="preserve">
spe-165273-ms</t>
        </r>
      </text>
    </comment>
    <comment ref="F31" authorId="0" shapeId="0" xr:uid="{8795F222-E7CF-4913-B799-48CCC0223E0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H31" authorId="0" shapeId="0" xr:uid="{93BE5B67-1C4C-4E44-9160-0B3406CCD834}">
      <text>
        <r>
          <rPr>
            <b/>
            <sz val="9"/>
            <color indexed="81"/>
            <rFont val="Tahoma"/>
            <family val="2"/>
          </rPr>
          <t>JULIAN:</t>
        </r>
        <r>
          <rPr>
            <sz val="9"/>
            <color indexed="81"/>
            <rFont val="Tahoma"/>
            <family val="2"/>
          </rPr>
          <t xml:space="preserve">
spe-138979-ms</t>
        </r>
      </text>
    </comment>
    <comment ref="H32" authorId="0" shapeId="0" xr:uid="{C57ACA98-624F-4DA7-94E3-256E03122AC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F43" authorId="0" shapeId="0" xr:uid="{775F7BB6-532D-4670-B205-DD4B6C638F90}">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Q16" authorId="0" shapeId="0" xr:uid="{F37DF4A8-8627-4FB8-8369-DD8F0306047F}">
      <text>
        <r>
          <rPr>
            <b/>
            <sz val="9"/>
            <color indexed="81"/>
            <rFont val="Tahoma"/>
            <family val="2"/>
          </rPr>
          <t>JULIAN:</t>
        </r>
        <r>
          <rPr>
            <sz val="9"/>
            <color indexed="81"/>
            <rFont val="Tahoma"/>
            <family val="2"/>
          </rPr>
          <t xml:space="preserve">
spe-171080-ms</t>
        </r>
      </text>
    </comment>
    <comment ref="Q17" authorId="0" shapeId="0" xr:uid="{D4C4FD5B-3011-4B3B-9435-B197A657DDC1}">
      <text>
        <r>
          <rPr>
            <b/>
            <sz val="9"/>
            <color indexed="81"/>
            <rFont val="Tahoma"/>
            <family val="2"/>
          </rPr>
          <t>JULIAN:</t>
        </r>
        <r>
          <rPr>
            <sz val="9"/>
            <color indexed="81"/>
            <rFont val="Tahoma"/>
            <family val="2"/>
          </rPr>
          <t xml:space="preserve">
9-16 api</t>
        </r>
      </text>
    </comment>
    <comment ref="Q18" authorId="0" shapeId="0" xr:uid="{AF75A723-F7C0-404A-871E-BF0418C12033}">
      <text>
        <r>
          <rPr>
            <b/>
            <sz val="9"/>
            <color indexed="81"/>
            <rFont val="Tahoma"/>
            <family val="2"/>
          </rPr>
          <t>JULIAN:</t>
        </r>
        <r>
          <rPr>
            <sz val="9"/>
            <color indexed="81"/>
            <rFont val="Tahoma"/>
            <family val="2"/>
          </rPr>
          <t xml:space="preserve">
http://www.scielo.org.co/scielo.php?script=sci_arttext&amp;pid=S0122-53832001000100009
Usa gas lift</t>
        </r>
      </text>
    </comment>
    <comment ref="Q20" authorId="0" shapeId="0" xr:uid="{8F84E726-0376-4B9B-8187-593D79703137}">
      <text>
        <r>
          <rPr>
            <b/>
            <sz val="9"/>
            <color indexed="81"/>
            <rFont val="Tahoma"/>
            <family val="2"/>
          </rPr>
          <t>JULIAN:</t>
        </r>
        <r>
          <rPr>
            <sz val="9"/>
            <color indexed="81"/>
            <rFont val="Tahoma"/>
            <family val="2"/>
          </rPr>
          <t xml:space="preserve">
Solo vapor.</t>
        </r>
      </text>
    </comment>
    <comment ref="Q23" authorId="0" shapeId="0" xr:uid="{A1CDC96E-319C-4260-B98C-73C4A839A31A}">
      <text>
        <r>
          <rPr>
            <b/>
            <sz val="9"/>
            <color indexed="81"/>
            <rFont val="Tahoma"/>
            <family val="2"/>
          </rPr>
          <t>JULIAN:</t>
        </r>
        <r>
          <rPr>
            <sz val="9"/>
            <color indexed="81"/>
            <rFont val="Tahoma"/>
            <family val="2"/>
          </rPr>
          <t xml:space="preserve">
spe-165273-ms</t>
        </r>
      </text>
    </comment>
    <comment ref="O24" authorId="0" shapeId="0" xr:uid="{A0816860-5713-4F87-B6B2-C3386689B688}">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Q24" authorId="0" shapeId="0" xr:uid="{77EA6044-14F4-40E4-BE9C-90CC28A717C7}">
      <text>
        <r>
          <rPr>
            <b/>
            <sz val="9"/>
            <color indexed="81"/>
            <rFont val="Tahoma"/>
            <family val="2"/>
          </rPr>
          <t>JULIAN:</t>
        </r>
        <r>
          <rPr>
            <sz val="9"/>
            <color indexed="81"/>
            <rFont val="Tahoma"/>
            <family val="2"/>
          </rPr>
          <t xml:space="preserve">
spe-138979-ms</t>
        </r>
      </text>
    </comment>
    <comment ref="Q25" authorId="0" shapeId="0" xr:uid="{C72D820D-E196-4152-A273-833D7B51626A}">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R43" authorId="0" shapeId="0" xr:uid="{4818C97C-C748-44CB-A84A-F1266FA437DA}">
      <text>
        <r>
          <rPr>
            <b/>
            <sz val="9"/>
            <color indexed="81"/>
            <rFont val="Tahoma"/>
            <family val="2"/>
          </rPr>
          <t>JULIAN
Valor ficticio, ayuda a que el modelo no produzca todas las reservas en el primer año.
Esto sucede porque es una commodity importante que no tendría ningún costo.</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CA8B2D-8EF7-4144-BBA3-6DBF5C26C4CB}" keepAlive="1" name="Consulta - Energy_Prices_Average_Price_to_All_Users_Propane_United_States_Reference_AEO2020" description="Conexión a la consulta 'Energy_Prices_Average_Price_to_All_Users_Propane_United_States_Reference_AEO2020' en el libro." type="5" refreshedVersion="0" background="1">
    <dbPr connection="Provider=Microsoft.Mashup.OleDb.1;Data Source=$Workbook$;Location=Energy_Prices_Average_Price_to_All_Users_Propane_United_States_Reference_AEO2020;Extended Properties=&quot;&quot;" command="SELECT * FROM [Energy_Prices_Average_Price_to_All_Users_Propane_United_States_Reference_AEO2020]"/>
  </connection>
  <connection id="2" xr16:uid="{B80CBE25-FF2C-42E3-9A56-B62B179635BE}" keepAlive="1" name="Consulta - Table_3 _Energy_Prices_by_Sector_and_Source" description="Conexión a la consulta 'Table_3 _Energy_Prices_by_Sector_and_Source' en el libro." type="5" refreshedVersion="0" background="1">
    <dbPr connection="Provider=Microsoft.Mashup.OleDb.1;Data Source=$Workbook$;Location=&quot;Table_3 _Energy_Prices_by_Sector_and_Source&quot;;Extended Properties=&quot;&quot;" command="SELECT * FROM [Table_3 _Energy_Prices_by_Sector_and_Source]"/>
  </connection>
  <connection id="3" xr16:uid="{4D2CA13B-689B-466F-9D63-97D3D0CE480D}" keepAlive="1" name="Consulta - Table_3 _Energy_Prices_by_Sector_and_Source (2)" description="Conexión a la consulta 'Table_3 _Energy_Prices_by_Sector_and_Source (2)' en el libro." type="5" refreshedVersion="0" background="1">
    <dbPr connection="Provider=Microsoft.Mashup.OleDb.1;Data Source=$Workbook$;Location=&quot;Table_3 _Energy_Prices_by_Sector_and_Source (2)&quot;;Extended Properties=&quot;&quot;" command="SELECT * FROM [Table_3 _Energy_Prices_by_Sector_and_Source (2)]"/>
  </connection>
  <connection id="4" xr16:uid="{C54C3D3C-7D2B-43BF-996E-21148D08D98B}" keepAlive="1" name="Consulta - Table_3 _Energy_Prices_by_Sector_and_Source (3)" description="Conexión a la consulta 'Table_3 _Energy_Prices_by_Sector_and_Source (3)' en el libro." type="5" refreshedVersion="0" background="1">
    <dbPr connection="Provider=Microsoft.Mashup.OleDb.1;Data Source=$Workbook$;Location=&quot;Table_3 _Energy_Prices_by_Sector_and_Source (3)&quot;;Extended Properties=&quot;&quot;" command="SELECT * FROM [Table_3 _Energy_Prices_by_Sector_and_Source (3)]"/>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9">
    <bk>
      <extLst>
        <ext uri="{3e2802c4-a4d2-4d8b-9148-e3be6c30e623}">
          <xlrd:rvb i="0"/>
        </ext>
      </extLst>
    </bk>
    <bk>
      <extLst>
        <ext uri="{3e2802c4-a4d2-4d8b-9148-e3be6c30e623}">
          <xlrd:rvb i="11"/>
        </ext>
      </extLst>
    </bk>
    <bk>
      <extLst>
        <ext uri="{3e2802c4-a4d2-4d8b-9148-e3be6c30e623}">
          <xlrd:rvb i="19"/>
        </ext>
      </extLst>
    </bk>
    <bk>
      <extLst>
        <ext uri="{3e2802c4-a4d2-4d8b-9148-e3be6c30e623}">
          <xlrd:rvb i="28"/>
        </ext>
      </extLst>
    </bk>
    <bk>
      <extLst>
        <ext uri="{3e2802c4-a4d2-4d8b-9148-e3be6c30e623}">
          <xlrd:rvb i="36"/>
        </ext>
      </extLst>
    </bk>
    <bk>
      <extLst>
        <ext uri="{3e2802c4-a4d2-4d8b-9148-e3be6c30e623}">
          <xlrd:rvb i="46"/>
        </ext>
      </extLst>
    </bk>
    <bk>
      <extLst>
        <ext uri="{3e2802c4-a4d2-4d8b-9148-e3be6c30e623}">
          <xlrd:rvb i="55"/>
        </ext>
      </extLst>
    </bk>
    <bk>
      <extLst>
        <ext uri="{3e2802c4-a4d2-4d8b-9148-e3be6c30e623}">
          <xlrd:rvb i="63"/>
        </ext>
      </extLst>
    </bk>
    <bk>
      <extLst>
        <ext uri="{3e2802c4-a4d2-4d8b-9148-e3be6c30e623}">
          <xlrd:rvb i="71"/>
        </ext>
      </extLst>
    </bk>
  </futureMetadata>
  <cellMetadata count="1">
    <bk>
      <rc t="1" v="0"/>
    </bk>
  </cellMetadata>
  <valueMetadata count="9">
    <bk>
      <rc t="2" v="0"/>
    </bk>
    <bk>
      <rc t="2" v="1"/>
    </bk>
    <bk>
      <rc t="2" v="2"/>
    </bk>
    <bk>
      <rc t="2" v="3"/>
    </bk>
    <bk>
      <rc t="2" v="4"/>
    </bk>
    <bk>
      <rc t="2" v="5"/>
    </bk>
    <bk>
      <rc t="2" v="6"/>
    </bk>
    <bk>
      <rc t="2" v="7"/>
    </bk>
    <bk>
      <rc t="2" v="8"/>
    </bk>
  </valueMetadata>
</metadata>
</file>

<file path=xl/sharedStrings.xml><?xml version="1.0" encoding="utf-8"?>
<sst xmlns="http://schemas.openxmlformats.org/spreadsheetml/2006/main" count="2850" uniqueCount="977">
  <si>
    <t>~FI_T</t>
  </si>
  <si>
    <t>Attribute</t>
  </si>
  <si>
    <t>CommName</t>
  </si>
  <si>
    <t>*Unit</t>
  </si>
  <si>
    <t>*</t>
  </si>
  <si>
    <t>Demand Commodity Name</t>
  </si>
  <si>
    <t>Demand Unit</t>
  </si>
  <si>
    <t>Demand Value</t>
  </si>
  <si>
    <t>*Units</t>
  </si>
  <si>
    <t>PJ</t>
  </si>
  <si>
    <t>Demand</t>
  </si>
  <si>
    <t>TechName</t>
  </si>
  <si>
    <t>Comm-IN</t>
  </si>
  <si>
    <t>Comm-OUT</t>
  </si>
  <si>
    <t>LimType</t>
  </si>
  <si>
    <t>*Technology Name</t>
  </si>
  <si>
    <t>Input Commodity</t>
  </si>
  <si>
    <t>Output Commodity</t>
  </si>
  <si>
    <t>Cost</t>
  </si>
  <si>
    <t>MUSD19/PJ</t>
  </si>
  <si>
    <t>~FI_Comm</t>
  </si>
  <si>
    <t>Csets</t>
  </si>
  <si>
    <t>Region</t>
  </si>
  <si>
    <t>CommDesc</t>
  </si>
  <si>
    <t>Unit</t>
  </si>
  <si>
    <t>*Commodity Set Membership</t>
  </si>
  <si>
    <t>Region Name</t>
  </si>
  <si>
    <t>Commodity Name</t>
  </si>
  <si>
    <t>Commodity Description</t>
  </si>
  <si>
    <t>DEM</t>
  </si>
  <si>
    <t>~FI_Process</t>
  </si>
  <si>
    <t>EFF</t>
  </si>
  <si>
    <t>Sets</t>
  </si>
  <si>
    <t>TechDesc</t>
  </si>
  <si>
    <t>Tact</t>
  </si>
  <si>
    <t>Tcap</t>
  </si>
  <si>
    <t>*Process Set Membership</t>
  </si>
  <si>
    <t>Technology Name</t>
  </si>
  <si>
    <t>Technology Description</t>
  </si>
  <si>
    <t>Activity Unit</t>
  </si>
  <si>
    <t>Capacity Unit</t>
  </si>
  <si>
    <t>DMD</t>
  </si>
  <si>
    <t>Pja</t>
  </si>
  <si>
    <t>ETH</t>
  </si>
  <si>
    <t>BDSL</t>
  </si>
  <si>
    <t>GSL</t>
  </si>
  <si>
    <t>PRE</t>
  </si>
  <si>
    <t>DSL</t>
  </si>
  <si>
    <t>KER</t>
  </si>
  <si>
    <t>LPG</t>
  </si>
  <si>
    <t>HFO</t>
  </si>
  <si>
    <t>GAS</t>
  </si>
  <si>
    <t>LOIL</t>
  </si>
  <si>
    <t>HOIL</t>
  </si>
  <si>
    <t>GSL-E10</t>
  </si>
  <si>
    <t>DSL-B10</t>
  </si>
  <si>
    <t>Campos</t>
  </si>
  <si>
    <t>CAM1</t>
  </si>
  <si>
    <t>CAM2</t>
  </si>
  <si>
    <t>CAM3</t>
  </si>
  <si>
    <t>CAM4</t>
  </si>
  <si>
    <t>CAM5</t>
  </si>
  <si>
    <t>CAM6</t>
  </si>
  <si>
    <t>CAM7</t>
  </si>
  <si>
    <t>CAM8</t>
  </si>
  <si>
    <t>CAM9</t>
  </si>
  <si>
    <t>CAM10</t>
  </si>
  <si>
    <t>MOIL</t>
  </si>
  <si>
    <t>FLU</t>
  </si>
  <si>
    <t>Primary Energy</t>
  </si>
  <si>
    <t>Secondary Energy</t>
  </si>
  <si>
    <t>Electricidad</t>
  </si>
  <si>
    <t>ELC</t>
  </si>
  <si>
    <t>Emisiones eq</t>
  </si>
  <si>
    <t>CO2e</t>
  </si>
  <si>
    <t>CTSLvl</t>
  </si>
  <si>
    <t>PeakTS</t>
  </si>
  <si>
    <t>Ctype</t>
  </si>
  <si>
    <t>Sense of the Balance EQN.</t>
  </si>
  <si>
    <t>Timeslice Level</t>
  </si>
  <si>
    <t>Peak Monitoring</t>
  </si>
  <si>
    <t>Electricity Indicator</t>
  </si>
  <si>
    <t>NRG</t>
  </si>
  <si>
    <t>FLUIDOS EN CAMPOS</t>
  </si>
  <si>
    <t>FLUIDOS EN REFINERIA Y DEMANDA</t>
  </si>
  <si>
    <t>Gasolina</t>
  </si>
  <si>
    <t>Diesel</t>
  </si>
  <si>
    <t>Keroseno-Jet</t>
  </si>
  <si>
    <t>Combustoleo</t>
  </si>
  <si>
    <t>Etanol</t>
  </si>
  <si>
    <t>Biodiesel</t>
  </si>
  <si>
    <t>Gasolina natural</t>
  </si>
  <si>
    <t>Petroleo liviano</t>
  </si>
  <si>
    <t>Petroleo mediano</t>
  </si>
  <si>
    <t>Petroleo pesado</t>
  </si>
  <si>
    <t>Gasolina mezclada con etanol E10</t>
  </si>
  <si>
    <t>Diesel mezclada con biodiesel B10</t>
  </si>
  <si>
    <t>EMISIONES</t>
  </si>
  <si>
    <t>ENV</t>
  </si>
  <si>
    <t>CO2e-SIN</t>
  </si>
  <si>
    <t>kt</t>
  </si>
  <si>
    <t>DEMANDAS</t>
  </si>
  <si>
    <t>CO2eq de SIN</t>
  </si>
  <si>
    <t>GAS-plt</t>
  </si>
  <si>
    <t>Procesos</t>
  </si>
  <si>
    <t>Tslvl</t>
  </si>
  <si>
    <t>PrimaryCG</t>
  </si>
  <si>
    <t>Vintage</t>
  </si>
  <si>
    <t>TimeSlice level of Process Activity</t>
  </si>
  <si>
    <t>Primary Commodity Group</t>
  </si>
  <si>
    <t>Vintage Tracking</t>
  </si>
  <si>
    <t>MIN</t>
  </si>
  <si>
    <t>PROF</t>
  </si>
  <si>
    <t>COL</t>
  </si>
  <si>
    <t>REF</t>
  </si>
  <si>
    <t>IMP</t>
  </si>
  <si>
    <t>EXP</t>
  </si>
  <si>
    <t>Fluidos</t>
  </si>
  <si>
    <t>Ventas/Compras</t>
  </si>
  <si>
    <t>MINAS</t>
  </si>
  <si>
    <t>PROSF</t>
  </si>
  <si>
    <t>REFINERIA</t>
  </si>
  <si>
    <t>AUTO-G</t>
  </si>
  <si>
    <t>AUTO-O</t>
  </si>
  <si>
    <t>PRODUCCION, COLECTORES, Y AUTOGENERACION</t>
  </si>
  <si>
    <t>EXP-SIN</t>
  </si>
  <si>
    <t>IMP-SIN</t>
  </si>
  <si>
    <t>Venta al SIN</t>
  </si>
  <si>
    <t>Compra al SIN</t>
  </si>
  <si>
    <t>ELC-SIN</t>
  </si>
  <si>
    <t>USD/kwh</t>
  </si>
  <si>
    <t>MUSD/PJ</t>
  </si>
  <si>
    <t>USD/Gwh</t>
  </si>
  <si>
    <t>MUSD/Gwh</t>
  </si>
  <si>
    <t>Restricción de Exportación / Importación</t>
  </si>
  <si>
    <t>Tecnologia para que el Keroseno pueda suplir la demana</t>
  </si>
  <si>
    <t>Tecnologia para que el LPG pueda suplir la demana</t>
  </si>
  <si>
    <t>Tecnologia para que el Fuel Oil pueda suplir la demana</t>
  </si>
  <si>
    <t>Tecnologia para que el Gas Natural pueda suplir la demana</t>
  </si>
  <si>
    <t>Tecnologia para que el Petroleo pueda suplir la demana</t>
  </si>
  <si>
    <t>Blending entre Gasolina y etanol</t>
  </si>
  <si>
    <t>Blending entre Gasolina y biodiesel</t>
  </si>
  <si>
    <t>FTE-DGSL</t>
  </si>
  <si>
    <t>FTE-DDSL</t>
  </si>
  <si>
    <t>Tecnologia para que la gasolina pueda suplir la demana</t>
  </si>
  <si>
    <t>Tecnologia para que el diesel pueda suplir la demana</t>
  </si>
  <si>
    <t>DGSL</t>
  </si>
  <si>
    <t>DDSL</t>
  </si>
  <si>
    <t>DKER</t>
  </si>
  <si>
    <t>DLPG</t>
  </si>
  <si>
    <t>DHFO</t>
  </si>
  <si>
    <t>DGAS</t>
  </si>
  <si>
    <t>DLOIL</t>
  </si>
  <si>
    <t>Share-I~UP</t>
  </si>
  <si>
    <t>Sectores</t>
  </si>
  <si>
    <t>AGR</t>
  </si>
  <si>
    <t>TER</t>
  </si>
  <si>
    <t>RSD</t>
  </si>
  <si>
    <t>IND</t>
  </si>
  <si>
    <t>TRA</t>
  </si>
  <si>
    <t>Demanda del sector Agricultura, Construccion y Mineria</t>
  </si>
  <si>
    <t>Demanda de sector Terciario</t>
  </si>
  <si>
    <t>Demanda del sector residencial</t>
  </si>
  <si>
    <t>Demanda del sector Industrial</t>
  </si>
  <si>
    <t>Demanda del sector Transporte</t>
  </si>
  <si>
    <t>FTD-TRA</t>
  </si>
  <si>
    <t>DTRA</t>
  </si>
  <si>
    <t>DAGR</t>
  </si>
  <si>
    <t>FTD-AGR</t>
  </si>
  <si>
    <t>Share-I~2019</t>
  </si>
  <si>
    <t>FTD-TER</t>
  </si>
  <si>
    <t>FTD-RSD</t>
  </si>
  <si>
    <t>FTD-IND</t>
  </si>
  <si>
    <t>DH2</t>
  </si>
  <si>
    <t>Demanda del Hidrogeno</t>
  </si>
  <si>
    <t>FX</t>
  </si>
  <si>
    <t>DTER</t>
  </si>
  <si>
    <t>DRSD</t>
  </si>
  <si>
    <t>DIND</t>
  </si>
  <si>
    <t>Tecnologia de demanda para Agricultura, Construccion y Mineria</t>
  </si>
  <si>
    <t>Tecnologia del sector terciario</t>
  </si>
  <si>
    <t xml:space="preserve">Tecnologia del sector residencial </t>
  </si>
  <si>
    <t>Tecnologia del sector Industrial</t>
  </si>
  <si>
    <t>Tecnologia del sector transporte</t>
  </si>
  <si>
    <t>PJa</t>
  </si>
  <si>
    <t>Share-I~2020</t>
  </si>
  <si>
    <t>Share-I~2025</t>
  </si>
  <si>
    <t>Share-I~2030</t>
  </si>
  <si>
    <t>Share-I~2035</t>
  </si>
  <si>
    <t>Share-I~2040</t>
  </si>
  <si>
    <t>Share-I~2045</t>
  </si>
  <si>
    <t>Share-I~2050</t>
  </si>
  <si>
    <t>EXP-GSL</t>
  </si>
  <si>
    <t>EXP-DSL</t>
  </si>
  <si>
    <t>EXP-KER</t>
  </si>
  <si>
    <t>EXP-LPG</t>
  </si>
  <si>
    <t>EXP-HFO</t>
  </si>
  <si>
    <t>EXP-ETH</t>
  </si>
  <si>
    <t>EXP-BDSL</t>
  </si>
  <si>
    <t>EXP-GAS</t>
  </si>
  <si>
    <t>EXP-LOIL</t>
  </si>
  <si>
    <t>EXP-MOIL</t>
  </si>
  <si>
    <t>EXP-HOIL</t>
  </si>
  <si>
    <t>usd/PJ</t>
  </si>
  <si>
    <t>PJ/mbtu</t>
  </si>
  <si>
    <t>usd/mbtu</t>
  </si>
  <si>
    <t>Keroseno</t>
  </si>
  <si>
    <t>Fuel Oil</t>
  </si>
  <si>
    <t>Ethanol</t>
  </si>
  <si>
    <t>Gas natural</t>
  </si>
  <si>
    <t>Petroleo</t>
  </si>
  <si>
    <t>COST~2019</t>
  </si>
  <si>
    <t>WTI</t>
  </si>
  <si>
    <t>Combustible liquidos UPME, 2021</t>
  </si>
  <si>
    <t>Liviano</t>
  </si>
  <si>
    <t>Mediano</t>
  </si>
  <si>
    <t>Pesado</t>
  </si>
  <si>
    <t>WTI- 9 USD/b</t>
  </si>
  <si>
    <t>WTI - 4,5 USD/b</t>
  </si>
  <si>
    <t>HHV del WTI</t>
  </si>
  <si>
    <t>WTI - 0,7949 USD/MBTU</t>
  </si>
  <si>
    <t>WTI - 1,5899USD/MBTU</t>
  </si>
  <si>
    <t>WTI, 2019</t>
  </si>
  <si>
    <t>56 usd/bl</t>
  </si>
  <si>
    <t>MBTU/b</t>
  </si>
  <si>
    <t>Descuento</t>
  </si>
  <si>
    <t>POIL</t>
  </si>
  <si>
    <t>COST~2020</t>
  </si>
  <si>
    <t>COST~2025</t>
  </si>
  <si>
    <t>COST~2030</t>
  </si>
  <si>
    <t>COST~2035</t>
  </si>
  <si>
    <t>COST~2040</t>
  </si>
  <si>
    <t>COST~2045</t>
  </si>
  <si>
    <t>COST~2050</t>
  </si>
  <si>
    <t>BTU/J</t>
  </si>
  <si>
    <t>MBTU/J</t>
  </si>
  <si>
    <t>MBTU/PJ</t>
  </si>
  <si>
    <t>PJ/MBTU</t>
  </si>
  <si>
    <t>Proyeciones para escenario de referencia, AEO - US EIA, 2019, en USD/Millon de BTU</t>
  </si>
  <si>
    <t>Proyeciones para escenario de referencia, AEO - US EIA, 2019, en USD/PJ</t>
  </si>
  <si>
    <t>USD2019/kwh</t>
  </si>
  <si>
    <t>cop/kwh</t>
  </si>
  <si>
    <t>Costo de electricidad Colombia, industrial, ANDI</t>
  </si>
  <si>
    <t>USD/COP promedio, 2019, investing https://es.investing.com/currencies/usd-cop-historical-data</t>
  </si>
  <si>
    <t>COP/USD</t>
  </si>
  <si>
    <t>PRIMARIOS</t>
  </si>
  <si>
    <t>Sigla</t>
  </si>
  <si>
    <t>Energético</t>
  </si>
  <si>
    <t>Poderes caloríficos</t>
  </si>
  <si>
    <t>Factores de emisión</t>
  </si>
  <si>
    <t>UO</t>
  </si>
  <si>
    <t>TCal</t>
  </si>
  <si>
    <t>TJ</t>
  </si>
  <si>
    <t>GWh</t>
  </si>
  <si>
    <t>KTEP</t>
  </si>
  <si>
    <t>GBTU</t>
  </si>
  <si>
    <r>
      <t>kTon CO</t>
    </r>
    <r>
      <rPr>
        <b/>
        <vertAlign val="subscript"/>
        <sz val="8"/>
        <color theme="1"/>
        <rFont val="Calibri"/>
        <family val="2"/>
        <scheme val="minor"/>
      </rPr>
      <t>2</t>
    </r>
    <r>
      <rPr>
        <b/>
        <sz val="8"/>
        <color theme="1"/>
        <rFont val="Calibri"/>
        <family val="2"/>
        <scheme val="minor"/>
      </rPr>
      <t>/UO</t>
    </r>
  </si>
  <si>
    <r>
      <t>kTon CO</t>
    </r>
    <r>
      <rPr>
        <b/>
        <vertAlign val="subscript"/>
        <sz val="8"/>
        <color theme="1"/>
        <rFont val="Calibri"/>
        <family val="2"/>
        <scheme val="minor"/>
      </rPr>
      <t>2</t>
    </r>
    <r>
      <rPr>
        <b/>
        <sz val="8"/>
        <color theme="1"/>
        <rFont val="Calibri"/>
        <family val="2"/>
        <scheme val="minor"/>
      </rPr>
      <t>/TJ</t>
    </r>
  </si>
  <si>
    <t>BZ</t>
  </si>
  <si>
    <t>BAGAZO</t>
  </si>
  <si>
    <t>kTon</t>
  </si>
  <si>
    <t>CM</t>
  </si>
  <si>
    <t>CARBÓN MINERAL</t>
  </si>
  <si>
    <t>GN</t>
  </si>
  <si>
    <t>GAS NATURAL</t>
  </si>
  <si>
    <t>Mpc</t>
  </si>
  <si>
    <t>HE</t>
  </si>
  <si>
    <t>HIDROENERGÍA</t>
  </si>
  <si>
    <t>LE</t>
  </si>
  <si>
    <t>LEÑA</t>
  </si>
  <si>
    <t>PT</t>
  </si>
  <si>
    <t>PETROLEO</t>
  </si>
  <si>
    <t>kBL</t>
  </si>
  <si>
    <t>kBl</t>
  </si>
  <si>
    <t>RC</t>
  </si>
  <si>
    <t>RECUPERACIÓN / RESIDUOS</t>
  </si>
  <si>
    <t>RCB</t>
  </si>
  <si>
    <t>Cascarilla de café</t>
  </si>
  <si>
    <t>BECO</t>
  </si>
  <si>
    <t>Cascarilla de arroz</t>
  </si>
  <si>
    <t>FE</t>
  </si>
  <si>
    <t>Residuos de palma</t>
  </si>
  <si>
    <t>kt/PJ</t>
  </si>
  <si>
    <t>OR</t>
  </si>
  <si>
    <t>OTROS RENOVABLES</t>
  </si>
  <si>
    <t>EO</t>
  </si>
  <si>
    <t>ENERGÍA EÓLICA</t>
  </si>
  <si>
    <t>Tcal</t>
  </si>
  <si>
    <t>OP</t>
  </si>
  <si>
    <t>OTROS PRIMARIOS</t>
  </si>
  <si>
    <t>SECUNDARIOS</t>
  </si>
  <si>
    <t>AC</t>
  </si>
  <si>
    <t>ALCOHOL CARBURANTE</t>
  </si>
  <si>
    <t>BI</t>
  </si>
  <si>
    <t>BIODIESEL</t>
  </si>
  <si>
    <t>CL</t>
  </si>
  <si>
    <t>CARBÓN LEÑA</t>
  </si>
  <si>
    <t>CQ</t>
  </si>
  <si>
    <t>COQUE</t>
  </si>
  <si>
    <t>DO</t>
  </si>
  <si>
    <t>DIESEL OIL</t>
  </si>
  <si>
    <t>AUT COG</t>
  </si>
  <si>
    <t>AUTO &amp; COGENERACIÓN</t>
  </si>
  <si>
    <t>EE SIN</t>
  </si>
  <si>
    <t>ENERGÍA ELECTRICA SIN</t>
  </si>
  <si>
    <t>FO</t>
  </si>
  <si>
    <t>FUEL OIL</t>
  </si>
  <si>
    <t>GI</t>
  </si>
  <si>
    <t>GAS INDUSTRIAL DE ALTO HORNO</t>
  </si>
  <si>
    <t>GL</t>
  </si>
  <si>
    <t>GAS LICUADO DE PETRÓLEO</t>
  </si>
  <si>
    <t>GM</t>
  </si>
  <si>
    <t>GASOLINA MOTOR</t>
  </si>
  <si>
    <t>GR</t>
  </si>
  <si>
    <t>GAS DE REFINERÍA</t>
  </si>
  <si>
    <t>KJ</t>
  </si>
  <si>
    <t>KEROSENE Y JET FUEL</t>
  </si>
  <si>
    <t>OS</t>
  </si>
  <si>
    <t>OTROS SECUNDARIOS</t>
  </si>
  <si>
    <t>NE</t>
  </si>
  <si>
    <t>NO ENERGÉTICOS</t>
  </si>
  <si>
    <t>Densidad</t>
  </si>
  <si>
    <t>PCI Masa</t>
  </si>
  <si>
    <t>PCI Volumen</t>
  </si>
  <si>
    <t>Gaseosos</t>
  </si>
  <si>
    <t>MJ/kg</t>
  </si>
  <si>
    <t>TJ/MPC</t>
  </si>
  <si>
    <t>MJ/m3</t>
  </si>
  <si>
    <t>TJ/kBl</t>
  </si>
  <si>
    <t>MBTU/MPC</t>
  </si>
  <si>
    <t>GWh/MPC</t>
  </si>
  <si>
    <t>kg/TJ</t>
  </si>
  <si>
    <t>Biogas Genérico</t>
  </si>
  <si>
    <t>Coke Gas Genérico</t>
  </si>
  <si>
    <t>Gas Natural Cusiana</t>
  </si>
  <si>
    <t>Gas Natural Guajira</t>
  </si>
  <si>
    <t>Gas Natural Guepaje</t>
  </si>
  <si>
    <t>Gas Natural Neiva - Huila</t>
  </si>
  <si>
    <t>Gas Opon Payoa</t>
  </si>
  <si>
    <t>Gas Cupiagua</t>
  </si>
  <si>
    <t>Gas La Creciente</t>
  </si>
  <si>
    <t>Gas natural Generico</t>
  </si>
  <si>
    <t>GLP Genérico NO USADO</t>
  </si>
  <si>
    <t>LPG Propano</t>
  </si>
  <si>
    <t>Gas de Pozo cupiagua</t>
  </si>
  <si>
    <t>Mezcla Cusiana/Guajira - Nodo SEBASTOPOL. Antioquia</t>
  </si>
  <si>
    <t>Mezcla Apiay/Cusiana - Nodo USME. Boyaca-Bogota</t>
  </si>
  <si>
    <t>Mezcla Cusiana/Cupiagua - Nodo MARIQUITA. Occidente</t>
  </si>
  <si>
    <t>Mezclas Teóricas Guajira Cusiana</t>
  </si>
  <si>
    <t>Líquidos</t>
  </si>
  <si>
    <t>kg/lt</t>
  </si>
  <si>
    <t>kJ/kg</t>
  </si>
  <si>
    <t>kg/Gal</t>
  </si>
  <si>
    <t>kJ/lt</t>
  </si>
  <si>
    <t>MBTU/kBl</t>
  </si>
  <si>
    <t>GWh/kBl</t>
  </si>
  <si>
    <t>Kerosene</t>
  </si>
  <si>
    <t>Crudo de Castilla</t>
  </si>
  <si>
    <t>Avigas</t>
  </si>
  <si>
    <t>Jet A1</t>
  </si>
  <si>
    <t>Diesel B10 (Mezcla Comercial)</t>
  </si>
  <si>
    <t>Biodiesel palma</t>
  </si>
  <si>
    <t>Etanol Anhidro</t>
  </si>
  <si>
    <t>Fuel Oil # 4 - Ecopetrol</t>
  </si>
  <si>
    <t>Gasolina Motor</t>
  </si>
  <si>
    <t>Diesel Marino</t>
  </si>
  <si>
    <t>Diesel B2 </t>
  </si>
  <si>
    <t>Gasolina E10 (Mezcla Comercial)</t>
  </si>
  <si>
    <t>Mezcla Teórica Gasolina- Etanol</t>
  </si>
  <si>
    <t>Mezcla Teórica Diesel- Biodiesel</t>
  </si>
  <si>
    <t>GLP Genérico USADO</t>
  </si>
  <si>
    <t>Sólidos</t>
  </si>
  <si>
    <t>TJ/Kton</t>
  </si>
  <si>
    <t>GWh/kTon</t>
  </si>
  <si>
    <t>Carbón Genérico</t>
  </si>
  <si>
    <t>Carbón Guajira - Cesar</t>
  </si>
  <si>
    <t>Carbón Guajira</t>
  </si>
  <si>
    <t>Carbón Cundinamarca</t>
  </si>
  <si>
    <t>Carbón Cauca - Valle del Cauca</t>
  </si>
  <si>
    <t>Carbón Norte de Santander</t>
  </si>
  <si>
    <t>Carbón Córdoba-Norte de Antioquia</t>
  </si>
  <si>
    <t>Carbón Santander</t>
  </si>
  <si>
    <t>Carbón Santander Sogamoso</t>
  </si>
  <si>
    <t>Carbón Boyacá</t>
  </si>
  <si>
    <t>Carbón Antioquia</t>
  </si>
  <si>
    <t>Bagazo</t>
  </si>
  <si>
    <t>Fibra de palma</t>
  </si>
  <si>
    <t>Cuesco de palma</t>
  </si>
  <si>
    <t>Raquis de palma</t>
  </si>
  <si>
    <t>Cascarilla de Arroz</t>
  </si>
  <si>
    <t>Borra de Café</t>
  </si>
  <si>
    <t>Cisco de Café</t>
  </si>
  <si>
    <t>Leña</t>
  </si>
  <si>
    <t>Madera Genérico</t>
  </si>
  <si>
    <t>Madera Eucalipto</t>
  </si>
  <si>
    <t>Madera Pino</t>
  </si>
  <si>
    <t>Madera Acacia</t>
  </si>
  <si>
    <t>Madera Melina</t>
  </si>
  <si>
    <t>Residuos de llantas</t>
  </si>
  <si>
    <t>CO2</t>
  </si>
  <si>
    <t>CH4</t>
  </si>
  <si>
    <t>NO2</t>
  </si>
  <si>
    <t>Etanol anhidro</t>
  </si>
  <si>
    <t>Referencia</t>
  </si>
  <si>
    <t>PCI</t>
  </si>
  <si>
    <t>F.E. CO2eq</t>
  </si>
  <si>
    <t>Gas Natural</t>
  </si>
  <si>
    <t>Petróleo liviano</t>
  </si>
  <si>
    <t>Petróleo pesado</t>
  </si>
  <si>
    <t>Gasolina antes de blending</t>
  </si>
  <si>
    <t>Diesel antes de blending</t>
  </si>
  <si>
    <t>Gas licuado de Petróleo</t>
  </si>
  <si>
    <t>Petróleo mediano</t>
  </si>
  <si>
    <t>Fuel Oil (Combustoleo</t>
  </si>
  <si>
    <t>Diesel-Biodiese, 10% vol</t>
  </si>
  <si>
    <t>Bases de cálculo</t>
  </si>
  <si>
    <t>Tabla 1. Energéticos y poderes caloríficos (BEN &amp; EAM)</t>
  </si>
  <si>
    <t>FECO2eq_CH4</t>
  </si>
  <si>
    <t>FECO2eq_N2O</t>
  </si>
  <si>
    <t>Primario</t>
  </si>
  <si>
    <t>Renovable</t>
  </si>
  <si>
    <t>No Renovable</t>
  </si>
  <si>
    <t>m3</t>
  </si>
  <si>
    <t>kWh</t>
  </si>
  <si>
    <t>Secundario</t>
  </si>
  <si>
    <t>Gal</t>
  </si>
  <si>
    <t>Factores de conversión usados</t>
  </si>
  <si>
    <t>Unidades Originales *</t>
  </si>
  <si>
    <t>Original</t>
  </si>
  <si>
    <t>Factor</t>
  </si>
  <si>
    <t>Objetivo</t>
  </si>
  <si>
    <t>Teracalorias</t>
  </si>
  <si>
    <t xml:space="preserve">1 m3 = </t>
  </si>
  <si>
    <t>PC</t>
  </si>
  <si>
    <t>Terajulios</t>
  </si>
  <si>
    <t>1 MPC =</t>
  </si>
  <si>
    <t>MPC</t>
  </si>
  <si>
    <t>Gigavatios-hora</t>
  </si>
  <si>
    <t>1 Gal =</t>
  </si>
  <si>
    <t>lt</t>
  </si>
  <si>
    <t>Miles de toneladas equivalentes de petróleo</t>
  </si>
  <si>
    <t>1 Bl =</t>
  </si>
  <si>
    <t>Bl</t>
  </si>
  <si>
    <t>Giga Unidades Térmicas Británicas</t>
  </si>
  <si>
    <r>
      <t>kTon/CO</t>
    </r>
    <r>
      <rPr>
        <vertAlign val="subscript"/>
        <sz val="8"/>
        <color theme="1"/>
        <rFont val="Calibri"/>
        <family val="2"/>
        <scheme val="minor"/>
      </rPr>
      <t>2</t>
    </r>
  </si>
  <si>
    <r>
      <t>Miles de toneladas equivalentes de CO</t>
    </r>
    <r>
      <rPr>
        <vertAlign val="subscript"/>
        <sz val="8"/>
        <color theme="1"/>
        <rFont val="Calibri"/>
        <family val="2"/>
        <scheme val="minor"/>
      </rPr>
      <t>2</t>
    </r>
  </si>
  <si>
    <t>Miles de toneladas</t>
  </si>
  <si>
    <t>1 kBl =</t>
  </si>
  <si>
    <t>Millones de pies cúbicos</t>
  </si>
  <si>
    <t>1 lt =</t>
  </si>
  <si>
    <t>Miles de barriles</t>
  </si>
  <si>
    <t>1 BTU =</t>
  </si>
  <si>
    <t>Joule</t>
  </si>
  <si>
    <t>BTU</t>
  </si>
  <si>
    <t>1 Wh =</t>
  </si>
  <si>
    <t>Wh</t>
  </si>
  <si>
    <t>FE CH4</t>
  </si>
  <si>
    <t>FECH4EQ</t>
  </si>
  <si>
    <t>N2O</t>
  </si>
  <si>
    <t>FEN2OxEQ</t>
  </si>
  <si>
    <t>PJ/bl*</t>
  </si>
  <si>
    <t>BECO: KER: Keroseno y Jet Fuel</t>
  </si>
  <si>
    <t>BECO: DO: Diesel</t>
  </si>
  <si>
    <t>BECO: GM: Gasolina Motor</t>
  </si>
  <si>
    <t>BECO: PT: Petróleo</t>
  </si>
  <si>
    <t>BECO: GN: Gas natural</t>
  </si>
  <si>
    <t>BECO: FO: Fuel Oil</t>
  </si>
  <si>
    <t>BECO: GL: Gas licuado del Petróleo</t>
  </si>
  <si>
    <t>BECO: AC: Alcohol Carburante</t>
  </si>
  <si>
    <t xml:space="preserve">BECO: BI: Biodiesel </t>
  </si>
  <si>
    <t>Calculo Teorico</t>
  </si>
  <si>
    <t>TJ/kbl*</t>
  </si>
  <si>
    <t>kt/TJ</t>
  </si>
  <si>
    <t>t/TJ</t>
  </si>
  <si>
    <t>si</t>
  </si>
  <si>
    <t>no</t>
  </si>
  <si>
    <t>Fuel Oil N4 - ECP</t>
  </si>
  <si>
    <t xml:space="preserve">Biodiesel palma </t>
  </si>
  <si>
    <t>Gasolina motor</t>
  </si>
  <si>
    <t>Biesel B2</t>
  </si>
  <si>
    <t>Crudo castilla</t>
  </si>
  <si>
    <t>GLP generico usado</t>
  </si>
  <si>
    <t>*Para todos, menos gas natural, las unidades son TJ/Mpc; PJ/kpc</t>
  </si>
  <si>
    <t>Gas natural generico</t>
  </si>
  <si>
    <t>CALCULADORA</t>
  </si>
  <si>
    <t>Refrencia en Calculadora</t>
  </si>
  <si>
    <t>Volumen en mezcla en volumen</t>
  </si>
  <si>
    <t>Gasolina-Etanol, 10%vol,</t>
  </si>
  <si>
    <t>Volumen en la mezcla en energía**</t>
  </si>
  <si>
    <t>Referencia exacta en BECO</t>
  </si>
  <si>
    <t>Referencia exacta en FECOC</t>
  </si>
  <si>
    <t>COMM</t>
  </si>
  <si>
    <t>Sí: GN: Gas natural</t>
  </si>
  <si>
    <t>Sí: BECO: PT: Petróleo</t>
  </si>
  <si>
    <t>Sí: PT: Petróleo</t>
  </si>
  <si>
    <t>Sí: GM: Gasolina Motor</t>
  </si>
  <si>
    <t>Sí: DO: Diesel</t>
  </si>
  <si>
    <t>Sí: KER: Keroseno y Jet Fuel</t>
  </si>
  <si>
    <t>Sí: GL: Gas licuado del Petróleo</t>
  </si>
  <si>
    <t>Sí: FO: Fuel Oil</t>
  </si>
  <si>
    <t>Sí: AC: Alcohol Carburante</t>
  </si>
  <si>
    <t xml:space="preserve">Sí: BI: Biodiesel </t>
  </si>
  <si>
    <t>No: Calculo Teorico</t>
  </si>
  <si>
    <t>Sí: Gas natural generico</t>
  </si>
  <si>
    <t>Sí: Crudo castilla</t>
  </si>
  <si>
    <t>Sí: Gasolina motor</t>
  </si>
  <si>
    <t>No: cercano a Biesel B2</t>
  </si>
  <si>
    <t>No: cercano a Jet A1</t>
  </si>
  <si>
    <t>Sí: GLP generico usado</t>
  </si>
  <si>
    <t>Sí: Fuel Oil N4 - ECP</t>
  </si>
  <si>
    <t>Sí: Etanol anhidro</t>
  </si>
  <si>
    <t xml:space="preserve">Sí: Biodiesel palma </t>
  </si>
  <si>
    <t>No</t>
  </si>
  <si>
    <t>No: calculo teorico</t>
  </si>
  <si>
    <t>Gasolina de aviación</t>
  </si>
  <si>
    <t>Refinery Gas</t>
  </si>
  <si>
    <t>RFG</t>
  </si>
  <si>
    <t>Sí: avgas</t>
  </si>
  <si>
    <t>Sí: GR: Gas de Refinería</t>
  </si>
  <si>
    <t>AVG</t>
  </si>
  <si>
    <t>DAVG</t>
  </si>
  <si>
    <t>Tecnologia para que el AVGAS pueda suplir la demana</t>
  </si>
  <si>
    <t>Aviation gasoline</t>
  </si>
  <si>
    <t>EXP-AVG</t>
  </si>
  <si>
    <t>Exportación de AVGAS</t>
  </si>
  <si>
    <t>IMP-AVG</t>
  </si>
  <si>
    <t>Importación de AVG</t>
  </si>
  <si>
    <t>Demanda de AVG</t>
  </si>
  <si>
    <t>~COMEMI</t>
  </si>
  <si>
    <t>DMOIL</t>
  </si>
  <si>
    <t>DHOIL</t>
  </si>
  <si>
    <t>CO2e-DAVG</t>
  </si>
  <si>
    <t>CO2e-RFG</t>
  </si>
  <si>
    <t>CO2eq de Demanda de AVGAS</t>
  </si>
  <si>
    <t>CO2eq de Demanda de RFG</t>
  </si>
  <si>
    <t>CO2e-Scope3</t>
  </si>
  <si>
    <t>CO2eq de Demande del Scope 3</t>
  </si>
  <si>
    <t>Gasolina-Etanol, 15% vol</t>
  </si>
  <si>
    <t>Diesel-Biodiesel, 15% vol</t>
  </si>
  <si>
    <t>GSL-E15</t>
  </si>
  <si>
    <t>GSL-B10</t>
  </si>
  <si>
    <t>Gasolina mezclada con etanol E15</t>
  </si>
  <si>
    <t>Diesel mezclada con biodiesel B15</t>
  </si>
  <si>
    <t>BLE-GSL-10</t>
  </si>
  <si>
    <t>BLE-DSL-10</t>
  </si>
  <si>
    <t>FTE-ETH</t>
  </si>
  <si>
    <t>FTE-BDSL</t>
  </si>
  <si>
    <t>Tecnologia para que el Ethanol¡ pueda suplir la demana</t>
  </si>
  <si>
    <t>Tecnologia para que el Diesel pueda suplir la demana</t>
  </si>
  <si>
    <t>DETH</t>
  </si>
  <si>
    <t>DBDSL</t>
  </si>
  <si>
    <t>%e de Biodiesel en Diesel</t>
  </si>
  <si>
    <t>%e de Ethanol en Gasolina</t>
  </si>
  <si>
    <t>UP</t>
  </si>
  <si>
    <t>Demanda de Biodiesel</t>
  </si>
  <si>
    <t>Demanda de Ethanol</t>
  </si>
  <si>
    <t>Produccion crudo</t>
  </si>
  <si>
    <t>bpd</t>
  </si>
  <si>
    <t>kbpd</t>
  </si>
  <si>
    <t>Electricidad Produccion</t>
  </si>
  <si>
    <t>Gwh</t>
  </si>
  <si>
    <t>Produccion</t>
  </si>
  <si>
    <t>Electricidad %</t>
  </si>
  <si>
    <t>PJ/PJ</t>
  </si>
  <si>
    <t>Gas utilizada para consumo</t>
  </si>
  <si>
    <t>Mpc/d</t>
  </si>
  <si>
    <t>Gas quemado</t>
  </si>
  <si>
    <t>Emisiones</t>
  </si>
  <si>
    <t>Factor de Utilización</t>
  </si>
  <si>
    <t>Otros</t>
  </si>
  <si>
    <t>MEZCLADOR DE CRUDO</t>
  </si>
  <si>
    <t>Crudo pesado</t>
  </si>
  <si>
    <t>Crudo liviano</t>
  </si>
  <si>
    <t>Crudo pesado*</t>
  </si>
  <si>
    <t>BAR</t>
  </si>
  <si>
    <t>Carga de crudo liviano</t>
  </si>
  <si>
    <t>Total</t>
  </si>
  <si>
    <t>Carga a refineria, bpd</t>
  </si>
  <si>
    <t>CAR</t>
  </si>
  <si>
    <t>Capacidad de carga, kblpd</t>
  </si>
  <si>
    <t>Morillo, J (2020)</t>
  </si>
  <si>
    <t>PICL-2019</t>
  </si>
  <si>
    <t>carga de crudo liviano</t>
  </si>
  <si>
    <t>PICL2019</t>
  </si>
  <si>
    <t>Capacidad de conversión</t>
  </si>
  <si>
    <t>Año que requiere importar liviano</t>
  </si>
  <si>
    <t>Año que requiere importar pesados</t>
  </si>
  <si>
    <t>Jet-fuel</t>
  </si>
  <si>
    <t>Oferta principal de combustibles, volumetrica, bpd</t>
  </si>
  <si>
    <t>Rendimientos, volumetricos</t>
  </si>
  <si>
    <t>Gasolina (incluye nafta)</t>
  </si>
  <si>
    <t>Refinación colombiana</t>
  </si>
  <si>
    <t>ECOPETROL A PICL2019</t>
  </si>
  <si>
    <t>Crudo medios</t>
  </si>
  <si>
    <t>Crudo livianos</t>
  </si>
  <si>
    <t>ECOPETROL a PICL-2019</t>
  </si>
  <si>
    <t>Demanda nacional</t>
  </si>
  <si>
    <t>PICL2021</t>
  </si>
  <si>
    <t>Petroquimicos</t>
  </si>
  <si>
    <t>Otros (incluyendo combustoleo)</t>
  </si>
  <si>
    <t>Tipico en 2021</t>
  </si>
  <si>
    <t>Producción</t>
  </si>
  <si>
    <t>PICL-2021</t>
  </si>
  <si>
    <t>Carga</t>
  </si>
  <si>
    <t>Eficiencia volumetrica</t>
  </si>
  <si>
    <t xml:space="preserve">Rendimiento </t>
  </si>
  <si>
    <t>Producto</t>
  </si>
  <si>
    <t>Actual</t>
  </si>
  <si>
    <t>Modernizada</t>
  </si>
  <si>
    <t>Gasolinas</t>
  </si>
  <si>
    <t>ACPM</t>
  </si>
  <si>
    <t xml:space="preserve">Jet </t>
  </si>
  <si>
    <t>PICL21</t>
  </si>
  <si>
    <t>MEZCLADOR DE PETRÓLEO</t>
  </si>
  <si>
    <t>Carga a la refinería de Barrancabermeja</t>
  </si>
  <si>
    <t>%vol Petróleo pesado</t>
  </si>
  <si>
    <t>%vol Petróleo mediano</t>
  </si>
  <si>
    <t>%vol Petróleo liviano</t>
  </si>
  <si>
    <t>Hidrogeno</t>
  </si>
  <si>
    <t>MIX-OIL-REF1</t>
  </si>
  <si>
    <t>Mezcla de crudos para refineria 1</t>
  </si>
  <si>
    <t>OIL-REF1</t>
  </si>
  <si>
    <t>Petroleo para refineria 1</t>
  </si>
  <si>
    <t>Carga en 2019, kbpd</t>
  </si>
  <si>
    <t>Factor de utilización, 2019</t>
  </si>
  <si>
    <t>Factor de utilización máximo, 2019-2020</t>
  </si>
  <si>
    <t>Year</t>
  </si>
  <si>
    <t>ACT_BND</t>
  </si>
  <si>
    <t>ACT_COST</t>
  </si>
  <si>
    <t>REF1</t>
  </si>
  <si>
    <t>Entrada de productos</t>
  </si>
  <si>
    <t>Entrada de petróleo, kbpd</t>
  </si>
  <si>
    <t>Consumo de hidrogeno, kt/año</t>
  </si>
  <si>
    <t>~FI_T: Share-I</t>
  </si>
  <si>
    <t>ELC-REF1</t>
  </si>
  <si>
    <t>J/kg</t>
  </si>
  <si>
    <t>PJ/t</t>
  </si>
  <si>
    <t>Salidas</t>
  </si>
  <si>
    <t>Diésel</t>
  </si>
  <si>
    <t>Mi modelo</t>
  </si>
  <si>
    <t>~FI_T: Share-O</t>
  </si>
  <si>
    <t>Entrada</t>
  </si>
  <si>
    <t>kton/d</t>
  </si>
  <si>
    <t>Hidrotrtamiento nafta</t>
  </si>
  <si>
    <t>U110 Hidrocraqueo</t>
  </si>
  <si>
    <t>Hidrotratamiento de diesel</t>
  </si>
  <si>
    <t>kt/año</t>
  </si>
  <si>
    <t>Kbpd</t>
  </si>
  <si>
    <t>Refinery Gas, MMPCSD</t>
  </si>
  <si>
    <t>Nafta</t>
  </si>
  <si>
    <t>kg/m3</t>
  </si>
  <si>
    <t>kg</t>
  </si>
  <si>
    <t>t/d</t>
  </si>
  <si>
    <t>t/año</t>
  </si>
  <si>
    <t>nm3 de gas natural</t>
  </si>
  <si>
    <t>nm3</t>
  </si>
  <si>
    <t>scf</t>
  </si>
  <si>
    <t>Mscf</t>
  </si>
  <si>
    <t>%voL</t>
  </si>
  <si>
    <t>%e</t>
  </si>
  <si>
    <t>Energy</t>
  </si>
  <si>
    <t>R UO</t>
  </si>
  <si>
    <t>Subtotal</t>
  </si>
  <si>
    <t>Carga para las salidas</t>
  </si>
  <si>
    <r>
      <t>%E</t>
    </r>
    <r>
      <rPr>
        <b/>
        <vertAlign val="subscript"/>
        <sz val="11"/>
        <color theme="1"/>
        <rFont val="Calibri"/>
        <family val="2"/>
        <scheme val="minor"/>
      </rPr>
      <t>subtotal</t>
    </r>
  </si>
  <si>
    <r>
      <t>%V</t>
    </r>
    <r>
      <rPr>
        <b/>
        <vertAlign val="subscript"/>
        <sz val="11"/>
        <color theme="1"/>
        <rFont val="Calibri"/>
        <family val="2"/>
        <scheme val="minor"/>
      </rPr>
      <t>subtotal</t>
    </r>
  </si>
  <si>
    <t>-</t>
  </si>
  <si>
    <t>REFINERIA: SALIDAS</t>
  </si>
  <si>
    <t>REFINERÍA: ENTRADAS</t>
  </si>
  <si>
    <t>REFINERIA: DATOS GENERALES</t>
  </si>
  <si>
    <t>Capacidad nominal, kbpd</t>
  </si>
  <si>
    <t>Eficiencia de conversión petróleo Subtotal</t>
  </si>
  <si>
    <t>Eficiencia de conversión petróleo Total</t>
  </si>
  <si>
    <t>OPEX (sin electricidad), USD2019</t>
  </si>
  <si>
    <t>REFINERIA: ENTRADA: PRODUCCION DE HIDROGENO GRIS (SMR)</t>
  </si>
  <si>
    <t>MW</t>
  </si>
  <si>
    <t>Relación H2 por natural gas, MW / MW H2</t>
  </si>
  <si>
    <t>PJ/PJ H2</t>
  </si>
  <si>
    <t>OPEX (MUSD/kg H2)</t>
  </si>
  <si>
    <t>Capacidad máxima</t>
  </si>
  <si>
    <t>REFINERIA: ENTRADA: PRODUCCION DE ELECTRICIDAD</t>
  </si>
  <si>
    <t>Entradas</t>
  </si>
  <si>
    <t>Gas Natural, MPCD</t>
  </si>
  <si>
    <t>UO*</t>
  </si>
  <si>
    <t xml:space="preserve">R: </t>
  </si>
  <si>
    <t>PJ RFG per PJ electricity</t>
  </si>
  <si>
    <t>PJ Natural Gas per PJ Electricity</t>
  </si>
  <si>
    <t>Capacidad de generación</t>
  </si>
  <si>
    <t>Refineria 1 - Reficar</t>
  </si>
  <si>
    <t>Electricidad usada en refineria 1</t>
  </si>
  <si>
    <t>H2-REF1</t>
  </si>
  <si>
    <t>Hidrogeno usado en la refineria 1</t>
  </si>
  <si>
    <t>SMR-REF1</t>
  </si>
  <si>
    <t>SMR en la refineria 1</t>
  </si>
  <si>
    <t>AUTO-REF1</t>
  </si>
  <si>
    <t>Autogeneracion en refineria 1</t>
  </si>
  <si>
    <t>Compra de electricidad en refineria 1</t>
  </si>
  <si>
    <t>Vapor</t>
  </si>
  <si>
    <t>Electricidad en refinerias</t>
  </si>
  <si>
    <t>Electricidad en Reficar</t>
  </si>
  <si>
    <t>Electricidad en Barranca</t>
  </si>
  <si>
    <t>lbm</t>
  </si>
  <si>
    <t>1000 BTU/lbm</t>
  </si>
  <si>
    <t>t</t>
  </si>
  <si>
    <t>Vapor, 2019</t>
  </si>
  <si>
    <t>Vapor, lbm</t>
  </si>
  <si>
    <t>Consumo de electricidad, 2018, Gw-h/año</t>
  </si>
  <si>
    <t>PJ generated steam per PJ electricity</t>
  </si>
  <si>
    <t>RG</t>
  </si>
  <si>
    <t>BC: 1</t>
  </si>
  <si>
    <t>STEAM-DRM-REF1</t>
  </si>
  <si>
    <t>Vapor para refineria 1</t>
  </si>
  <si>
    <t xml:space="preserve">POSIBILIDAD DE COMPRA DE ELC </t>
  </si>
  <si>
    <t>Consumo de vapor</t>
  </si>
  <si>
    <t>PJ steam/PJ de barril</t>
  </si>
  <si>
    <t>Renergy, PJ por PJ oil</t>
  </si>
  <si>
    <t>kbl</t>
  </si>
  <si>
    <t>JET</t>
  </si>
  <si>
    <t>Ef gas</t>
  </si>
  <si>
    <t>Ef comb</t>
  </si>
  <si>
    <t>Ef vapor</t>
  </si>
  <si>
    <t>Eficiencia combinada</t>
  </si>
  <si>
    <t>Eficiencia electrica</t>
  </si>
  <si>
    <t>Carga a la refinería de Cartagena</t>
  </si>
  <si>
    <t>%vol</t>
  </si>
  <si>
    <t>AVGAS</t>
  </si>
  <si>
    <t>LEAP</t>
  </si>
  <si>
    <t>MIX-OIL-REF2</t>
  </si>
  <si>
    <t>REF2</t>
  </si>
  <si>
    <t>SMR-REF2</t>
  </si>
  <si>
    <t>AUTO-REF2</t>
  </si>
  <si>
    <t>COMPRA-ELC-REF2</t>
  </si>
  <si>
    <t>OIL-REF2</t>
  </si>
  <si>
    <t>ELC-REF2</t>
  </si>
  <si>
    <t>H2-REF2</t>
  </si>
  <si>
    <t>STEAM-DRM-REF2</t>
  </si>
  <si>
    <t>Drumm gas</t>
  </si>
  <si>
    <t>NG</t>
  </si>
  <si>
    <t>Table Name:</t>
  </si>
  <si>
    <t>Unsaved_15215</t>
  </si>
  <si>
    <t>Commodity</t>
  </si>
  <si>
    <t>VAR_FIn</t>
  </si>
  <si>
    <t>RFG1</t>
  </si>
  <si>
    <t>RFG2</t>
  </si>
  <si>
    <t>Refinery Gas de la refineria 1</t>
  </si>
  <si>
    <t>Refinery Gas de la refineria 2</t>
  </si>
  <si>
    <t>FTE-GAS-REF1</t>
  </si>
  <si>
    <t>FTE-HFO-REF2</t>
  </si>
  <si>
    <t>Gas utilizado en refineria 1</t>
  </si>
  <si>
    <t>HFO utilizado en refineria 1</t>
  </si>
  <si>
    <t>Mezcla de crudos para refineria 2</t>
  </si>
  <si>
    <t>Refineria 2</t>
  </si>
  <si>
    <t>SMR en la refineria 2</t>
  </si>
  <si>
    <t>Autogeneracion en refineria 2</t>
  </si>
  <si>
    <t>Compra de electricidad en refineria 2</t>
  </si>
  <si>
    <t>Gas utilizado en refineria 2</t>
  </si>
  <si>
    <t>HFO utilizado en refineria 2</t>
  </si>
  <si>
    <t>GAS-REF2</t>
  </si>
  <si>
    <t>HFO-REF2</t>
  </si>
  <si>
    <t>FTE-GAS-REF2</t>
  </si>
  <si>
    <t>GAS-REF1</t>
  </si>
  <si>
    <t>HFO-REF1</t>
  </si>
  <si>
    <t>FTE-HFO-REF1</t>
  </si>
  <si>
    <t>Proceso para que el gas se use en refineria 1</t>
  </si>
  <si>
    <t>Proceso para que el HFO se use en refineria 1</t>
  </si>
  <si>
    <t>Proceso para que el gas se use en refineria 2</t>
  </si>
  <si>
    <t>Proceso para que el HFO se use en refineria 2</t>
  </si>
  <si>
    <t>Refinerias</t>
  </si>
  <si>
    <t>CO2eq en Refineria 1</t>
  </si>
  <si>
    <t>CO2e-REF1</t>
  </si>
  <si>
    <t>CO2e-REF2</t>
  </si>
  <si>
    <t>SIN</t>
  </si>
  <si>
    <t>kgCO2/kwh</t>
  </si>
  <si>
    <t>kt CO2/Kwh</t>
  </si>
  <si>
    <t>SCOPE 3</t>
  </si>
  <si>
    <t>kt CO2/Gwh</t>
  </si>
  <si>
    <t>kt CO2/PJ</t>
  </si>
  <si>
    <t>~FI_T: INPUT</t>
  </si>
  <si>
    <t>ENV_ACT</t>
  </si>
  <si>
    <t>Petroleo para refineria 2</t>
  </si>
  <si>
    <t>Electricidad usada en refineria 2</t>
  </si>
  <si>
    <t>Hidrogeno usado en la refineria 2</t>
  </si>
  <si>
    <t>Vapor para refineria 2</t>
  </si>
  <si>
    <t>COMPRA-ELC-REF1</t>
  </si>
  <si>
    <t>Oil classification by API gravity</t>
  </si>
  <si>
    <t>Plan de Abastecimiento Liquido, 2021</t>
  </si>
  <si>
    <t>American Petroleum Institute</t>
  </si>
  <si>
    <t>Legislacion colombiana, API</t>
  </si>
  <si>
    <t>Lower limit</t>
  </si>
  <si>
    <t>Upper Limit</t>
  </si>
  <si>
    <t>Extra Heavy Oil</t>
  </si>
  <si>
    <t>Heavy Oil</t>
  </si>
  <si>
    <t>Medium Oil</t>
  </si>
  <si>
    <t>Light Oil</t>
  </si>
  <si>
    <t>2019, MPC/D</t>
  </si>
  <si>
    <t>offshore</t>
  </si>
  <si>
    <t>Deparment</t>
  </si>
  <si>
    <t>Company</t>
  </si>
  <si>
    <t>City-town-location</t>
  </si>
  <si>
    <t>Basin</t>
  </si>
  <si>
    <t>Oilfield</t>
  </si>
  <si>
    <t>API Gravity</t>
  </si>
  <si>
    <t>Type of Oil producing</t>
  </si>
  <si>
    <r>
      <t>G</t>
    </r>
    <r>
      <rPr>
        <b/>
        <vertAlign val="subscript"/>
        <sz val="14"/>
        <color theme="1"/>
        <rFont val="Calibri"/>
        <family val="2"/>
        <scheme val="minor"/>
      </rPr>
      <t>FISCA</t>
    </r>
  </si>
  <si>
    <r>
      <t>G</t>
    </r>
    <r>
      <rPr>
        <b/>
        <vertAlign val="subscript"/>
        <sz val="14"/>
        <color theme="1"/>
        <rFont val="Calibri"/>
        <family val="2"/>
        <scheme val="minor"/>
      </rPr>
      <t>USOS</t>
    </r>
  </si>
  <si>
    <r>
      <t>G</t>
    </r>
    <r>
      <rPr>
        <b/>
        <vertAlign val="subscript"/>
        <sz val="14"/>
        <color theme="1"/>
        <rFont val="Calibri"/>
        <family val="2"/>
        <scheme val="minor"/>
      </rPr>
      <t>COMM</t>
    </r>
  </si>
  <si>
    <r>
      <t>G</t>
    </r>
    <r>
      <rPr>
        <b/>
        <vertAlign val="subscript"/>
        <sz val="14"/>
        <color theme="1"/>
        <rFont val="Calibri"/>
        <family val="2"/>
        <scheme val="minor"/>
      </rPr>
      <t>FISC</t>
    </r>
  </si>
  <si>
    <r>
      <t>G</t>
    </r>
    <r>
      <rPr>
        <b/>
        <vertAlign val="subscript"/>
        <sz val="14"/>
        <color theme="1"/>
        <rFont val="Calibri"/>
        <family val="2"/>
        <scheme val="minor"/>
      </rPr>
      <t>sla</t>
    </r>
  </si>
  <si>
    <r>
      <t>G</t>
    </r>
    <r>
      <rPr>
        <b/>
        <vertAlign val="subscript"/>
        <sz val="14"/>
        <color theme="1"/>
        <rFont val="Calibri"/>
        <family val="2"/>
        <scheme val="minor"/>
      </rPr>
      <t>REI</t>
    </r>
  </si>
  <si>
    <r>
      <t>G</t>
    </r>
    <r>
      <rPr>
        <b/>
        <vertAlign val="subscript"/>
        <sz val="14"/>
        <color theme="1"/>
        <rFont val="Calibri"/>
        <family val="2"/>
        <scheme val="minor"/>
      </rPr>
      <t>CONS</t>
    </r>
  </si>
  <si>
    <r>
      <t>G</t>
    </r>
    <r>
      <rPr>
        <b/>
        <vertAlign val="subscript"/>
        <sz val="14"/>
        <color theme="1"/>
        <rFont val="Calibri"/>
        <family val="2"/>
        <scheme val="minor"/>
      </rPr>
      <t>FLA</t>
    </r>
  </si>
  <si>
    <r>
      <t>G</t>
    </r>
    <r>
      <rPr>
        <b/>
        <vertAlign val="subscript"/>
        <sz val="14"/>
        <color theme="1"/>
        <rFont val="Calibri"/>
        <family val="2"/>
        <scheme val="minor"/>
      </rPr>
      <t>PLANT</t>
    </r>
  </si>
  <si>
    <r>
      <t>G</t>
    </r>
    <r>
      <rPr>
        <b/>
        <vertAlign val="subscript"/>
        <sz val="14"/>
        <color theme="1"/>
        <rFont val="Calibri"/>
        <family val="2"/>
        <scheme val="minor"/>
      </rPr>
      <t>TRANS</t>
    </r>
  </si>
  <si>
    <r>
      <t>G</t>
    </r>
    <r>
      <rPr>
        <b/>
        <vertAlign val="subscript"/>
        <sz val="14"/>
        <color theme="1"/>
        <rFont val="Calibri"/>
        <family val="2"/>
        <scheme val="minor"/>
      </rPr>
      <t>PIPE</t>
    </r>
  </si>
  <si>
    <r>
      <t>O</t>
    </r>
    <r>
      <rPr>
        <b/>
        <vertAlign val="subscript"/>
        <sz val="14"/>
        <color theme="1"/>
        <rFont val="Calibri"/>
        <family val="2"/>
        <scheme val="minor"/>
      </rPr>
      <t>FISCA</t>
    </r>
  </si>
  <si>
    <r>
      <t>G</t>
    </r>
    <r>
      <rPr>
        <b/>
        <vertAlign val="subscript"/>
        <sz val="14"/>
        <color theme="1"/>
        <rFont val="Calibri"/>
        <family val="2"/>
        <scheme val="minor"/>
      </rPr>
      <t>FISC</t>
    </r>
    <r>
      <rPr>
        <b/>
        <sz val="14"/>
        <color theme="1"/>
        <rFont val="Calibri"/>
        <family val="2"/>
        <scheme val="minor"/>
      </rPr>
      <t xml:space="preserve"> - G</t>
    </r>
    <r>
      <rPr>
        <b/>
        <vertAlign val="subscript"/>
        <sz val="14"/>
        <color theme="1"/>
        <rFont val="Calibri"/>
        <family val="2"/>
        <scheme val="minor"/>
      </rPr>
      <t>REI</t>
    </r>
  </si>
  <si>
    <t>ECP</t>
  </si>
  <si>
    <t>Yondo</t>
  </si>
  <si>
    <t>VMM</t>
  </si>
  <si>
    <t>Casabe</t>
  </si>
  <si>
    <t>Puerto Nare</t>
  </si>
  <si>
    <t>Area Teca-Corcona</t>
  </si>
  <si>
    <t>Aguazul</t>
  </si>
  <si>
    <t>Llanos Orientales</t>
  </si>
  <si>
    <t>Cupiagua (Cupiagua + Liria + Sur)</t>
  </si>
  <si>
    <t>Tauramena</t>
  </si>
  <si>
    <t>Cusiana (Cusiana + Norte)</t>
  </si>
  <si>
    <t>Yopal</t>
  </si>
  <si>
    <t>Pauto Sur (Sur + Recetor)</t>
  </si>
  <si>
    <t>Floreña (Floreña + Mirador)</t>
  </si>
  <si>
    <t>Aipe</t>
  </si>
  <si>
    <t>VSM</t>
  </si>
  <si>
    <t>Dina</t>
  </si>
  <si>
    <t>Neiva/Palermo</t>
  </si>
  <si>
    <t>San Francisco</t>
  </si>
  <si>
    <t>Neiva</t>
  </si>
  <si>
    <t>Tello</t>
  </si>
  <si>
    <t>Manaure</t>
  </si>
  <si>
    <t>Guajira</t>
  </si>
  <si>
    <t>Chuchupa</t>
  </si>
  <si>
    <t>Ballena</t>
  </si>
  <si>
    <t>Puerto Gaitan</t>
  </si>
  <si>
    <t>Rubiales</t>
  </si>
  <si>
    <t>Acacias/Castilla Nueva</t>
  </si>
  <si>
    <t>Castilla (c, e, n, n)</t>
  </si>
  <si>
    <t>Acacias/Guamal</t>
  </si>
  <si>
    <t>Chichimene</t>
  </si>
  <si>
    <t>Akacias</t>
  </si>
  <si>
    <t>Villavicencio</t>
  </si>
  <si>
    <t>Apiay</t>
  </si>
  <si>
    <t>Toledo</t>
  </si>
  <si>
    <t>Gibraltar</t>
  </si>
  <si>
    <t>Orito</t>
  </si>
  <si>
    <t>Putumayo</t>
  </si>
  <si>
    <t>Puerto Wilches</t>
  </si>
  <si>
    <t>Yarigui-Cantagallo</t>
  </si>
  <si>
    <t>Barrancabermeja</t>
  </si>
  <si>
    <t>La Cira</t>
  </si>
  <si>
    <t>MI MODELO</t>
  </si>
  <si>
    <t>ANTIOQUIA</t>
  </si>
  <si>
    <t>CASANARE</t>
  </si>
  <si>
    <t>CESAR</t>
  </si>
  <si>
    <t>CUNDINAMARCA</t>
  </si>
  <si>
    <t>HUILA</t>
  </si>
  <si>
    <t>META</t>
  </si>
  <si>
    <t>NORTE DE SANTANDER</t>
  </si>
  <si>
    <t>PUTUMAYO</t>
  </si>
  <si>
    <t>SANTANDER</t>
  </si>
  <si>
    <t>SUCRE</t>
  </si>
  <si>
    <t>TOLIMA</t>
  </si>
  <si>
    <t>BOLIVAR</t>
  </si>
  <si>
    <t>GJ</t>
  </si>
  <si>
    <t>Boe</t>
  </si>
  <si>
    <t>Proyecciones</t>
  </si>
  <si>
    <t>RR (Mmboe)</t>
  </si>
  <si>
    <t>%O</t>
  </si>
  <si>
    <t>%G</t>
  </si>
  <si>
    <t>Tipo de campo</t>
  </si>
  <si>
    <t>O (Mmboe)</t>
  </si>
  <si>
    <t>G (bcf)</t>
  </si>
  <si>
    <t>G (1000 Mpc)</t>
  </si>
  <si>
    <t>Si</t>
  </si>
  <si>
    <t>Apiay Este</t>
  </si>
  <si>
    <t>Casabe Sur</t>
  </si>
  <si>
    <t>Castilla</t>
  </si>
  <si>
    <t>Castilla Este</t>
  </si>
  <si>
    <t>Castilla Norte</t>
  </si>
  <si>
    <t>Chichimene SW</t>
  </si>
  <si>
    <t>Cupiagua</t>
  </si>
  <si>
    <t>sis</t>
  </si>
  <si>
    <t>Cupiagua Liria</t>
  </si>
  <si>
    <t>Cupiagua Sur</t>
  </si>
  <si>
    <t>Cusiana</t>
  </si>
  <si>
    <t>Cusiana Norte</t>
  </si>
  <si>
    <t>Dina Cretaceos</t>
  </si>
  <si>
    <t>Dina Norte</t>
  </si>
  <si>
    <t>Dina Terciarios</t>
  </si>
  <si>
    <t>Florena</t>
  </si>
  <si>
    <t>Florena Mirador</t>
  </si>
  <si>
    <t>Infantas</t>
  </si>
  <si>
    <t>Pauto Sur</t>
  </si>
  <si>
    <t>Pauto Sur Recetor</t>
  </si>
  <si>
    <t>Teca</t>
  </si>
  <si>
    <t>Yarigui</t>
  </si>
  <si>
    <t>Pauto</t>
  </si>
  <si>
    <t>O, boe</t>
  </si>
  <si>
    <t xml:space="preserve">Cupiagua </t>
  </si>
  <si>
    <t>G, boe</t>
  </si>
  <si>
    <t>G, MPC</t>
  </si>
  <si>
    <t>G</t>
  </si>
  <si>
    <t>M</t>
  </si>
  <si>
    <t>I</t>
  </si>
  <si>
    <t>EL</t>
  </si>
  <si>
    <t>Proyecciones, Boe/d</t>
  </si>
  <si>
    <t>Pendiente (Bpd/año)</t>
  </si>
  <si>
    <t>TJ/kbl</t>
  </si>
  <si>
    <t>TJ/bl</t>
  </si>
  <si>
    <t>GJ/bl</t>
  </si>
  <si>
    <t>Proyecciones, PJ/año</t>
  </si>
  <si>
    <t>PENDIENTE (PJ/año)/año</t>
  </si>
  <si>
    <t>MPC/d</t>
  </si>
  <si>
    <t>OFISCA</t>
  </si>
  <si>
    <t>Gas fiscalizado - Reinyección</t>
  </si>
  <si>
    <t>PJ/año</t>
  </si>
  <si>
    <t>O fiscalizado</t>
  </si>
  <si>
    <t>LLO - Liviano</t>
  </si>
  <si>
    <t xml:space="preserve">GU </t>
  </si>
  <si>
    <t>LLO - Pesado</t>
  </si>
  <si>
    <t>PU - Liviano</t>
  </si>
  <si>
    <t>VSM - Medio</t>
  </si>
  <si>
    <t>VMM - Medio</t>
  </si>
  <si>
    <t>%</t>
  </si>
  <si>
    <t>Eficiencia</t>
  </si>
  <si>
    <t>Petroleo sobre salida</t>
  </si>
  <si>
    <t>Petroleo con mejora eficiencia</t>
  </si>
  <si>
    <t>CAM</t>
  </si>
  <si>
    <t>BASIN</t>
  </si>
  <si>
    <t>Potencial (PJ/año)/año</t>
  </si>
  <si>
    <t>CUM</t>
  </si>
  <si>
    <t>COST</t>
  </si>
  <si>
    <t>Fluidos del campo 1</t>
  </si>
  <si>
    <t>Fluidos del campo 2</t>
  </si>
  <si>
    <t>Fluidos del campo 3</t>
  </si>
  <si>
    <t>Fluidos del campo 4</t>
  </si>
  <si>
    <t>Fluidos del campo 5</t>
  </si>
  <si>
    <t>Fluidos del campo 6</t>
  </si>
  <si>
    <t>ACT_BND~2019</t>
  </si>
  <si>
    <t>Separador del campo 1</t>
  </si>
  <si>
    <t>Separador del campo 2</t>
  </si>
  <si>
    <t>Separador del campo 3</t>
  </si>
  <si>
    <t>Separador del campo 4</t>
  </si>
  <si>
    <t>Separador del campo 5</t>
  </si>
  <si>
    <t>Separador del campo 6</t>
  </si>
  <si>
    <t>Share-O~UP</t>
  </si>
  <si>
    <t>COL-GAS</t>
  </si>
  <si>
    <t>COL-LOIL</t>
  </si>
  <si>
    <t>COL-MOIL</t>
  </si>
  <si>
    <t>COL-HOIL</t>
  </si>
  <si>
    <t>Colector de Gas</t>
  </si>
  <si>
    <t>Colector de Loil</t>
  </si>
  <si>
    <t>Colector de Moil</t>
  </si>
  <si>
    <t>Colector de Hoil</t>
  </si>
  <si>
    <t>Mboe</t>
  </si>
  <si>
    <t>Gas transformado</t>
  </si>
  <si>
    <t>Planta del campo 1</t>
  </si>
  <si>
    <t>Planta del campo 2</t>
  </si>
  <si>
    <t>Planta del campo 3</t>
  </si>
  <si>
    <t>Planta del campo 4</t>
  </si>
  <si>
    <t>Planta del campo 5</t>
  </si>
  <si>
    <t>Planta del campo 6</t>
  </si>
  <si>
    <t>Gas planta</t>
  </si>
  <si>
    <t>GAS-CAM4</t>
  </si>
  <si>
    <t>PLT-CAM2</t>
  </si>
  <si>
    <t>PLT-CAM3</t>
  </si>
  <si>
    <t>PLT-CAM4</t>
  </si>
  <si>
    <t>PLT-CAM5</t>
  </si>
  <si>
    <t>PLT-CAM6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</si>
</sst>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43" formatCode="_-* #,##0.00_-;\-* #,##0.00_-;_-* &quot;-&quot;??_-;_-@_-"/>
    <numFmt numFmtId="164" formatCode="0.0"/>
    <numFmt numFmtId="165" formatCode="\Te\x\t"/>
    <numFmt numFmtId="166" formatCode="0.000"/>
    <numFmt numFmtId="167" formatCode="_-* #,##0.000_-;\-* #,##0.000_-;_-* &quot;-&quot;??_-;_-@_-"/>
    <numFmt numFmtId="168" formatCode="_-* #,##0.00000_-;\-* #,##0.00000_-;_-* &quot;-&quot;??_-;_-@_-"/>
    <numFmt numFmtId="169" formatCode="_-* #,##0_-;\-* #,##0_-;_-* &quot;-&quot;??_-;_-@_-"/>
    <numFmt numFmtId="170" formatCode="_-* #,##0.0_-;\-* #,##0.0_-;_-* &quot;-&quot;??_-;_-@_-"/>
    <numFmt numFmtId="171" formatCode="0.0000"/>
    <numFmt numFmtId="172" formatCode="_-* #,##0.00\ _€_-;\-* #,##0.00\ _€_-;_-* &quot;-&quot;??\ _€_-;_-@_-"/>
    <numFmt numFmtId="173" formatCode="_-* #,##0.000000_-;\-* #,##0.000000_-;_-* &quot;-&quot;??_-;_-@_-"/>
    <numFmt numFmtId="174" formatCode="_-* #,##0.0000_-;\-* #,##0.0000_-;_-* &quot;-&quot;??_-;_-@_-"/>
    <numFmt numFmtId="175" formatCode="0.0%"/>
    <numFmt numFmtId="176" formatCode="0.0E+00"/>
    <numFmt numFmtId="177" formatCode="_-* #,##0.000_-;\-* #,##0.000_-;_-* &quot;-&quot;???_-;_-@_-"/>
    <numFmt numFmtId="178" formatCode="0.000%"/>
    <numFmt numFmtId="179" formatCode="0.000000000"/>
    <numFmt numFmtId="180" formatCode="0.000000"/>
    <numFmt numFmtId="181" formatCode="0.00000"/>
    <numFmt numFmtId="182" formatCode="_-* #,##0.0000000_-;\-* #,##0.0000000_-;_-* &quot;-&quot;??_-;_-@_-"/>
    <numFmt numFmtId="183" formatCode="0.0000%"/>
    <numFmt numFmtId="184" formatCode="0.0000000%"/>
  </numFmts>
  <fonts count="59" x14ac:knownFonts="1">
    <font>
      <sz val="11"/>
      <color theme="1"/>
      <name val="Calibri"/>
      <family val="2"/>
      <scheme val="minor"/>
    </font>
    <font>
      <sz val="11"/>
      <color theme="1"/>
      <name val="Calibri"/>
      <family val="2"/>
      <scheme val="minor"/>
    </font>
    <font>
      <sz val="10"/>
      <name val="Arial"/>
      <family val="2"/>
    </font>
    <font>
      <b/>
      <sz val="10"/>
      <color indexed="12"/>
      <name val="Arial"/>
      <family val="2"/>
    </font>
    <font>
      <b/>
      <sz val="10"/>
      <name val="Arial"/>
      <family val="2"/>
    </font>
    <font>
      <sz val="8"/>
      <color theme="1"/>
      <name val="Arial"/>
      <family val="2"/>
    </font>
    <font>
      <sz val="8"/>
      <color indexed="81"/>
      <name val="Tahoma"/>
      <family val="2"/>
    </font>
    <font>
      <b/>
      <sz val="8"/>
      <color indexed="81"/>
      <name val="Tahoma"/>
      <family val="2"/>
    </font>
    <font>
      <sz val="8"/>
      <name val="Calibri"/>
      <family val="2"/>
      <scheme val="minor"/>
    </font>
    <font>
      <sz val="11"/>
      <color rgb="FFFF0000"/>
      <name val="Calibri"/>
      <family val="2"/>
      <scheme val="minor"/>
    </font>
    <font>
      <b/>
      <sz val="11"/>
      <color theme="1"/>
      <name val="Calibri"/>
      <family val="2"/>
      <scheme val="minor"/>
    </font>
    <font>
      <sz val="10"/>
      <name val="Calibri"/>
      <family val="2"/>
      <scheme val="minor"/>
    </font>
    <font>
      <b/>
      <sz val="10"/>
      <color indexed="12"/>
      <name val="Calibri"/>
      <family val="2"/>
      <scheme val="minor"/>
    </font>
    <font>
      <b/>
      <sz val="10"/>
      <name val="Calibri"/>
      <family val="2"/>
      <scheme val="minor"/>
    </font>
    <font>
      <b/>
      <sz val="10"/>
      <color rgb="FF0000FF"/>
      <name val="Calibri"/>
      <family val="2"/>
      <scheme val="minor"/>
    </font>
    <font>
      <sz val="10"/>
      <color theme="1"/>
      <name val="Calibri"/>
      <family val="2"/>
      <scheme val="minor"/>
    </font>
    <font>
      <b/>
      <sz val="8"/>
      <color theme="0"/>
      <name val="Calibri"/>
      <family val="2"/>
      <scheme val="minor"/>
    </font>
    <font>
      <b/>
      <sz val="8"/>
      <color theme="1"/>
      <name val="Calibri"/>
      <family val="2"/>
      <scheme val="minor"/>
    </font>
    <font>
      <b/>
      <vertAlign val="subscript"/>
      <sz val="8"/>
      <color theme="1"/>
      <name val="Calibri"/>
      <family val="2"/>
      <scheme val="minor"/>
    </font>
    <font>
      <sz val="8"/>
      <color theme="1"/>
      <name val="Calibri"/>
      <family val="2"/>
      <scheme val="minor"/>
    </font>
    <font>
      <i/>
      <sz val="8"/>
      <color theme="1"/>
      <name val="Calibri"/>
      <family val="2"/>
      <scheme val="minor"/>
    </font>
    <font>
      <i/>
      <sz val="8"/>
      <color rgb="FFC00000"/>
      <name val="Calibri"/>
      <family val="2"/>
      <scheme val="minor"/>
    </font>
    <font>
      <b/>
      <sz val="8"/>
      <color rgb="FFC00000"/>
      <name val="Calibri"/>
      <family val="2"/>
      <scheme val="minor"/>
    </font>
    <font>
      <b/>
      <sz val="9"/>
      <color indexed="81"/>
      <name val="Tahoma"/>
      <family val="2"/>
    </font>
    <font>
      <sz val="9"/>
      <color indexed="81"/>
      <name val="Tahoma"/>
      <family val="2"/>
    </font>
    <font>
      <b/>
      <sz val="11"/>
      <color theme="5" tint="-0.249977111117893"/>
      <name val="Calibri"/>
      <family val="2"/>
      <scheme val="minor"/>
    </font>
    <font>
      <sz val="10"/>
      <color rgb="FFFF0000"/>
      <name val="Calibri"/>
      <family val="2"/>
      <scheme val="minor"/>
    </font>
    <font>
      <b/>
      <sz val="10"/>
      <color theme="1"/>
      <name val="Calibri"/>
      <family val="2"/>
      <scheme val="minor"/>
    </font>
    <font>
      <sz val="9"/>
      <color theme="1"/>
      <name val="Calibri"/>
      <family val="2"/>
      <scheme val="minor"/>
    </font>
    <font>
      <vertAlign val="subscript"/>
      <sz val="8"/>
      <color theme="1"/>
      <name val="Calibri"/>
      <family val="2"/>
      <scheme val="minor"/>
    </font>
    <font>
      <b/>
      <sz val="10"/>
      <color rgb="FFFF0000"/>
      <name val="Calibri"/>
      <family val="2"/>
      <scheme val="minor"/>
    </font>
    <font>
      <b/>
      <sz val="12"/>
      <color theme="1"/>
      <name val="Calibri"/>
      <family val="2"/>
      <scheme val="minor"/>
    </font>
    <font>
      <sz val="11"/>
      <color theme="0" tint="-0.34998626667073579"/>
      <name val="Calibri"/>
      <family val="2"/>
      <scheme val="minor"/>
    </font>
    <font>
      <b/>
      <sz val="11"/>
      <color theme="0" tint="-0.34998626667073579"/>
      <name val="Calibri"/>
      <family val="2"/>
      <scheme val="minor"/>
    </font>
    <font>
      <sz val="11"/>
      <color theme="0" tint="-0.249977111117893"/>
      <name val="Calibri"/>
      <family val="2"/>
      <scheme val="minor"/>
    </font>
    <font>
      <sz val="9"/>
      <color indexed="81"/>
      <name val="Tahoma"/>
      <charset val="1"/>
    </font>
    <font>
      <b/>
      <sz val="9"/>
      <color indexed="81"/>
      <name val="Tahoma"/>
      <charset val="1"/>
    </font>
    <font>
      <sz val="8"/>
      <color theme="0" tint="-0.34998626667073579"/>
      <name val="Calibri"/>
      <family val="2"/>
      <scheme val="minor"/>
    </font>
    <font>
      <b/>
      <sz val="11"/>
      <color rgb="FF0000FF"/>
      <name val="Calibri"/>
      <family val="2"/>
    </font>
    <font>
      <sz val="11"/>
      <color theme="1"/>
      <name val="Calibri"/>
      <family val="2"/>
    </font>
    <font>
      <b/>
      <sz val="11"/>
      <color indexed="12"/>
      <name val="Calibri"/>
      <family val="2"/>
    </font>
    <font>
      <b/>
      <sz val="11"/>
      <name val="Calibri"/>
      <family val="2"/>
    </font>
    <font>
      <sz val="11"/>
      <name val="Calibri"/>
      <family val="2"/>
    </font>
    <font>
      <b/>
      <sz val="11"/>
      <color rgb="FF0000FF"/>
      <name val="Calibri"/>
      <family val="2"/>
      <scheme val="minor"/>
    </font>
    <font>
      <sz val="11"/>
      <name val="Calibri"/>
      <family val="2"/>
      <scheme val="minor"/>
    </font>
    <font>
      <b/>
      <sz val="11"/>
      <name val="Calibri"/>
      <family val="2"/>
      <scheme val="minor"/>
    </font>
    <font>
      <sz val="11"/>
      <color theme="0" tint="-0.499984740745262"/>
      <name val="Calibri"/>
      <family val="2"/>
      <scheme val="minor"/>
    </font>
    <font>
      <sz val="11"/>
      <color rgb="FF00B050"/>
      <name val="Calibri"/>
      <family val="2"/>
      <scheme val="minor"/>
    </font>
    <font>
      <b/>
      <vertAlign val="subscript"/>
      <sz val="11"/>
      <color theme="1"/>
      <name val="Calibri"/>
      <family val="2"/>
      <scheme val="minor"/>
    </font>
    <font>
      <b/>
      <sz val="11"/>
      <color rgb="FF00B050"/>
      <name val="Calibri"/>
      <family val="2"/>
      <scheme val="minor"/>
    </font>
    <font>
      <sz val="10"/>
      <color theme="1"/>
      <name val="Arial"/>
      <family val="2"/>
    </font>
    <font>
      <b/>
      <sz val="11"/>
      <color indexed="12"/>
      <name val="Calibri"/>
      <family val="2"/>
      <scheme val="minor"/>
    </font>
    <font>
      <b/>
      <sz val="14"/>
      <color theme="1"/>
      <name val="Calibri"/>
      <family val="2"/>
      <scheme val="minor"/>
    </font>
    <font>
      <b/>
      <sz val="16"/>
      <color theme="1"/>
      <name val="Calibri"/>
      <family val="2"/>
      <scheme val="minor"/>
    </font>
    <font>
      <sz val="11"/>
      <color theme="0" tint="-4.9989318521683403E-2"/>
      <name val="Calibri"/>
      <family val="2"/>
      <scheme val="minor"/>
    </font>
    <font>
      <b/>
      <sz val="12"/>
      <color rgb="FFFF0000"/>
      <name val="Calibri"/>
      <family val="2"/>
      <scheme val="minor"/>
    </font>
    <font>
      <b/>
      <vertAlign val="subscript"/>
      <sz val="14"/>
      <color theme="1"/>
      <name val="Calibri"/>
      <family val="2"/>
      <scheme val="minor"/>
    </font>
    <font>
      <b/>
      <sz val="11"/>
      <color rgb="FFFF0000"/>
      <name val="Calibri"/>
      <family val="2"/>
      <scheme val="minor"/>
    </font>
    <font>
      <sz val="12"/>
      <color theme="1"/>
      <name val="Calibri"/>
      <family val="2"/>
      <scheme val="minor"/>
    </font>
  </fonts>
  <fills count="18">
    <fill>
      <patternFill patternType="none"/>
    </fill>
    <fill>
      <patternFill patternType="gray125"/>
    </fill>
    <fill>
      <patternFill patternType="solid">
        <fgColor theme="8" tint="0.79998168889431442"/>
        <bgColor indexed="65"/>
      </patternFill>
    </fill>
    <fill>
      <patternFill patternType="solid">
        <fgColor theme="0"/>
        <bgColor indexed="64"/>
      </patternFill>
    </fill>
    <fill>
      <patternFill patternType="solid">
        <fgColor indexed="43"/>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9" tint="0.79998168889431442"/>
        <bgColor theme="9" tint="0.79998168889431442"/>
      </patternFill>
    </fill>
    <fill>
      <patternFill patternType="solid">
        <fgColor theme="2" tint="-0.74999237037263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5"/>
        <bgColor indexed="64"/>
      </patternFill>
    </fill>
    <fill>
      <patternFill patternType="solid">
        <fgColor theme="9" tint="0.59999389629810485"/>
        <bgColor indexed="64"/>
      </patternFill>
    </fill>
  </fills>
  <borders count="30">
    <border>
      <left/>
      <right/>
      <top/>
      <bottom/>
      <diagonal/>
    </border>
    <border>
      <left/>
      <right/>
      <top style="thin">
        <color indexed="64"/>
      </top>
      <bottom/>
      <diagonal/>
    </border>
    <border>
      <left/>
      <right/>
      <top style="thin">
        <color indexed="64"/>
      </top>
      <bottom style="thin">
        <color indexed="64"/>
      </bottom>
      <diagonal/>
    </border>
    <border>
      <left/>
      <right/>
      <top style="thin">
        <color indexed="64"/>
      </top>
      <bottom style="medium">
        <color indexed="64"/>
      </bottom>
      <diagonal/>
    </border>
    <border>
      <left/>
      <right style="thin">
        <color theme="9" tint="0.39997558519241921"/>
      </right>
      <top style="thin">
        <color theme="9" tint="0.39997558519241921"/>
      </top>
      <bottom style="thin">
        <color theme="9" tint="0.39997558519241921"/>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right/>
      <top style="thin">
        <color theme="0" tint="-0.14999847407452621"/>
      </top>
      <bottom/>
      <diagonal/>
    </border>
    <border>
      <left/>
      <right style="thin">
        <color theme="0" tint="-0.14999847407452621"/>
      </right>
      <top style="thin">
        <color theme="0" tint="-0.14999847407452621"/>
      </top>
      <bottom/>
      <diagonal/>
    </border>
    <border>
      <left/>
      <right/>
      <top/>
      <bottom style="thin">
        <color theme="0" tint="-0.499984740745262"/>
      </bottom>
      <diagonal/>
    </border>
    <border>
      <left/>
      <right/>
      <top/>
      <bottom style="thin">
        <color theme="0" tint="-4.9989318521683403E-2"/>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double">
        <color indexed="64"/>
      </bottom>
      <diagonal/>
    </border>
    <border>
      <left/>
      <right/>
      <top style="double">
        <color indexed="64"/>
      </top>
      <bottom/>
      <diagonal/>
    </border>
  </borders>
  <cellStyleXfs count="10">
    <xf numFmtId="0" fontId="0" fillId="0" borderId="0"/>
    <xf numFmtId="0" fontId="1" fillId="2" borderId="0" applyNumberFormat="0" applyBorder="0" applyAlignment="0" applyProtection="0"/>
    <xf numFmtId="0" fontId="2" fillId="0" borderId="0"/>
    <xf numFmtId="0" fontId="2" fillId="0" borderId="0"/>
    <xf numFmtId="0" fontId="2" fillId="0" borderId="0"/>
    <xf numFmtId="9" fontId="1" fillId="0" borderId="0" applyFont="0" applyFill="0" applyBorder="0" applyAlignment="0" applyProtection="0"/>
    <xf numFmtId="0" fontId="2" fillId="0" borderId="0"/>
    <xf numFmtId="43" fontId="1" fillId="0" borderId="0" applyFont="0" applyFill="0" applyBorder="0" applyAlignment="0" applyProtection="0"/>
    <xf numFmtId="0" fontId="2" fillId="0" borderId="0"/>
    <xf numFmtId="0" fontId="2" fillId="0" borderId="0"/>
  </cellStyleXfs>
  <cellXfs count="610">
    <xf numFmtId="0" fontId="0" fillId="0" borderId="0" xfId="0"/>
    <xf numFmtId="0" fontId="0" fillId="3" borderId="0" xfId="0" applyFill="1"/>
    <xf numFmtId="0" fontId="2" fillId="3" borderId="0" xfId="2" applyFill="1"/>
    <xf numFmtId="0" fontId="3" fillId="3" borderId="0" xfId="3" applyFont="1" applyFill="1" applyAlignment="1">
      <alignment horizontal="left"/>
    </xf>
    <xf numFmtId="0" fontId="4" fillId="4" borderId="1" xfId="2" applyFont="1" applyFill="1" applyBorder="1" applyAlignment="1">
      <alignment horizontal="left"/>
    </xf>
    <xf numFmtId="0" fontId="4" fillId="4" borderId="2" xfId="2" applyFont="1" applyFill="1" applyBorder="1" applyAlignment="1">
      <alignment horizontal="left"/>
    </xf>
    <xf numFmtId="0" fontId="4" fillId="4" borderId="1" xfId="2" applyFont="1" applyFill="1" applyBorder="1" applyAlignment="1">
      <alignment horizontal="center" wrapText="1"/>
    </xf>
    <xf numFmtId="0" fontId="5" fillId="2" borderId="3" xfId="1" applyFont="1" applyBorder="1" applyAlignment="1">
      <alignment horizontal="left" wrapText="1"/>
    </xf>
    <xf numFmtId="0" fontId="5" fillId="2" borderId="3" xfId="1" applyFont="1" applyBorder="1" applyAlignment="1">
      <alignment horizontal="center" wrapText="1"/>
    </xf>
    <xf numFmtId="165" fontId="3" fillId="3" borderId="0" xfId="2" applyNumberFormat="1" applyFont="1" applyFill="1"/>
    <xf numFmtId="165" fontId="2" fillId="3" borderId="0" xfId="2" applyNumberFormat="1" applyFill="1"/>
    <xf numFmtId="165" fontId="4" fillId="4" borderId="1" xfId="2" applyNumberFormat="1" applyFont="1" applyFill="1" applyBorder="1" applyAlignment="1">
      <alignment horizontal="left"/>
    </xf>
    <xf numFmtId="165" fontId="4" fillId="4" borderId="2" xfId="2" applyNumberFormat="1" applyFont="1" applyFill="1" applyBorder="1" applyAlignment="1">
      <alignment horizontal="left"/>
    </xf>
    <xf numFmtId="165" fontId="5" fillId="2" borderId="3" xfId="1" applyNumberFormat="1" applyFont="1" applyBorder="1" applyAlignment="1">
      <alignment horizontal="left" wrapText="1"/>
    </xf>
    <xf numFmtId="165" fontId="3" fillId="0" borderId="0" xfId="2" applyNumberFormat="1" applyFont="1"/>
    <xf numFmtId="0" fontId="0" fillId="3" borderId="0" xfId="0" applyFill="1" applyAlignment="1">
      <alignment wrapText="1"/>
    </xf>
    <xf numFmtId="0" fontId="0" fillId="3" borderId="0" xfId="0" applyFill="1" applyAlignment="1">
      <alignment horizontal="center"/>
    </xf>
    <xf numFmtId="0" fontId="0" fillId="3" borderId="0" xfId="0" applyFill="1" applyAlignment="1">
      <alignment horizontal="center" wrapText="1"/>
    </xf>
    <xf numFmtId="0" fontId="0" fillId="0" borderId="0" xfId="0" applyAlignment="1">
      <alignment wrapText="1"/>
    </xf>
    <xf numFmtId="0" fontId="0" fillId="0" borderId="0" xfId="0" applyAlignment="1">
      <alignment horizontal="center"/>
    </xf>
    <xf numFmtId="0" fontId="10" fillId="0" borderId="0" xfId="0" applyFont="1" applyAlignment="1">
      <alignment horizontal="center"/>
    </xf>
    <xf numFmtId="0" fontId="5" fillId="2" borderId="3" xfId="1" applyFont="1" applyBorder="1" applyAlignment="1">
      <alignment horizontal="center" vertical="center" wrapText="1"/>
    </xf>
    <xf numFmtId="0" fontId="0" fillId="0" borderId="0" xfId="0" applyAlignment="1">
      <alignment horizontal="center" vertical="center"/>
    </xf>
    <xf numFmtId="0" fontId="9" fillId="5" borderId="0" xfId="0" applyFont="1" applyFill="1" applyAlignment="1">
      <alignment horizontal="center" vertical="center"/>
    </xf>
    <xf numFmtId="0" fontId="0" fillId="6" borderId="0" xfId="0" applyFill="1"/>
    <xf numFmtId="164" fontId="0" fillId="6" borderId="0" xfId="0" applyNumberFormat="1" applyFill="1"/>
    <xf numFmtId="9" fontId="0" fillId="6" borderId="0" xfId="0" applyNumberFormat="1" applyFill="1"/>
    <xf numFmtId="0" fontId="11" fillId="3" borderId="0" xfId="4" applyFont="1" applyFill="1"/>
    <xf numFmtId="165" fontId="12" fillId="0" borderId="0" xfId="2" applyNumberFormat="1" applyFont="1"/>
    <xf numFmtId="0" fontId="13" fillId="4" borderId="2" xfId="4" applyFont="1" applyFill="1" applyBorder="1" applyAlignment="1">
      <alignment horizontal="left"/>
    </xf>
    <xf numFmtId="0" fontId="13" fillId="4" borderId="2" xfId="4" applyFont="1" applyFill="1" applyBorder="1" applyAlignment="1">
      <alignment horizontal="center" vertical="center"/>
    </xf>
    <xf numFmtId="0" fontId="13" fillId="3" borderId="0" xfId="4" applyFont="1" applyFill="1" applyAlignment="1">
      <alignment horizontal="center" vertical="center"/>
    </xf>
    <xf numFmtId="165" fontId="13" fillId="4" borderId="2" xfId="2" applyNumberFormat="1" applyFont="1" applyFill="1" applyBorder="1" applyAlignment="1">
      <alignment horizontal="left"/>
    </xf>
    <xf numFmtId="0" fontId="11" fillId="3" borderId="0" xfId="2" applyFont="1" applyFill="1" applyAlignment="1">
      <alignment horizontal="center" vertical="center"/>
    </xf>
    <xf numFmtId="0" fontId="11" fillId="3" borderId="0" xfId="4" applyFont="1" applyFill="1" applyAlignment="1">
      <alignment horizontal="center" vertical="center"/>
    </xf>
    <xf numFmtId="0" fontId="11" fillId="3" borderId="0" xfId="2" applyFont="1" applyFill="1"/>
    <xf numFmtId="0" fontId="14" fillId="0" borderId="0" xfId="0" applyFont="1"/>
    <xf numFmtId="0" fontId="15" fillId="3" borderId="0" xfId="0" applyFont="1" applyFill="1"/>
    <xf numFmtId="0" fontId="15" fillId="0" borderId="0" xfId="0" applyFont="1"/>
    <xf numFmtId="0" fontId="15" fillId="3" borderId="0" xfId="1" applyFont="1" applyFill="1" applyBorder="1" applyAlignment="1">
      <alignment horizontal="left"/>
    </xf>
    <xf numFmtId="0" fontId="15" fillId="3" borderId="0" xfId="1" applyFont="1" applyFill="1" applyBorder="1" applyAlignment="1">
      <alignment horizontal="center" wrapText="1"/>
    </xf>
    <xf numFmtId="165" fontId="15" fillId="0" borderId="0" xfId="0" applyNumberFormat="1" applyFont="1"/>
    <xf numFmtId="9" fontId="15" fillId="0" borderId="0" xfId="0" applyNumberFormat="1" applyFont="1"/>
    <xf numFmtId="165" fontId="15" fillId="3" borderId="0" xfId="1" applyNumberFormat="1" applyFont="1" applyFill="1" applyBorder="1" applyAlignment="1">
      <alignment horizontal="left" wrapText="1"/>
    </xf>
    <xf numFmtId="0" fontId="12" fillId="3" borderId="0" xfId="2" applyFont="1" applyFill="1"/>
    <xf numFmtId="0" fontId="13" fillId="4" borderId="1" xfId="2" applyFont="1" applyFill="1" applyBorder="1" applyAlignment="1">
      <alignment vertical="center"/>
    </xf>
    <xf numFmtId="0" fontId="11" fillId="3" borderId="0" xfId="2" applyFont="1" applyFill="1" applyAlignment="1">
      <alignment vertical="center"/>
    </xf>
    <xf numFmtId="164" fontId="11" fillId="3" borderId="0" xfId="2" applyNumberFormat="1" applyFont="1" applyFill="1"/>
    <xf numFmtId="0" fontId="15" fillId="2" borderId="1" xfId="1" applyFont="1" applyBorder="1" applyAlignment="1">
      <alignment horizontal="center" vertical="center" wrapText="1"/>
    </xf>
    <xf numFmtId="0" fontId="15" fillId="2" borderId="2" xfId="1" applyFont="1" applyBorder="1" applyAlignment="1">
      <alignment horizontal="left" wrapText="1"/>
    </xf>
    <xf numFmtId="164" fontId="15" fillId="0" borderId="0" xfId="0" applyNumberFormat="1" applyFont="1"/>
    <xf numFmtId="0" fontId="0" fillId="7" borderId="0" xfId="0" applyFill="1"/>
    <xf numFmtId="0" fontId="4" fillId="4" borderId="2" xfId="6" applyFont="1" applyFill="1" applyBorder="1" applyAlignment="1">
      <alignment horizontal="left"/>
    </xf>
    <xf numFmtId="0" fontId="3" fillId="0" borderId="0" xfId="0" applyFont="1"/>
    <xf numFmtId="0" fontId="2" fillId="0" borderId="0" xfId="0" applyFont="1"/>
    <xf numFmtId="0" fontId="4" fillId="4" borderId="2" xfId="0" applyFont="1" applyFill="1" applyBorder="1" applyAlignment="1">
      <alignment vertical="center"/>
    </xf>
    <xf numFmtId="0" fontId="4" fillId="4" borderId="2" xfId="0" applyFont="1" applyFill="1" applyBorder="1" applyAlignment="1">
      <alignment horizontal="center" vertical="center"/>
    </xf>
    <xf numFmtId="1" fontId="0" fillId="0" borderId="0" xfId="0" applyNumberFormat="1"/>
    <xf numFmtId="0" fontId="2" fillId="3" borderId="0" xfId="2" applyFill="1" applyAlignment="1">
      <alignment vertical="center" wrapText="1"/>
    </xf>
    <xf numFmtId="164" fontId="2" fillId="3" borderId="0" xfId="2" applyNumberFormat="1" applyFill="1" applyAlignment="1">
      <alignment wrapText="1"/>
    </xf>
    <xf numFmtId="165" fontId="15" fillId="0" borderId="0" xfId="0" applyNumberFormat="1" applyFont="1" applyAlignment="1">
      <alignment wrapText="1"/>
    </xf>
    <xf numFmtId="0" fontId="15" fillId="0" borderId="0" xfId="0" applyFont="1" applyAlignment="1">
      <alignment wrapText="1"/>
    </xf>
    <xf numFmtId="9" fontId="15" fillId="0" borderId="0" xfId="0" applyNumberFormat="1" applyFont="1" applyAlignment="1">
      <alignment wrapText="1"/>
    </xf>
    <xf numFmtId="9" fontId="0" fillId="0" borderId="0" xfId="5" applyFont="1"/>
    <xf numFmtId="164" fontId="2" fillId="3" borderId="0" xfId="0" applyNumberFormat="1" applyFont="1" applyFill="1" applyAlignment="1">
      <alignment horizontal="center"/>
    </xf>
    <xf numFmtId="164" fontId="0" fillId="3" borderId="0" xfId="0" applyNumberFormat="1" applyFill="1" applyAlignment="1">
      <alignment horizontal="center"/>
    </xf>
    <xf numFmtId="164" fontId="0" fillId="0" borderId="0" xfId="0" applyNumberFormat="1" applyAlignment="1">
      <alignment horizontal="center"/>
    </xf>
    <xf numFmtId="0" fontId="11" fillId="3" borderId="0" xfId="4" applyFont="1" applyFill="1" applyAlignment="1">
      <alignment vertical="center"/>
    </xf>
    <xf numFmtId="0" fontId="10" fillId="3" borderId="0" xfId="0" applyFont="1" applyFill="1" applyAlignment="1">
      <alignment horizontal="center"/>
    </xf>
    <xf numFmtId="0" fontId="0" fillId="0" borderId="4" xfId="0" applyBorder="1" applyAlignment="1">
      <alignment horizontal="center" vertical="center"/>
    </xf>
    <xf numFmtId="0" fontId="0" fillId="8" borderId="4" xfId="0" applyFill="1" applyBorder="1" applyAlignment="1">
      <alignment horizontal="center" vertical="center"/>
    </xf>
    <xf numFmtId="0" fontId="0" fillId="0" borderId="0" xfId="0" applyAlignment="1">
      <alignment horizontal="left"/>
    </xf>
    <xf numFmtId="166" fontId="0" fillId="0" borderId="0" xfId="0" applyNumberFormat="1"/>
    <xf numFmtId="2" fontId="0" fillId="5" borderId="0" xfId="0" applyNumberFormat="1" applyFill="1"/>
    <xf numFmtId="164" fontId="0" fillId="5" borderId="0" xfId="0" applyNumberFormat="1" applyFill="1"/>
    <xf numFmtId="164" fontId="0" fillId="0" borderId="0" xfId="0" applyNumberFormat="1"/>
    <xf numFmtId="0" fontId="17" fillId="10" borderId="8" xfId="0" applyFont="1" applyFill="1" applyBorder="1" applyAlignment="1">
      <alignment vertical="center"/>
    </xf>
    <xf numFmtId="0" fontId="17" fillId="10" borderId="8" xfId="0" applyFont="1" applyFill="1" applyBorder="1" applyAlignment="1">
      <alignment horizontal="center" vertical="center"/>
    </xf>
    <xf numFmtId="0" fontId="17" fillId="10" borderId="5"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7" fillId="10" borderId="5" xfId="0" applyFont="1" applyFill="1" applyBorder="1"/>
    <xf numFmtId="0" fontId="17" fillId="10" borderId="7" xfId="0" applyFont="1" applyFill="1" applyBorder="1"/>
    <xf numFmtId="0" fontId="17" fillId="10" borderId="8" xfId="0" applyFont="1" applyFill="1" applyBorder="1" applyAlignment="1">
      <alignment horizontal="center" vertical="center" wrapText="1"/>
    </xf>
    <xf numFmtId="0" fontId="19" fillId="0" borderId="8" xfId="0" applyFont="1" applyBorder="1" applyAlignment="1">
      <alignment horizontal="left" vertical="top"/>
    </xf>
    <xf numFmtId="0" fontId="19" fillId="0" borderId="8" xfId="0" applyFont="1" applyBorder="1" applyAlignment="1">
      <alignment vertical="center" wrapText="1"/>
    </xf>
    <xf numFmtId="0" fontId="19" fillId="0" borderId="8" xfId="0" applyFont="1" applyBorder="1"/>
    <xf numFmtId="43" fontId="19" fillId="0" borderId="8" xfId="7" applyFont="1" applyBorder="1"/>
    <xf numFmtId="167" fontId="19" fillId="0" borderId="8" xfId="7" applyNumberFormat="1" applyFont="1" applyBorder="1"/>
    <xf numFmtId="0" fontId="19" fillId="11" borderId="8" xfId="0" applyFont="1" applyFill="1" applyBorder="1" applyAlignment="1">
      <alignment horizontal="left" vertical="top"/>
    </xf>
    <xf numFmtId="0" fontId="19" fillId="11" borderId="8" xfId="0" applyFont="1" applyFill="1" applyBorder="1" applyAlignment="1">
      <alignment vertical="center" wrapText="1"/>
    </xf>
    <xf numFmtId="0" fontId="19" fillId="11" borderId="8" xfId="0" applyFont="1" applyFill="1" applyBorder="1"/>
    <xf numFmtId="43" fontId="19" fillId="11" borderId="8" xfId="7" applyFont="1" applyFill="1" applyBorder="1"/>
    <xf numFmtId="167" fontId="19" fillId="11" borderId="8" xfId="7" applyNumberFormat="1" applyFont="1" applyFill="1" applyBorder="1"/>
    <xf numFmtId="0" fontId="20" fillId="0" borderId="8" xfId="0" applyFont="1" applyBorder="1" applyAlignment="1">
      <alignment horizontal="left" vertical="top"/>
    </xf>
    <xf numFmtId="0" fontId="21" fillId="0" borderId="8" xfId="0" applyFont="1" applyBorder="1" applyAlignment="1">
      <alignment vertical="center" wrapText="1"/>
    </xf>
    <xf numFmtId="0" fontId="21" fillId="0" borderId="8" xfId="0" applyFont="1" applyBorder="1"/>
    <xf numFmtId="43" fontId="21" fillId="0" borderId="8" xfId="7" applyFont="1" applyBorder="1"/>
    <xf numFmtId="167" fontId="21" fillId="0" borderId="8" xfId="7" applyNumberFormat="1" applyFont="1" applyBorder="1"/>
    <xf numFmtId="0" fontId="20" fillId="11" borderId="8" xfId="0" applyFont="1" applyFill="1" applyBorder="1" applyAlignment="1">
      <alignment horizontal="right" vertical="top"/>
    </xf>
    <xf numFmtId="0" fontId="19" fillId="11" borderId="8" xfId="0" applyFont="1" applyFill="1" applyBorder="1" applyAlignment="1">
      <alignment horizontal="left" vertical="center" wrapText="1" indent="1"/>
    </xf>
    <xf numFmtId="0" fontId="20" fillId="0" borderId="8" xfId="0" applyFont="1" applyBorder="1" applyAlignment="1">
      <alignment horizontal="right" vertical="top"/>
    </xf>
    <xf numFmtId="0" fontId="19" fillId="0" borderId="8" xfId="0" applyFont="1" applyBorder="1" applyAlignment="1">
      <alignment horizontal="left" vertical="center" wrapText="1" indent="1"/>
    </xf>
    <xf numFmtId="0" fontId="0" fillId="0" borderId="10" xfId="0" applyBorder="1"/>
    <xf numFmtId="0" fontId="16" fillId="9" borderId="0" xfId="0" applyFont="1" applyFill="1" applyAlignment="1">
      <alignment horizontal="center" vertical="center"/>
    </xf>
    <xf numFmtId="169" fontId="19" fillId="3" borderId="5" xfId="7" applyNumberFormat="1" applyFont="1" applyFill="1" applyBorder="1"/>
    <xf numFmtId="169" fontId="19" fillId="3" borderId="7" xfId="7" applyNumberFormat="1" applyFont="1" applyFill="1" applyBorder="1"/>
    <xf numFmtId="170" fontId="19" fillId="3" borderId="8" xfId="7" applyNumberFormat="1" applyFont="1" applyFill="1" applyBorder="1"/>
    <xf numFmtId="169" fontId="19" fillId="3" borderId="8" xfId="7" applyNumberFormat="1" applyFont="1" applyFill="1" applyBorder="1"/>
    <xf numFmtId="169" fontId="19" fillId="11" borderId="5" xfId="7" applyNumberFormat="1" applyFont="1" applyFill="1" applyBorder="1"/>
    <xf numFmtId="169" fontId="19" fillId="11" borderId="7" xfId="7" applyNumberFormat="1" applyFont="1" applyFill="1" applyBorder="1"/>
    <xf numFmtId="170" fontId="19" fillId="11" borderId="8" xfId="7" applyNumberFormat="1" applyFont="1" applyFill="1" applyBorder="1"/>
    <xf numFmtId="169" fontId="19" fillId="11" borderId="8" xfId="7" applyNumberFormat="1" applyFont="1" applyFill="1" applyBorder="1"/>
    <xf numFmtId="169" fontId="22" fillId="3" borderId="5" xfId="7" applyNumberFormat="1" applyFont="1" applyFill="1" applyBorder="1"/>
    <xf numFmtId="169" fontId="22" fillId="3" borderId="7" xfId="7" applyNumberFormat="1" applyFont="1" applyFill="1" applyBorder="1"/>
    <xf numFmtId="170" fontId="22" fillId="3" borderId="8" xfId="7" applyNumberFormat="1" applyFont="1" applyFill="1" applyBorder="1"/>
    <xf numFmtId="169" fontId="22" fillId="3" borderId="8" xfId="7" applyNumberFormat="1" applyFont="1" applyFill="1" applyBorder="1"/>
    <xf numFmtId="169" fontId="17" fillId="10" borderId="8" xfId="0" applyNumberFormat="1" applyFont="1" applyFill="1" applyBorder="1" applyAlignment="1">
      <alignment horizontal="center" vertical="center" wrapText="1"/>
    </xf>
    <xf numFmtId="169" fontId="22" fillId="11" borderId="5" xfId="7" applyNumberFormat="1" applyFont="1" applyFill="1" applyBorder="1"/>
    <xf numFmtId="169" fontId="22" fillId="11" borderId="7" xfId="7" applyNumberFormat="1" applyFont="1" applyFill="1" applyBorder="1"/>
    <xf numFmtId="170" fontId="22" fillId="11" borderId="8" xfId="7" applyNumberFormat="1" applyFont="1" applyFill="1" applyBorder="1"/>
    <xf numFmtId="169" fontId="22" fillId="11" borderId="8" xfId="7" applyNumberFormat="1" applyFont="1" applyFill="1" applyBorder="1"/>
    <xf numFmtId="0" fontId="10" fillId="0" borderId="0" xfId="0" applyFont="1"/>
    <xf numFmtId="2" fontId="0" fillId="0" borderId="0" xfId="0" applyNumberFormat="1"/>
    <xf numFmtId="0" fontId="25" fillId="0" borderId="0" xfId="0" applyFont="1"/>
    <xf numFmtId="0" fontId="26" fillId="0" borderId="0" xfId="0" applyFont="1"/>
    <xf numFmtId="0" fontId="26" fillId="0" borderId="0" xfId="0" applyFont="1" applyAlignment="1">
      <alignment horizontal="right"/>
    </xf>
    <xf numFmtId="0" fontId="27" fillId="0" borderId="0" xfId="0" applyFont="1"/>
    <xf numFmtId="0" fontId="28" fillId="0" borderId="16" xfId="0" applyFont="1" applyBorder="1" applyAlignment="1">
      <alignment vertical="center" wrapText="1"/>
    </xf>
    <xf numFmtId="0" fontId="28" fillId="0" borderId="17" xfId="0" applyFont="1" applyBorder="1" applyAlignment="1">
      <alignment vertical="center" wrapText="1"/>
    </xf>
    <xf numFmtId="172" fontId="15" fillId="0" borderId="0" xfId="0" applyNumberFormat="1" applyFont="1"/>
    <xf numFmtId="11" fontId="15" fillId="0" borderId="0" xfId="0" applyNumberFormat="1" applyFont="1"/>
    <xf numFmtId="0" fontId="28" fillId="0" borderId="18" xfId="0" applyFont="1" applyBorder="1" applyAlignment="1">
      <alignment vertical="center" wrapText="1"/>
    </xf>
    <xf numFmtId="0" fontId="28" fillId="0" borderId="19" xfId="0" applyFont="1" applyBorder="1" applyAlignment="1">
      <alignment vertical="center" wrapText="1"/>
    </xf>
    <xf numFmtId="0" fontId="16" fillId="9" borderId="8" xfId="0" applyFont="1" applyFill="1" applyBorder="1" applyAlignment="1">
      <alignment vertical="center"/>
    </xf>
    <xf numFmtId="0" fontId="17" fillId="10" borderId="8" xfId="0" applyFont="1" applyFill="1" applyBorder="1" applyAlignment="1">
      <alignment horizontal="center"/>
    </xf>
    <xf numFmtId="43" fontId="20" fillId="0" borderId="8" xfId="7" applyFont="1" applyBorder="1"/>
    <xf numFmtId="0" fontId="17" fillId="9" borderId="8" xfId="0" applyFont="1" applyFill="1" applyBorder="1" applyAlignment="1">
      <alignment vertical="center"/>
    </xf>
    <xf numFmtId="169" fontId="19" fillId="0" borderId="8" xfId="7" applyNumberFormat="1" applyFont="1" applyBorder="1"/>
    <xf numFmtId="170" fontId="19" fillId="0" borderId="8" xfId="7" applyNumberFormat="1" applyFont="1" applyBorder="1"/>
    <xf numFmtId="168" fontId="19" fillId="11" borderId="8" xfId="7" applyNumberFormat="1" applyFont="1" applyFill="1" applyBorder="1"/>
    <xf numFmtId="169" fontId="19" fillId="0" borderId="0" xfId="7" applyNumberFormat="1" applyFont="1" applyBorder="1"/>
    <xf numFmtId="170" fontId="19" fillId="0" borderId="0" xfId="7" applyNumberFormat="1" applyFont="1" applyBorder="1"/>
    <xf numFmtId="0" fontId="19" fillId="0" borderId="0" xfId="0" applyFont="1"/>
    <xf numFmtId="0" fontId="0" fillId="0" borderId="12" xfId="0" applyBorder="1"/>
    <xf numFmtId="0" fontId="0" fillId="0" borderId="1" xfId="0" applyBorder="1"/>
    <xf numFmtId="0" fontId="0" fillId="0" borderId="1" xfId="0" applyBorder="1" applyAlignment="1">
      <alignment horizontal="center"/>
    </xf>
    <xf numFmtId="0" fontId="15" fillId="0" borderId="1" xfId="0" applyFont="1" applyBorder="1" applyAlignment="1">
      <alignment horizontal="center" vertical="center"/>
    </xf>
    <xf numFmtId="0" fontId="26" fillId="0" borderId="13" xfId="0" applyFont="1" applyBorder="1" applyAlignment="1">
      <alignment horizontal="center" vertical="center"/>
    </xf>
    <xf numFmtId="0" fontId="0" fillId="0" borderId="22" xfId="0" applyBorder="1"/>
    <xf numFmtId="0" fontId="15" fillId="0" borderId="0" xfId="0" applyFont="1" applyAlignment="1">
      <alignment horizontal="center" vertical="center"/>
    </xf>
    <xf numFmtId="0" fontId="26" fillId="0" borderId="23" xfId="0" applyFont="1" applyBorder="1" applyAlignment="1">
      <alignment horizontal="center" vertical="center"/>
    </xf>
    <xf numFmtId="0" fontId="0" fillId="0" borderId="14" xfId="0" applyBorder="1"/>
    <xf numFmtId="0" fontId="0" fillId="0" borderId="24" xfId="0" applyBorder="1"/>
    <xf numFmtId="0" fontId="0" fillId="0" borderId="24" xfId="0" applyBorder="1" applyAlignment="1">
      <alignment horizontal="center"/>
    </xf>
    <xf numFmtId="0" fontId="26" fillId="0" borderId="15" xfId="0" applyFont="1" applyBorder="1" applyAlignment="1">
      <alignment horizontal="center" vertical="center"/>
    </xf>
    <xf numFmtId="0" fontId="0" fillId="0" borderId="2" xfId="0" applyBorder="1"/>
    <xf numFmtId="0" fontId="0" fillId="0" borderId="2" xfId="0" applyBorder="1" applyAlignment="1">
      <alignment horizontal="center"/>
    </xf>
    <xf numFmtId="0" fontId="15" fillId="0" borderId="2" xfId="0" applyFont="1" applyBorder="1"/>
    <xf numFmtId="0" fontId="15" fillId="0" borderId="1" xfId="0" applyFont="1" applyBorder="1"/>
    <xf numFmtId="0" fontId="15" fillId="0" borderId="24" xfId="0" applyFont="1" applyBorder="1"/>
    <xf numFmtId="0" fontId="26" fillId="0" borderId="15" xfId="0" applyFont="1" applyBorder="1"/>
    <xf numFmtId="0" fontId="15" fillId="0" borderId="2" xfId="0" applyFont="1" applyBorder="1" applyAlignment="1">
      <alignment horizontal="center"/>
    </xf>
    <xf numFmtId="0" fontId="15" fillId="0" borderId="1" xfId="0" applyFont="1" applyBorder="1" applyAlignment="1">
      <alignment horizontal="center"/>
    </xf>
    <xf numFmtId="0" fontId="15" fillId="0" borderId="0" xfId="0" applyFont="1" applyAlignment="1">
      <alignment horizontal="center"/>
    </xf>
    <xf numFmtId="0" fontId="15" fillId="0" borderId="24" xfId="0" applyFont="1" applyBorder="1" applyAlignment="1">
      <alignment horizontal="center"/>
    </xf>
    <xf numFmtId="0" fontId="26" fillId="0" borderId="11" xfId="0" applyFont="1" applyBorder="1" applyAlignment="1">
      <alignment horizontal="center" vertical="center"/>
    </xf>
    <xf numFmtId="0" fontId="19" fillId="0" borderId="0" xfId="0" applyFont="1" applyAlignment="1">
      <alignment horizontal="left"/>
    </xf>
    <xf numFmtId="9" fontId="19" fillId="0" borderId="0" xfId="0" applyNumberFormat="1" applyFont="1" applyAlignment="1">
      <alignment horizontal="left"/>
    </xf>
    <xf numFmtId="10" fontId="19" fillId="0" borderId="0" xfId="5" applyNumberFormat="1" applyFont="1" applyAlignment="1">
      <alignment horizontal="left"/>
    </xf>
    <xf numFmtId="0" fontId="15" fillId="0" borderId="12" xfId="0" applyFont="1" applyBorder="1"/>
    <xf numFmtId="0" fontId="26" fillId="0" borderId="1" xfId="0" applyFont="1" applyBorder="1"/>
    <xf numFmtId="0" fontId="26" fillId="0" borderId="13" xfId="0" applyFont="1" applyBorder="1" applyAlignment="1">
      <alignment horizontal="right"/>
    </xf>
    <xf numFmtId="0" fontId="15" fillId="0" borderId="22" xfId="0" applyFont="1" applyBorder="1"/>
    <xf numFmtId="0" fontId="26" fillId="0" borderId="0" xfId="0" applyFont="1" applyAlignment="1">
      <alignment horizontal="center"/>
    </xf>
    <xf numFmtId="0" fontId="26" fillId="0" borderId="23" xfId="0" applyFont="1" applyBorder="1" applyAlignment="1">
      <alignment horizontal="right"/>
    </xf>
    <xf numFmtId="0" fontId="10" fillId="0" borderId="22" xfId="0" applyFont="1" applyBorder="1" applyAlignment="1">
      <alignment horizontal="center"/>
    </xf>
    <xf numFmtId="0" fontId="26" fillId="0" borderId="0" xfId="0" applyFont="1" applyAlignment="1">
      <alignment horizontal="center" vertical="center"/>
    </xf>
    <xf numFmtId="0" fontId="30" fillId="0" borderId="23" xfId="0" applyFont="1" applyBorder="1" applyAlignment="1">
      <alignment horizontal="center"/>
    </xf>
    <xf numFmtId="2" fontId="15" fillId="0" borderId="10" xfId="0" applyNumberFormat="1" applyFont="1" applyBorder="1" applyAlignment="1">
      <alignment horizontal="center" vertical="center"/>
    </xf>
    <xf numFmtId="166" fontId="26" fillId="0" borderId="23" xfId="0" applyNumberFormat="1" applyFont="1" applyBorder="1" applyAlignment="1">
      <alignment horizontal="right"/>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4" xfId="0" applyFont="1" applyBorder="1"/>
    <xf numFmtId="0" fontId="26" fillId="0" borderId="24" xfId="0" applyFont="1" applyBorder="1"/>
    <xf numFmtId="0" fontId="26" fillId="0" borderId="15" xfId="0" applyFont="1" applyBorder="1" applyAlignment="1">
      <alignment horizontal="right"/>
    </xf>
    <xf numFmtId="0" fontId="10" fillId="0" borderId="23" xfId="0" applyFont="1" applyBorder="1" applyAlignment="1">
      <alignment horizontal="center"/>
    </xf>
    <xf numFmtId="0" fontId="27" fillId="0" borderId="23" xfId="0" applyFont="1" applyBorder="1" applyAlignment="1">
      <alignment horizontal="center"/>
    </xf>
    <xf numFmtId="2" fontId="0" fillId="0" borderId="10" xfId="0" applyNumberFormat="1" applyBorder="1" applyAlignment="1">
      <alignment horizontal="center"/>
    </xf>
    <xf numFmtId="43" fontId="0" fillId="0" borderId="11" xfId="0" applyNumberFormat="1" applyBorder="1" applyAlignment="1">
      <alignment horizontal="center"/>
    </xf>
    <xf numFmtId="2" fontId="0" fillId="0" borderId="12" xfId="0" applyNumberFormat="1" applyBorder="1" applyAlignment="1">
      <alignment horizontal="center"/>
    </xf>
    <xf numFmtId="43" fontId="0" fillId="0" borderId="13" xfId="0" applyNumberFormat="1" applyBorder="1" applyAlignment="1">
      <alignment horizontal="center"/>
    </xf>
    <xf numFmtId="2" fontId="0" fillId="0" borderId="22" xfId="0" applyNumberFormat="1" applyBorder="1" applyAlignment="1">
      <alignment horizontal="center"/>
    </xf>
    <xf numFmtId="43" fontId="0" fillId="0" borderId="23" xfId="0" applyNumberFormat="1" applyBorder="1" applyAlignment="1">
      <alignment horizontal="center"/>
    </xf>
    <xf numFmtId="166" fontId="0" fillId="0" borderId="22" xfId="0" applyNumberFormat="1" applyBorder="1" applyAlignment="1">
      <alignment horizontal="center"/>
    </xf>
    <xf numFmtId="2" fontId="0" fillId="0" borderId="14" xfId="0" applyNumberFormat="1" applyBorder="1" applyAlignment="1">
      <alignment horizontal="center"/>
    </xf>
    <xf numFmtId="43" fontId="0" fillId="0" borderId="15" xfId="0" applyNumberFormat="1" applyBorder="1" applyAlignment="1">
      <alignment horizontal="center"/>
    </xf>
    <xf numFmtId="2" fontId="0" fillId="0" borderId="23" xfId="0" applyNumberFormat="1" applyBorder="1" applyAlignment="1">
      <alignment horizontal="right"/>
    </xf>
    <xf numFmtId="2" fontId="0" fillId="0" borderId="15" xfId="0" applyNumberFormat="1" applyBorder="1" applyAlignment="1">
      <alignment horizontal="right"/>
    </xf>
    <xf numFmtId="0" fontId="27" fillId="0" borderId="12" xfId="0" applyFont="1" applyBorder="1"/>
    <xf numFmtId="0" fontId="27" fillId="0" borderId="13" xfId="0" applyFont="1" applyBorder="1"/>
    <xf numFmtId="166" fontId="15" fillId="0" borderId="12" xfId="0" applyNumberFormat="1" applyFont="1" applyBorder="1" applyAlignment="1">
      <alignment horizontal="center" vertical="center"/>
    </xf>
    <xf numFmtId="0" fontId="31" fillId="0" borderId="0" xfId="0" applyFont="1"/>
    <xf numFmtId="2" fontId="0" fillId="0" borderId="11" xfId="7" applyNumberFormat="1" applyFont="1" applyBorder="1" applyAlignment="1">
      <alignment horizontal="center" vertical="center"/>
    </xf>
    <xf numFmtId="2" fontId="0" fillId="0" borderId="13" xfId="7" applyNumberFormat="1" applyFont="1" applyBorder="1" applyAlignment="1">
      <alignment horizontal="center" vertical="center"/>
    </xf>
    <xf numFmtId="2" fontId="0" fillId="0" borderId="23" xfId="7" applyNumberFormat="1" applyFont="1" applyBorder="1" applyAlignment="1">
      <alignment horizontal="center" vertical="center"/>
    </xf>
    <xf numFmtId="2" fontId="0" fillId="0" borderId="15" xfId="7" applyNumberFormat="1" applyFont="1" applyBorder="1" applyAlignment="1">
      <alignment horizontal="center" vertical="center"/>
    </xf>
    <xf numFmtId="0" fontId="10" fillId="0" borderId="11" xfId="0" applyFont="1" applyBorder="1" applyAlignment="1">
      <alignment horizontal="center"/>
    </xf>
    <xf numFmtId="0" fontId="0" fillId="0" borderId="9" xfId="0" applyBorder="1"/>
    <xf numFmtId="0" fontId="0" fillId="0" borderId="25" xfId="0" applyBorder="1"/>
    <xf numFmtId="0" fontId="0" fillId="0" borderId="26" xfId="0" applyBorder="1"/>
    <xf numFmtId="0" fontId="0" fillId="0" borderId="27" xfId="0" applyBorder="1"/>
    <xf numFmtId="0" fontId="10" fillId="0" borderId="9" xfId="0" applyFont="1" applyBorder="1" applyAlignment="1">
      <alignment horizontal="center"/>
    </xf>
    <xf numFmtId="0" fontId="10" fillId="0" borderId="26" xfId="0" applyFont="1" applyBorder="1" applyAlignment="1">
      <alignment horizontal="center"/>
    </xf>
    <xf numFmtId="2" fontId="0" fillId="0" borderId="9" xfId="7" applyNumberFormat="1" applyFont="1" applyBorder="1" applyAlignment="1">
      <alignment horizontal="center" vertical="center"/>
    </xf>
    <xf numFmtId="2" fontId="0" fillId="0" borderId="25" xfId="7" applyNumberFormat="1" applyFont="1" applyBorder="1" applyAlignment="1">
      <alignment horizontal="center" vertical="center"/>
    </xf>
    <xf numFmtId="2" fontId="0" fillId="0" borderId="26" xfId="7" applyNumberFormat="1" applyFont="1" applyBorder="1" applyAlignment="1">
      <alignment horizontal="center" vertical="center"/>
    </xf>
    <xf numFmtId="2" fontId="0" fillId="0" borderId="27" xfId="7" applyNumberFormat="1" applyFont="1" applyBorder="1" applyAlignment="1">
      <alignment horizontal="center" vertical="center"/>
    </xf>
    <xf numFmtId="2" fontId="0" fillId="0" borderId="23" xfId="7" applyNumberFormat="1" applyFont="1" applyBorder="1" applyAlignment="1">
      <alignment vertical="center"/>
    </xf>
    <xf numFmtId="2" fontId="0" fillId="0" borderId="15" xfId="7" applyNumberFormat="1" applyFont="1" applyBorder="1" applyAlignment="1">
      <alignment vertical="center"/>
    </xf>
    <xf numFmtId="2" fontId="0" fillId="0" borderId="26" xfId="7" applyNumberFormat="1" applyFont="1" applyBorder="1" applyAlignment="1">
      <alignment vertical="center"/>
    </xf>
    <xf numFmtId="2" fontId="0" fillId="0" borderId="27" xfId="7" applyNumberFormat="1" applyFont="1" applyBorder="1" applyAlignment="1">
      <alignment vertical="center"/>
    </xf>
    <xf numFmtId="0" fontId="15" fillId="0" borderId="11" xfId="0" applyFont="1" applyBorder="1" applyAlignment="1">
      <alignment horizontal="left" vertic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26" fillId="0" borderId="23" xfId="0" applyFont="1" applyBorder="1" applyAlignment="1">
      <alignment horizontal="left" vertical="center"/>
    </xf>
    <xf numFmtId="0" fontId="15" fillId="0" borderId="2" xfId="0" applyFont="1" applyBorder="1" applyAlignment="1">
      <alignment horizontal="left"/>
    </xf>
    <xf numFmtId="0" fontId="15" fillId="0" borderId="1" xfId="0" applyFont="1" applyBorder="1" applyAlignment="1">
      <alignment horizontal="left"/>
    </xf>
    <xf numFmtId="0" fontId="15" fillId="0" borderId="0" xfId="0" applyFont="1" applyAlignment="1">
      <alignment horizontal="left"/>
    </xf>
    <xf numFmtId="0" fontId="15" fillId="0" borderId="24" xfId="0" applyFont="1" applyBorder="1" applyAlignment="1">
      <alignment horizontal="left"/>
    </xf>
    <xf numFmtId="0" fontId="26" fillId="0" borderId="1" xfId="0" applyFont="1" applyBorder="1" applyAlignment="1">
      <alignment horizontal="left" vertical="center"/>
    </xf>
    <xf numFmtId="0" fontId="10" fillId="3" borderId="25" xfId="0" applyFont="1" applyFill="1" applyBorder="1" applyAlignment="1">
      <alignment horizontal="center"/>
    </xf>
    <xf numFmtId="0" fontId="10" fillId="3" borderId="27" xfId="0" applyFont="1" applyFill="1" applyBorder="1" applyAlignment="1">
      <alignment horizontal="center"/>
    </xf>
    <xf numFmtId="2" fontId="0" fillId="0" borderId="25" xfId="0" applyNumberFormat="1" applyBorder="1" applyAlignment="1">
      <alignment horizontal="center"/>
    </xf>
    <xf numFmtId="2" fontId="0" fillId="0" borderId="27" xfId="0" applyNumberFormat="1" applyBorder="1" applyAlignment="1">
      <alignment horizontal="center"/>
    </xf>
    <xf numFmtId="0" fontId="19" fillId="7" borderId="0" xfId="0" applyFont="1" applyFill="1" applyAlignment="1">
      <alignment horizontal="left"/>
    </xf>
    <xf numFmtId="9" fontId="19" fillId="7" borderId="0" xfId="0" applyNumberFormat="1" applyFont="1" applyFill="1" applyAlignment="1">
      <alignment horizontal="left"/>
    </xf>
    <xf numFmtId="0" fontId="26" fillId="0" borderId="24" xfId="0" applyFont="1" applyBorder="1" applyAlignment="1">
      <alignment horizontal="left"/>
    </xf>
    <xf numFmtId="0" fontId="26" fillId="0" borderId="1" xfId="0" applyFont="1" applyBorder="1" applyAlignment="1">
      <alignment horizontal="left"/>
    </xf>
    <xf numFmtId="0" fontId="15" fillId="0" borderId="15" xfId="0" applyFont="1" applyBorder="1"/>
    <xf numFmtId="0" fontId="15" fillId="0" borderId="25" xfId="0" applyFont="1" applyBorder="1"/>
    <xf numFmtId="0" fontId="15" fillId="0" borderId="27" xfId="0" applyFont="1" applyBorder="1"/>
    <xf numFmtId="0" fontId="10" fillId="0" borderId="10" xfId="0" applyFont="1" applyBorder="1"/>
    <xf numFmtId="0" fontId="27" fillId="0" borderId="2" xfId="0" applyFont="1" applyBorder="1" applyAlignment="1">
      <alignment horizontal="left"/>
    </xf>
    <xf numFmtId="0" fontId="27" fillId="0" borderId="11" xfId="0" applyFont="1" applyBorder="1"/>
    <xf numFmtId="171" fontId="15" fillId="0" borderId="25" xfId="0" applyNumberFormat="1" applyFont="1" applyBorder="1"/>
    <xf numFmtId="171" fontId="15" fillId="0" borderId="13" xfId="0" applyNumberFormat="1" applyFont="1" applyBorder="1"/>
    <xf numFmtId="173" fontId="0" fillId="0" borderId="0" xfId="7" applyNumberFormat="1" applyFont="1"/>
    <xf numFmtId="0" fontId="9" fillId="0" borderId="0" xfId="0" applyFont="1" applyAlignment="1">
      <alignment horizontal="center" vertical="center"/>
    </xf>
    <xf numFmtId="0" fontId="9" fillId="0" borderId="0" xfId="0" applyFont="1" applyAlignment="1">
      <alignment horizontal="center"/>
    </xf>
    <xf numFmtId="0" fontId="32" fillId="0" borderId="0" xfId="0" applyFont="1"/>
    <xf numFmtId="0" fontId="32" fillId="0" borderId="0" xfId="0" applyFont="1" applyAlignment="1">
      <alignment wrapText="1"/>
    </xf>
    <xf numFmtId="1" fontId="33" fillId="0" borderId="0" xfId="0" applyNumberFormat="1" applyFont="1" applyAlignment="1">
      <alignment horizontal="center" vertical="center"/>
    </xf>
    <xf numFmtId="0" fontId="3" fillId="0" borderId="0" xfId="0" applyFont="1" applyAlignment="1">
      <alignment horizontal="left"/>
    </xf>
    <xf numFmtId="0" fontId="4" fillId="4" borderId="3" xfId="8" applyFont="1" applyFill="1" applyBorder="1" applyAlignment="1">
      <alignment horizontal="left" vertical="center"/>
    </xf>
    <xf numFmtId="0" fontId="4" fillId="4" borderId="3" xfId="8" applyFont="1" applyFill="1" applyBorder="1" applyAlignment="1">
      <alignment horizontal="center" vertical="center"/>
    </xf>
    <xf numFmtId="0" fontId="34" fillId="0" borderId="0" xfId="0" applyFont="1"/>
    <xf numFmtId="0" fontId="34" fillId="3" borderId="0" xfId="0" applyFont="1" applyFill="1"/>
    <xf numFmtId="0" fontId="27" fillId="0" borderId="26" xfId="0" applyFont="1" applyBorder="1" applyAlignment="1">
      <alignment horizontal="center"/>
    </xf>
    <xf numFmtId="0" fontId="27" fillId="0" borderId="27" xfId="0" applyFont="1" applyBorder="1" applyAlignment="1">
      <alignment horizontal="center"/>
    </xf>
    <xf numFmtId="2" fontId="0" fillId="0" borderId="0" xfId="0" applyNumberFormat="1" applyAlignment="1">
      <alignment horizontal="center" vertical="center"/>
    </xf>
    <xf numFmtId="164" fontId="0" fillId="0" borderId="0" xfId="0" applyNumberFormat="1" applyAlignment="1">
      <alignment horizontal="center" vertical="center"/>
    </xf>
    <xf numFmtId="9" fontId="15" fillId="0" borderId="0" xfId="0" applyNumberFormat="1" applyFont="1" applyAlignment="1">
      <alignment horizontal="center" vertical="center" wrapText="1"/>
    </xf>
    <xf numFmtId="9" fontId="15" fillId="0" borderId="0" xfId="0" applyNumberFormat="1" applyFont="1" applyAlignment="1">
      <alignment horizontal="center" vertical="center"/>
    </xf>
    <xf numFmtId="10" fontId="0" fillId="0" borderId="0" xfId="0" applyNumberFormat="1"/>
    <xf numFmtId="0" fontId="0" fillId="12" borderId="0" xfId="0" applyFill="1"/>
    <xf numFmtId="0" fontId="0" fillId="12" borderId="0" xfId="0" applyFill="1" applyAlignment="1">
      <alignment horizontal="center" vertical="center"/>
    </xf>
    <xf numFmtId="9" fontId="0" fillId="12" borderId="0" xfId="5" applyFont="1" applyFill="1"/>
    <xf numFmtId="0" fontId="10" fillId="12" borderId="0" xfId="0" applyFont="1" applyFill="1" applyAlignment="1">
      <alignment horizontal="center"/>
    </xf>
    <xf numFmtId="0" fontId="0" fillId="12" borderId="0" xfId="0" applyFill="1" applyAlignment="1">
      <alignment horizontal="center"/>
    </xf>
    <xf numFmtId="166" fontId="0" fillId="6" borderId="0" xfId="0" applyNumberFormat="1" applyFill="1"/>
    <xf numFmtId="171" fontId="0" fillId="6" borderId="0" xfId="0" applyNumberFormat="1" applyFill="1"/>
    <xf numFmtId="169" fontId="26" fillId="0" borderId="0" xfId="7" applyNumberFormat="1" applyFont="1"/>
    <xf numFmtId="2" fontId="26" fillId="0" borderId="0" xfId="0" applyNumberFormat="1" applyFont="1"/>
    <xf numFmtId="164" fontId="26" fillId="0" borderId="0" xfId="0" applyNumberFormat="1" applyFont="1"/>
    <xf numFmtId="1" fontId="26" fillId="0" borderId="0" xfId="0" applyNumberFormat="1" applyFont="1"/>
    <xf numFmtId="174" fontId="26" fillId="0" borderId="0" xfId="0" applyNumberFormat="1" applyFont="1"/>
    <xf numFmtId="171" fontId="26" fillId="0" borderId="0" xfId="0" applyNumberFormat="1" applyFont="1"/>
    <xf numFmtId="166" fontId="15" fillId="0" borderId="0" xfId="0" applyNumberFormat="1" applyFont="1"/>
    <xf numFmtId="1" fontId="15" fillId="0" borderId="0" xfId="0" applyNumberFormat="1" applyFont="1"/>
    <xf numFmtId="9" fontId="0" fillId="0" borderId="0" xfId="5" applyFont="1" applyAlignment="1">
      <alignment horizontal="center"/>
    </xf>
    <xf numFmtId="169" fontId="0" fillId="0" borderId="0" xfId="7" applyNumberFormat="1" applyFont="1" applyAlignment="1">
      <alignment horizontal="center"/>
    </xf>
    <xf numFmtId="169" fontId="0" fillId="0" borderId="0" xfId="7" applyNumberFormat="1" applyFont="1"/>
    <xf numFmtId="169" fontId="0" fillId="0" borderId="0" xfId="7" applyNumberFormat="1" applyFont="1" applyAlignment="1">
      <alignment horizontal="center" vertical="center"/>
    </xf>
    <xf numFmtId="9" fontId="0" fillId="0" borderId="0" xfId="5" applyFont="1" applyAlignment="1">
      <alignment horizontal="center" vertical="center"/>
    </xf>
    <xf numFmtId="0" fontId="37" fillId="0" borderId="0" xfId="0" applyFont="1"/>
    <xf numFmtId="0" fontId="32" fillId="0" borderId="0" xfId="0" applyFont="1" applyAlignment="1">
      <alignment horizontal="center" vertical="center"/>
    </xf>
    <xf numFmtId="169" fontId="32" fillId="0" borderId="0" xfId="7" applyNumberFormat="1" applyFont="1" applyAlignment="1">
      <alignment horizontal="center" vertical="center"/>
    </xf>
    <xf numFmtId="9" fontId="0" fillId="0" borderId="0" xfId="0" applyNumberFormat="1"/>
    <xf numFmtId="9" fontId="0" fillId="0" borderId="0" xfId="0" applyNumberFormat="1" applyAlignment="1">
      <alignment horizontal="center"/>
    </xf>
    <xf numFmtId="169" fontId="0" fillId="0" borderId="0" xfId="0" applyNumberFormat="1"/>
    <xf numFmtId="0" fontId="0" fillId="5" borderId="0" xfId="0" applyFill="1"/>
    <xf numFmtId="167" fontId="0" fillId="0" borderId="0" xfId="7" applyNumberFormat="1" applyFont="1"/>
    <xf numFmtId="10" fontId="0" fillId="0" borderId="0" xfId="0" applyNumberFormat="1" applyAlignment="1">
      <alignment horizontal="center"/>
    </xf>
    <xf numFmtId="10" fontId="0" fillId="0" borderId="0" xfId="0" applyNumberFormat="1" applyAlignment="1">
      <alignment horizontal="center" vertical="center"/>
    </xf>
    <xf numFmtId="0" fontId="19" fillId="0" borderId="22" xfId="0" applyFont="1" applyBorder="1"/>
    <xf numFmtId="0" fontId="0" fillId="0" borderId="23" xfId="0" applyBorder="1"/>
    <xf numFmtId="175" fontId="0" fillId="0" borderId="0" xfId="0" applyNumberFormat="1"/>
    <xf numFmtId="9" fontId="0" fillId="0" borderId="0" xfId="5" applyFont="1" applyBorder="1"/>
    <xf numFmtId="0" fontId="19" fillId="0" borderId="14" xfId="0" applyFont="1" applyBorder="1"/>
    <xf numFmtId="10" fontId="0" fillId="0" borderId="24" xfId="0" applyNumberFormat="1" applyBorder="1"/>
    <xf numFmtId="0" fontId="0" fillId="0" borderId="15" xfId="0" applyBorder="1"/>
    <xf numFmtId="0" fontId="19" fillId="5" borderId="12" xfId="0" applyFont="1" applyFill="1" applyBorder="1"/>
    <xf numFmtId="0" fontId="10" fillId="5" borderId="1" xfId="0" applyFont="1" applyFill="1" applyBorder="1"/>
    <xf numFmtId="0" fontId="0" fillId="5" borderId="1" xfId="0" applyFill="1" applyBorder="1"/>
    <xf numFmtId="0" fontId="0" fillId="5" borderId="13" xfId="0" applyFill="1" applyBorder="1"/>
    <xf numFmtId="0" fontId="19" fillId="5" borderId="22" xfId="0" applyFont="1" applyFill="1" applyBorder="1"/>
    <xf numFmtId="0" fontId="19" fillId="0" borderId="0" xfId="0" applyFont="1" applyAlignment="1">
      <alignment horizontal="center" vertical="center"/>
    </xf>
    <xf numFmtId="9" fontId="0" fillId="3" borderId="0" xfId="0" applyNumberFormat="1" applyFill="1"/>
    <xf numFmtId="9" fontId="0" fillId="5" borderId="0" xfId="0" applyNumberFormat="1" applyFill="1"/>
    <xf numFmtId="2" fontId="0" fillId="0" borderId="1" xfId="0" applyNumberFormat="1" applyBorder="1"/>
    <xf numFmtId="2" fontId="0" fillId="0" borderId="13" xfId="0" applyNumberFormat="1" applyBorder="1"/>
    <xf numFmtId="2" fontId="0" fillId="0" borderId="23" xfId="0" applyNumberFormat="1" applyBorder="1"/>
    <xf numFmtId="2" fontId="0" fillId="0" borderId="24" xfId="0" applyNumberFormat="1" applyBorder="1"/>
    <xf numFmtId="2" fontId="0" fillId="0" borderId="15" xfId="0" applyNumberFormat="1" applyBorder="1"/>
    <xf numFmtId="0" fontId="38" fillId="0" borderId="0" xfId="0" applyFont="1"/>
    <xf numFmtId="0" fontId="4" fillId="5" borderId="10" xfId="4" applyFont="1" applyFill="1" applyBorder="1" applyAlignment="1">
      <alignment horizontal="center" vertical="center"/>
    </xf>
    <xf numFmtId="0" fontId="4" fillId="4" borderId="2" xfId="4" applyFont="1" applyFill="1" applyBorder="1" applyAlignment="1">
      <alignment horizontal="left"/>
    </xf>
    <xf numFmtId="0" fontId="4" fillId="4" borderId="11" xfId="4" applyFont="1" applyFill="1" applyBorder="1" applyAlignment="1">
      <alignment horizontal="center" vertical="center"/>
    </xf>
    <xf numFmtId="0" fontId="0" fillId="3" borderId="0" xfId="0" applyFill="1" applyAlignment="1">
      <alignment horizontal="center" vertical="center"/>
    </xf>
    <xf numFmtId="9" fontId="0" fillId="3" borderId="0" xfId="0" applyNumberFormat="1" applyFill="1" applyAlignment="1">
      <alignment horizontal="center" vertical="center"/>
    </xf>
    <xf numFmtId="9" fontId="0" fillId="3" borderId="0" xfId="5" applyFont="1" applyFill="1" applyAlignment="1">
      <alignment horizontal="center" vertical="center"/>
    </xf>
    <xf numFmtId="0" fontId="0" fillId="0" borderId="0" xfId="0" applyAlignment="1">
      <alignment horizontal="right"/>
    </xf>
    <xf numFmtId="0" fontId="0" fillId="7" borderId="0" xfId="0" applyFill="1" applyAlignment="1">
      <alignment horizontal="right"/>
    </xf>
    <xf numFmtId="0" fontId="0" fillId="13" borderId="0" xfId="0" applyFill="1" applyAlignment="1">
      <alignment horizontal="right"/>
    </xf>
    <xf numFmtId="9" fontId="0" fillId="13" borderId="0" xfId="0" applyNumberFormat="1" applyFill="1"/>
    <xf numFmtId="0" fontId="4" fillId="5" borderId="2" xfId="4" applyFont="1" applyFill="1" applyBorder="1" applyAlignment="1">
      <alignment horizontal="center" vertical="center"/>
    </xf>
    <xf numFmtId="0" fontId="39" fillId="0" borderId="0" xfId="0" applyFont="1" applyAlignment="1">
      <alignment horizontal="center" vertical="center" wrapText="1"/>
    </xf>
    <xf numFmtId="0" fontId="41" fillId="5" borderId="10" xfId="4" applyFont="1" applyFill="1" applyBorder="1" applyAlignment="1">
      <alignment horizontal="center" vertical="center"/>
    </xf>
    <xf numFmtId="0" fontId="41" fillId="5" borderId="2" xfId="4" applyFont="1" applyFill="1" applyBorder="1" applyAlignment="1">
      <alignment horizontal="center" vertical="center"/>
    </xf>
    <xf numFmtId="0" fontId="41" fillId="5" borderId="11" xfId="3" applyFont="1" applyFill="1" applyBorder="1" applyAlignment="1">
      <alignment horizontal="center" vertical="center" wrapText="1"/>
    </xf>
    <xf numFmtId="0" fontId="39" fillId="3" borderId="0" xfId="1" applyFont="1" applyFill="1" applyBorder="1" applyAlignment="1">
      <alignment horizontal="center" vertical="center" wrapText="1"/>
    </xf>
    <xf numFmtId="0" fontId="39" fillId="3" borderId="0" xfId="0" applyFont="1" applyFill="1" applyAlignment="1">
      <alignment horizontal="center" vertical="center"/>
    </xf>
    <xf numFmtId="0" fontId="42" fillId="3" borderId="0" xfId="4" applyFont="1" applyFill="1" applyAlignment="1">
      <alignment horizontal="center" vertical="center"/>
    </xf>
    <xf numFmtId="0" fontId="42" fillId="3" borderId="0" xfId="3" applyFont="1" applyFill="1" applyAlignment="1">
      <alignment horizontal="center" vertical="center" wrapText="1"/>
    </xf>
    <xf numFmtId="2" fontId="42" fillId="3" borderId="0" xfId="4" applyNumberFormat="1" applyFont="1" applyFill="1" applyAlignment="1">
      <alignment horizontal="center" vertical="center"/>
    </xf>
    <xf numFmtId="1" fontId="42" fillId="3" borderId="0" xfId="7" applyNumberFormat="1" applyFont="1" applyFill="1" applyBorder="1" applyAlignment="1">
      <alignment horizontal="center" vertical="center"/>
    </xf>
    <xf numFmtId="0" fontId="38" fillId="3" borderId="0" xfId="0" applyFont="1" applyFill="1" applyAlignment="1">
      <alignment horizontal="center" vertical="center"/>
    </xf>
    <xf numFmtId="0" fontId="2" fillId="0" borderId="0" xfId="2"/>
    <xf numFmtId="0" fontId="45" fillId="5" borderId="2" xfId="4" applyFont="1" applyFill="1" applyBorder="1" applyAlignment="1">
      <alignment horizontal="center" vertical="center"/>
    </xf>
    <xf numFmtId="0" fontId="0" fillId="0" borderId="0" xfId="0" applyAlignment="1">
      <alignment horizontal="right" indent="1"/>
    </xf>
    <xf numFmtId="171" fontId="0" fillId="0" borderId="0" xfId="0" applyNumberFormat="1"/>
    <xf numFmtId="176" fontId="0" fillId="0" borderId="0" xfId="0" applyNumberFormat="1"/>
    <xf numFmtId="0" fontId="43" fillId="3" borderId="0" xfId="0" applyFont="1" applyFill="1" applyAlignment="1">
      <alignment horizontal="center" vertical="center"/>
    </xf>
    <xf numFmtId="0" fontId="44" fillId="0" borderId="0" xfId="2" applyFont="1"/>
    <xf numFmtId="0" fontId="44" fillId="3" borderId="0" xfId="2" applyFont="1" applyFill="1"/>
    <xf numFmtId="165" fontId="44" fillId="3" borderId="0" xfId="2" applyNumberFormat="1" applyFont="1" applyFill="1" applyAlignment="1">
      <alignment horizontal="center" vertical="center"/>
    </xf>
    <xf numFmtId="0" fontId="44" fillId="3" borderId="0" xfId="4" applyFont="1" applyFill="1"/>
    <xf numFmtId="0" fontId="44" fillId="3" borderId="0" xfId="2" applyFont="1" applyFill="1" applyAlignment="1">
      <alignment horizontal="center" vertical="center"/>
    </xf>
    <xf numFmtId="0" fontId="0" fillId="14" borderId="0" xfId="0" applyFill="1"/>
    <xf numFmtId="0" fontId="10" fillId="0" borderId="24" xfId="0" applyFont="1" applyBorder="1" applyAlignment="1">
      <alignment horizontal="right"/>
    </xf>
    <xf numFmtId="165" fontId="0" fillId="3" borderId="0" xfId="0" applyNumberFormat="1" applyFill="1"/>
    <xf numFmtId="2" fontId="0" fillId="0" borderId="0" xfId="0" applyNumberFormat="1" applyAlignment="1">
      <alignment horizontal="right"/>
    </xf>
    <xf numFmtId="9" fontId="0" fillId="0" borderId="23" xfId="5" applyFont="1" applyBorder="1"/>
    <xf numFmtId="43" fontId="0" fillId="0" borderId="0" xfId="0" applyNumberFormat="1"/>
    <xf numFmtId="0" fontId="10" fillId="0" borderId="24" xfId="0" applyFont="1" applyBorder="1" applyAlignment="1">
      <alignment horizontal="center"/>
    </xf>
    <xf numFmtId="0" fontId="0" fillId="15" borderId="0" xfId="0" applyFill="1"/>
    <xf numFmtId="0" fontId="0" fillId="3" borderId="22" xfId="0" applyFill="1" applyBorder="1" applyAlignment="1">
      <alignment horizontal="center" vertical="center"/>
    </xf>
    <xf numFmtId="0" fontId="0" fillId="3" borderId="23" xfId="0" applyFill="1" applyBorder="1" applyAlignment="1">
      <alignment horizontal="center" vertical="center"/>
    </xf>
    <xf numFmtId="9" fontId="0" fillId="3" borderId="23" xfId="0" applyNumberFormat="1" applyFill="1" applyBorder="1" applyAlignment="1">
      <alignment horizontal="center" vertical="center"/>
    </xf>
    <xf numFmtId="0" fontId="0" fillId="3" borderId="14" xfId="0" applyFill="1" applyBorder="1" applyAlignment="1">
      <alignment horizontal="center" vertical="center"/>
    </xf>
    <xf numFmtId="0" fontId="0" fillId="3" borderId="15" xfId="0" applyFill="1" applyBorder="1" applyAlignment="1">
      <alignment horizontal="center" vertical="center"/>
    </xf>
    <xf numFmtId="0" fontId="10" fillId="0" borderId="0" xfId="0" applyFont="1" applyAlignment="1">
      <alignment horizontal="right"/>
    </xf>
    <xf numFmtId="2" fontId="0" fillId="0" borderId="0" xfId="7" applyNumberFormat="1" applyFont="1" applyBorder="1" applyAlignment="1">
      <alignment horizontal="center"/>
    </xf>
    <xf numFmtId="9" fontId="0" fillId="0" borderId="0" xfId="5" applyFont="1" applyBorder="1" applyAlignment="1">
      <alignment horizontal="center"/>
    </xf>
    <xf numFmtId="9" fontId="0" fillId="0" borderId="0" xfId="5" applyFont="1" applyBorder="1" applyAlignment="1">
      <alignment horizontal="right"/>
    </xf>
    <xf numFmtId="2" fontId="0" fillId="0" borderId="0" xfId="0" applyNumberFormat="1" applyAlignment="1">
      <alignment horizontal="center"/>
    </xf>
    <xf numFmtId="9" fontId="47" fillId="0" borderId="0" xfId="5" applyFont="1" applyBorder="1" applyAlignment="1">
      <alignment horizontal="center"/>
    </xf>
    <xf numFmtId="9" fontId="47" fillId="0" borderId="0" xfId="0" applyNumberFormat="1" applyFont="1"/>
    <xf numFmtId="10" fontId="49" fillId="0" borderId="0" xfId="0" applyNumberFormat="1" applyFont="1"/>
    <xf numFmtId="2" fontId="46" fillId="0" borderId="0" xfId="0" applyNumberFormat="1" applyFont="1"/>
    <xf numFmtId="0" fontId="46" fillId="0" borderId="0" xfId="0" applyFont="1"/>
    <xf numFmtId="10" fontId="47" fillId="0" borderId="0" xfId="0" applyNumberFormat="1" applyFont="1"/>
    <xf numFmtId="0" fontId="45" fillId="5" borderId="10" xfId="4" applyFont="1" applyFill="1" applyBorder="1" applyAlignment="1">
      <alignment horizontal="center" vertical="center"/>
    </xf>
    <xf numFmtId="0" fontId="45" fillId="5" borderId="11" xfId="4" applyFont="1" applyFill="1" applyBorder="1" applyAlignment="1">
      <alignment horizontal="center" vertical="center"/>
    </xf>
    <xf numFmtId="0" fontId="4" fillId="5" borderId="11" xfId="4" applyFont="1" applyFill="1" applyBorder="1" applyAlignment="1">
      <alignment horizontal="center" vertical="center"/>
    </xf>
    <xf numFmtId="9" fontId="0" fillId="3" borderId="24" xfId="0" applyNumberFormat="1" applyFill="1" applyBorder="1"/>
    <xf numFmtId="43" fontId="0" fillId="0" borderId="0" xfId="7" applyFont="1" applyBorder="1"/>
    <xf numFmtId="9" fontId="0" fillId="7" borderId="0" xfId="5" applyFont="1" applyFill="1" applyBorder="1"/>
    <xf numFmtId="0" fontId="38" fillId="0" borderId="0" xfId="0" applyFont="1" applyAlignment="1">
      <alignment horizontal="center" vertical="center"/>
    </xf>
    <xf numFmtId="0" fontId="40" fillId="3" borderId="0" xfId="3" applyFont="1" applyFill="1" applyAlignment="1">
      <alignment horizontal="center" vertical="center"/>
    </xf>
    <xf numFmtId="1" fontId="0" fillId="3" borderId="0" xfId="0" applyNumberFormat="1" applyFill="1" applyAlignment="1">
      <alignment horizontal="center" vertical="center"/>
    </xf>
    <xf numFmtId="9" fontId="42" fillId="3" borderId="0" xfId="5" applyFont="1" applyFill="1" applyBorder="1" applyAlignment="1">
      <alignment horizontal="center" vertical="center"/>
    </xf>
    <xf numFmtId="10" fontId="0" fillId="0" borderId="0" xfId="5" applyNumberFormat="1" applyFont="1" applyBorder="1"/>
    <xf numFmtId="0" fontId="9" fillId="0" borderId="0" xfId="0" applyFont="1" applyAlignment="1">
      <alignment horizontal="right"/>
    </xf>
    <xf numFmtId="0" fontId="9" fillId="0" borderId="0" xfId="0" applyFont="1"/>
    <xf numFmtId="0" fontId="0" fillId="0" borderId="24" xfId="0" applyBorder="1" applyAlignment="1">
      <alignment horizontal="center" vertical="center"/>
    </xf>
    <xf numFmtId="171" fontId="0" fillId="0" borderId="0" xfId="0" applyNumberFormat="1" applyAlignment="1">
      <alignment horizontal="center" vertical="center"/>
    </xf>
    <xf numFmtId="166" fontId="0" fillId="0" borderId="0" xfId="0" applyNumberFormat="1" applyAlignment="1">
      <alignment horizontal="center" vertical="center"/>
    </xf>
    <xf numFmtId="0" fontId="0" fillId="0" borderId="0" xfId="0" applyAlignment="1">
      <alignment horizontal="right" vertical="center"/>
    </xf>
    <xf numFmtId="176" fontId="0" fillId="0" borderId="0" xfId="0" applyNumberFormat="1" applyAlignment="1">
      <alignment horizontal="center"/>
    </xf>
    <xf numFmtId="0" fontId="10" fillId="0" borderId="24" xfId="0" applyFont="1" applyBorder="1" applyAlignment="1">
      <alignment horizontal="center" vertical="center"/>
    </xf>
    <xf numFmtId="0" fontId="4" fillId="5" borderId="2" xfId="3" applyFont="1" applyFill="1" applyBorder="1" applyAlignment="1">
      <alignment horizontal="center" vertical="center" wrapText="1"/>
    </xf>
    <xf numFmtId="0" fontId="50" fillId="3" borderId="0" xfId="1" applyFont="1" applyFill="1" applyBorder="1" applyAlignment="1">
      <alignment horizontal="center" vertical="center" wrapText="1"/>
    </xf>
    <xf numFmtId="0" fontId="50" fillId="3" borderId="0" xfId="0" applyFont="1" applyFill="1" applyAlignment="1">
      <alignment horizontal="center" vertical="center"/>
    </xf>
    <xf numFmtId="9" fontId="0" fillId="3" borderId="0" xfId="0" applyNumberFormat="1" applyFill="1" applyAlignment="1">
      <alignment horizontal="center"/>
    </xf>
    <xf numFmtId="0" fontId="43" fillId="0" borderId="0" xfId="0" applyFont="1"/>
    <xf numFmtId="0" fontId="51" fillId="3" borderId="0" xfId="3" applyFont="1" applyFill="1" applyAlignment="1">
      <alignment horizontal="left"/>
    </xf>
    <xf numFmtId="0" fontId="45" fillId="5" borderId="2" xfId="3" applyFont="1" applyFill="1" applyBorder="1" applyAlignment="1">
      <alignment horizontal="center" vertical="center" wrapText="1"/>
    </xf>
    <xf numFmtId="0" fontId="0" fillId="3" borderId="0" xfId="1" applyFont="1" applyFill="1" applyBorder="1" applyAlignment="1">
      <alignment horizontal="center" vertical="center" wrapText="1"/>
    </xf>
    <xf numFmtId="1" fontId="44" fillId="7" borderId="0" xfId="4" applyNumberFormat="1" applyFont="1" applyFill="1" applyAlignment="1">
      <alignment horizontal="center" vertical="center"/>
    </xf>
    <xf numFmtId="0" fontId="50" fillId="3" borderId="10" xfId="1" applyFont="1" applyFill="1" applyBorder="1" applyAlignment="1">
      <alignment horizontal="center" vertical="center" wrapText="1"/>
    </xf>
    <xf numFmtId="0" fontId="50" fillId="3" borderId="2" xfId="1" applyFont="1" applyFill="1" applyBorder="1" applyAlignment="1">
      <alignment horizontal="center" vertical="center" wrapText="1"/>
    </xf>
    <xf numFmtId="0" fontId="0" fillId="3" borderId="2" xfId="0" applyFill="1" applyBorder="1" applyAlignment="1">
      <alignment horizontal="center"/>
    </xf>
    <xf numFmtId="0" fontId="0" fillId="3" borderId="2" xfId="0" applyFill="1" applyBorder="1"/>
    <xf numFmtId="10" fontId="2" fillId="7" borderId="11" xfId="5" applyNumberFormat="1" applyFont="1" applyFill="1" applyBorder="1" applyAlignment="1">
      <alignment horizontal="center" vertical="center"/>
    </xf>
    <xf numFmtId="10" fontId="2" fillId="3" borderId="0" xfId="5" applyNumberFormat="1" applyFont="1" applyFill="1" applyBorder="1" applyAlignment="1">
      <alignment horizontal="center" vertical="center"/>
    </xf>
    <xf numFmtId="0" fontId="2" fillId="3" borderId="0" xfId="4" applyFill="1" applyAlignment="1">
      <alignment horizontal="center" vertical="center"/>
    </xf>
    <xf numFmtId="0" fontId="2" fillId="3" borderId="0" xfId="3" applyFill="1" applyAlignment="1">
      <alignment horizontal="center" vertical="center" wrapText="1"/>
    </xf>
    <xf numFmtId="9" fontId="2" fillId="3" borderId="0" xfId="5" applyFont="1" applyFill="1" applyBorder="1"/>
    <xf numFmtId="2" fontId="2" fillId="3" borderId="0" xfId="4" applyNumberFormat="1" applyFill="1" applyAlignment="1">
      <alignment horizontal="center" vertical="center"/>
    </xf>
    <xf numFmtId="2" fontId="0" fillId="3" borderId="0" xfId="0" applyNumberFormat="1" applyFill="1"/>
    <xf numFmtId="1" fontId="0" fillId="3" borderId="0" xfId="0" applyNumberFormat="1" applyFill="1"/>
    <xf numFmtId="43" fontId="0" fillId="3" borderId="0" xfId="0" applyNumberFormat="1" applyFill="1"/>
    <xf numFmtId="167" fontId="0" fillId="3" borderId="0" xfId="0" applyNumberFormat="1" applyFill="1"/>
    <xf numFmtId="177" fontId="0" fillId="3" borderId="0" xfId="0" applyNumberFormat="1" applyFill="1"/>
    <xf numFmtId="0" fontId="1" fillId="3" borderId="0" xfId="0" applyFont="1" applyFill="1"/>
    <xf numFmtId="0" fontId="1" fillId="0" borderId="0" xfId="0" applyFont="1"/>
    <xf numFmtId="165" fontId="51" fillId="0" borderId="0" xfId="2" applyNumberFormat="1" applyFont="1"/>
    <xf numFmtId="165" fontId="45" fillId="4" borderId="10" xfId="2" applyNumberFormat="1" applyFont="1" applyFill="1" applyBorder="1" applyAlignment="1">
      <alignment horizontal="left"/>
    </xf>
    <xf numFmtId="165" fontId="45" fillId="4" borderId="2" xfId="2" applyNumberFormat="1" applyFont="1" applyFill="1" applyBorder="1" applyAlignment="1">
      <alignment horizontal="left"/>
    </xf>
    <xf numFmtId="165" fontId="45" fillId="4" borderId="11" xfId="2" applyNumberFormat="1" applyFont="1" applyFill="1" applyBorder="1" applyAlignment="1">
      <alignment horizontal="left"/>
    </xf>
    <xf numFmtId="165" fontId="51" fillId="3" borderId="0" xfId="2" applyNumberFormat="1" applyFont="1" applyFill="1"/>
    <xf numFmtId="165" fontId="44" fillId="3" borderId="0" xfId="2" applyNumberFormat="1" applyFont="1" applyFill="1"/>
    <xf numFmtId="165" fontId="1" fillId="3" borderId="0" xfId="1" applyNumberFormat="1" applyFill="1" applyBorder="1" applyAlignment="1">
      <alignment horizontal="left" wrapText="1"/>
    </xf>
    <xf numFmtId="165" fontId="39" fillId="3" borderId="0" xfId="1" applyNumberFormat="1" applyFont="1" applyFill="1" applyBorder="1" applyAlignment="1">
      <alignment horizontal="center" vertical="center" wrapText="1"/>
    </xf>
    <xf numFmtId="0" fontId="1" fillId="3" borderId="0" xfId="0" applyFont="1" applyFill="1" applyAlignment="1">
      <alignment horizontal="center" vertical="center"/>
    </xf>
    <xf numFmtId="0" fontId="1" fillId="0" borderId="0" xfId="0" applyFont="1" applyAlignment="1">
      <alignment horizontal="center" vertical="center"/>
    </xf>
    <xf numFmtId="165" fontId="0" fillId="3" borderId="0" xfId="0" applyNumberFormat="1" applyFill="1" applyAlignment="1">
      <alignment horizontal="center"/>
    </xf>
    <xf numFmtId="165" fontId="2" fillId="13" borderId="0" xfId="4" applyNumberFormat="1" applyFill="1" applyAlignment="1">
      <alignment horizontal="center"/>
    </xf>
    <xf numFmtId="165" fontId="0" fillId="3" borderId="0" xfId="0" applyNumberFormat="1" applyFill="1" applyAlignment="1">
      <alignment horizontal="center" vertical="center"/>
    </xf>
    <xf numFmtId="2" fontId="2" fillId="7" borderId="0" xfId="4" applyNumberFormat="1" applyFill="1" applyAlignment="1">
      <alignment horizontal="center" vertical="center"/>
    </xf>
    <xf numFmtId="171" fontId="0" fillId="3" borderId="0" xfId="0" applyNumberFormat="1" applyFill="1"/>
    <xf numFmtId="166" fontId="0" fillId="3" borderId="0" xfId="0" applyNumberFormat="1" applyFill="1"/>
    <xf numFmtId="43" fontId="15" fillId="0" borderId="0" xfId="0" applyNumberFormat="1" applyFont="1"/>
    <xf numFmtId="1" fontId="0" fillId="0" borderId="0" xfId="0" applyNumberFormat="1" applyAlignment="1">
      <alignment horizontal="center"/>
    </xf>
    <xf numFmtId="164" fontId="0" fillId="3" borderId="0" xfId="0" applyNumberFormat="1" applyFill="1"/>
    <xf numFmtId="0" fontId="0" fillId="13" borderId="0" xfId="0" applyFill="1"/>
    <xf numFmtId="9" fontId="0" fillId="3" borderId="0" xfId="5" applyFont="1" applyFill="1" applyAlignment="1">
      <alignment horizontal="center"/>
    </xf>
    <xf numFmtId="0" fontId="0" fillId="13" borderId="0" xfId="0" applyFill="1" applyAlignment="1">
      <alignment horizontal="right" indent="1"/>
    </xf>
    <xf numFmtId="166" fontId="0" fillId="13" borderId="0" xfId="0" applyNumberFormat="1" applyFill="1"/>
    <xf numFmtId="10" fontId="0" fillId="0" borderId="0" xfId="5" applyNumberFormat="1" applyFont="1"/>
    <xf numFmtId="166" fontId="0" fillId="3" borderId="0" xfId="0" applyNumberFormat="1" applyFill="1" applyAlignment="1">
      <alignment horizontal="right"/>
    </xf>
    <xf numFmtId="2" fontId="0" fillId="13" borderId="0" xfId="0" applyNumberFormat="1" applyFill="1"/>
    <xf numFmtId="1" fontId="0" fillId="0" borderId="0" xfId="0" applyNumberFormat="1" applyAlignment="1">
      <alignment horizontal="center" vertical="center"/>
    </xf>
    <xf numFmtId="9" fontId="0" fillId="0" borderId="26" xfId="5" applyFont="1" applyBorder="1"/>
    <xf numFmtId="9" fontId="0" fillId="0" borderId="27" xfId="5" applyFont="1" applyBorder="1" applyAlignment="1">
      <alignment horizontal="right"/>
    </xf>
    <xf numFmtId="0" fontId="4" fillId="5" borderId="0" xfId="4" applyFont="1" applyFill="1" applyAlignment="1">
      <alignment horizontal="center" vertical="center"/>
    </xf>
    <xf numFmtId="9" fontId="0" fillId="3" borderId="0" xfId="5" applyFont="1" applyFill="1"/>
    <xf numFmtId="178" fontId="0" fillId="0" borderId="0" xfId="5" applyNumberFormat="1" applyFont="1"/>
    <xf numFmtId="0" fontId="45" fillId="16" borderId="2" xfId="4" applyFont="1" applyFill="1" applyBorder="1" applyAlignment="1">
      <alignment horizontal="center" vertical="center"/>
    </xf>
    <xf numFmtId="0" fontId="1" fillId="3" borderId="0" xfId="0" applyFont="1" applyFill="1" applyAlignment="1">
      <alignment horizontal="center"/>
    </xf>
    <xf numFmtId="0" fontId="1" fillId="0" borderId="0" xfId="0" applyFont="1" applyAlignment="1">
      <alignment horizontal="center"/>
    </xf>
    <xf numFmtId="0" fontId="52" fillId="0" borderId="0" xfId="0" applyFont="1"/>
    <xf numFmtId="0" fontId="53" fillId="0" borderId="0" xfId="0" applyFont="1"/>
    <xf numFmtId="168" fontId="15" fillId="0" borderId="0" xfId="0" applyNumberFormat="1" applyFont="1"/>
    <xf numFmtId="179" fontId="0" fillId="0" borderId="0" xfId="0" applyNumberFormat="1"/>
    <xf numFmtId="0" fontId="0" fillId="16" borderId="0" xfId="0" applyFill="1"/>
    <xf numFmtId="165" fontId="2" fillId="3" borderId="0" xfId="2" applyNumberFormat="1" applyFill="1" applyAlignment="1">
      <alignment horizontal="center" vertical="center"/>
    </xf>
    <xf numFmtId="0" fontId="2" fillId="3" borderId="0" xfId="2" applyFill="1" applyAlignment="1">
      <alignment horizontal="center" vertical="center"/>
    </xf>
    <xf numFmtId="0" fontId="4" fillId="17" borderId="2" xfId="4" applyFont="1" applyFill="1" applyBorder="1" applyAlignment="1">
      <alignment horizontal="center" vertical="center"/>
    </xf>
    <xf numFmtId="2" fontId="2" fillId="6" borderId="0" xfId="2" applyNumberFormat="1" applyFill="1" applyAlignment="1">
      <alignment horizontal="center" vertical="center"/>
    </xf>
    <xf numFmtId="0" fontId="0" fillId="3" borderId="0" xfId="0" applyFill="1" applyAlignment="1">
      <alignment horizontal="left"/>
    </xf>
    <xf numFmtId="0" fontId="1" fillId="3" borderId="0" xfId="0" applyFont="1" applyFill="1" applyAlignment="1">
      <alignment horizontal="left" vertical="center"/>
    </xf>
    <xf numFmtId="0" fontId="1" fillId="0" borderId="0" xfId="0" applyFont="1" applyAlignment="1">
      <alignment horizontal="left" vertical="center"/>
    </xf>
    <xf numFmtId="0" fontId="0" fillId="3" borderId="0" xfId="1" applyFont="1" applyFill="1" applyBorder="1" applyAlignment="1">
      <alignment horizontal="left" vertical="center" wrapText="1"/>
    </xf>
    <xf numFmtId="0" fontId="1" fillId="0" borderId="0" xfId="0" applyFont="1" applyAlignment="1">
      <alignment horizontal="left"/>
    </xf>
    <xf numFmtId="0" fontId="10" fillId="3" borderId="0" xfId="0" applyFont="1" applyFill="1" applyAlignment="1">
      <alignment horizontal="center" vertical="center"/>
    </xf>
    <xf numFmtId="0" fontId="54" fillId="3" borderId="0" xfId="0" applyFont="1" applyFill="1" applyAlignment="1">
      <alignment horizontal="center"/>
    </xf>
    <xf numFmtId="0" fontId="52" fillId="3" borderId="0" xfId="0" applyFont="1" applyFill="1" applyAlignment="1">
      <alignment horizontal="center" vertical="center" wrapText="1"/>
    </xf>
    <xf numFmtId="0" fontId="10" fillId="3" borderId="0" xfId="0" applyFont="1" applyFill="1" applyAlignment="1">
      <alignment horizontal="center" vertical="center" wrapText="1"/>
    </xf>
    <xf numFmtId="0" fontId="52" fillId="7" borderId="0" xfId="0" applyFont="1" applyFill="1" applyAlignment="1">
      <alignment horizontal="center" vertical="center" wrapText="1"/>
    </xf>
    <xf numFmtId="0" fontId="15" fillId="3" borderId="1" xfId="0" applyFont="1" applyFill="1" applyBorder="1" applyAlignment="1">
      <alignment horizontal="center" vertical="center"/>
    </xf>
    <xf numFmtId="0" fontId="15" fillId="3"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1" xfId="0" applyFill="1" applyBorder="1" applyAlignment="1">
      <alignment horizontal="center" vertical="center"/>
    </xf>
    <xf numFmtId="164" fontId="15" fillId="7" borderId="1" xfId="0" applyNumberFormat="1" applyFont="1" applyFill="1" applyBorder="1" applyAlignment="1">
      <alignment horizontal="center" vertical="center" wrapText="1"/>
    </xf>
    <xf numFmtId="164" fontId="15" fillId="3" borderId="1" xfId="0" applyNumberFormat="1" applyFont="1" applyFill="1" applyBorder="1" applyAlignment="1">
      <alignment horizontal="center" vertical="center" wrapText="1"/>
    </xf>
    <xf numFmtId="1" fontId="15" fillId="7" borderId="1" xfId="0" applyNumberFormat="1" applyFont="1" applyFill="1" applyBorder="1" applyAlignment="1">
      <alignment horizontal="center" vertical="center" wrapText="1"/>
    </xf>
    <xf numFmtId="0" fontId="0" fillId="15" borderId="1" xfId="0" applyFill="1" applyBorder="1" applyAlignment="1">
      <alignment horizontal="center" vertical="center" wrapText="1"/>
    </xf>
    <xf numFmtId="0" fontId="15" fillId="15" borderId="1" xfId="0" applyFont="1" applyFill="1" applyBorder="1" applyAlignment="1">
      <alignment horizontal="center" vertical="center"/>
    </xf>
    <xf numFmtId="169" fontId="0" fillId="15" borderId="0" xfId="7" applyNumberFormat="1" applyFont="1" applyFill="1"/>
    <xf numFmtId="9" fontId="0" fillId="15" borderId="0" xfId="5" applyFont="1" applyFill="1"/>
    <xf numFmtId="169" fontId="0" fillId="15" borderId="0" xfId="0" applyNumberFormat="1" applyFill="1"/>
    <xf numFmtId="11" fontId="0" fillId="0" borderId="0" xfId="0" applyNumberFormat="1"/>
    <xf numFmtId="0" fontId="10" fillId="0" borderId="0" xfId="0" applyFont="1" applyAlignment="1">
      <alignment horizontal="center" vertical="center"/>
    </xf>
    <xf numFmtId="0" fontId="10" fillId="5" borderId="0" xfId="0" applyFont="1" applyFill="1" applyAlignment="1">
      <alignment horizontal="center" vertical="center"/>
    </xf>
    <xf numFmtId="0" fontId="10" fillId="0" borderId="2" xfId="0" applyFont="1" applyBorder="1"/>
    <xf numFmtId="0" fontId="10" fillId="0" borderId="11" xfId="0" applyFont="1" applyBorder="1"/>
    <xf numFmtId="9" fontId="10" fillId="0" borderId="0" xfId="5" applyFont="1" applyAlignment="1">
      <alignment horizontal="center" vertical="center"/>
    </xf>
    <xf numFmtId="1" fontId="10" fillId="0" borderId="0" xfId="0" applyNumberFormat="1" applyFont="1" applyAlignment="1">
      <alignment horizontal="center" vertical="center"/>
    </xf>
    <xf numFmtId="0" fontId="10" fillId="5" borderId="0" xfId="0" applyFont="1" applyFill="1"/>
    <xf numFmtId="1" fontId="0" fillId="0" borderId="12" xfId="0" applyNumberFormat="1" applyBorder="1" applyAlignment="1">
      <alignment horizontal="center"/>
    </xf>
    <xf numFmtId="1" fontId="0" fillId="0" borderId="1" xfId="0" applyNumberFormat="1" applyBorder="1" applyAlignment="1">
      <alignment horizontal="center"/>
    </xf>
    <xf numFmtId="1" fontId="0" fillId="0" borderId="13" xfId="0" applyNumberFormat="1" applyBorder="1" applyAlignment="1">
      <alignment horizontal="center"/>
    </xf>
    <xf numFmtId="1" fontId="0" fillId="0" borderId="22" xfId="0" applyNumberFormat="1" applyBorder="1" applyAlignment="1">
      <alignment horizontal="center"/>
    </xf>
    <xf numFmtId="1" fontId="0" fillId="0" borderId="23" xfId="0" applyNumberFormat="1" applyBorder="1" applyAlignment="1">
      <alignment horizontal="center"/>
    </xf>
    <xf numFmtId="1" fontId="10" fillId="0" borderId="0" xfId="7" applyNumberFormat="1" applyFont="1" applyBorder="1" applyAlignment="1">
      <alignment horizontal="center" vertical="center"/>
    </xf>
    <xf numFmtId="2" fontId="10" fillId="0" borderId="0" xfId="7" applyNumberFormat="1" applyFont="1" applyBorder="1" applyAlignment="1">
      <alignment horizontal="center" vertical="center"/>
    </xf>
    <xf numFmtId="164" fontId="10" fillId="0" borderId="0" xfId="0" applyNumberFormat="1" applyFont="1" applyAlignment="1">
      <alignment horizontal="center" vertical="center"/>
    </xf>
    <xf numFmtId="1" fontId="0" fillId="0" borderId="14" xfId="0" applyNumberFormat="1" applyBorder="1" applyAlignment="1">
      <alignment horizontal="center"/>
    </xf>
    <xf numFmtId="1" fontId="0" fillId="0" borderId="24" xfId="0" applyNumberFormat="1" applyBorder="1" applyAlignment="1">
      <alignment horizontal="center"/>
    </xf>
    <xf numFmtId="1" fontId="0" fillId="0" borderId="15" xfId="0" applyNumberFormat="1" applyBorder="1" applyAlignment="1">
      <alignment horizontal="center"/>
    </xf>
    <xf numFmtId="0" fontId="10" fillId="7" borderId="9" xfId="0" applyFont="1" applyFill="1" applyBorder="1" applyAlignment="1">
      <alignment horizontal="center" vertical="center"/>
    </xf>
    <xf numFmtId="0" fontId="10" fillId="7" borderId="9" xfId="0" applyFont="1" applyFill="1" applyBorder="1"/>
    <xf numFmtId="1" fontId="10" fillId="7" borderId="9" xfId="7" applyNumberFormat="1" applyFont="1" applyFill="1" applyBorder="1" applyAlignment="1">
      <alignment horizontal="center" vertical="center"/>
    </xf>
    <xf numFmtId="0" fontId="0" fillId="7" borderId="0" xfId="0" applyFill="1" applyAlignment="1">
      <alignment horizontal="center" vertical="center"/>
    </xf>
    <xf numFmtId="0" fontId="10" fillId="7" borderId="0" xfId="0" applyFont="1" applyFill="1" applyAlignment="1">
      <alignment horizontal="center" vertical="center"/>
    </xf>
    <xf numFmtId="0" fontId="10" fillId="7" borderId="10" xfId="0" applyFont="1" applyFill="1" applyBorder="1" applyAlignment="1">
      <alignment horizontal="center" vertical="center"/>
    </xf>
    <xf numFmtId="0" fontId="10" fillId="7" borderId="12" xfId="0" applyFont="1" applyFill="1" applyBorder="1"/>
    <xf numFmtId="0" fontId="10" fillId="7" borderId="1" xfId="0" applyFont="1" applyFill="1" applyBorder="1"/>
    <xf numFmtId="0" fontId="10" fillId="7" borderId="13" xfId="0" applyFont="1" applyFill="1" applyBorder="1"/>
    <xf numFmtId="1" fontId="0" fillId="7" borderId="0" xfId="0" applyNumberFormat="1" applyFill="1" applyAlignment="1">
      <alignment horizontal="center"/>
    </xf>
    <xf numFmtId="1" fontId="0" fillId="7" borderId="0" xfId="0" applyNumberFormat="1" applyFill="1"/>
    <xf numFmtId="0" fontId="10" fillId="7" borderId="12" xfId="0" applyFont="1" applyFill="1" applyBorder="1" applyAlignment="1">
      <alignment horizontal="center" vertical="center"/>
    </xf>
    <xf numFmtId="0" fontId="10" fillId="7" borderId="1" xfId="0" applyFont="1" applyFill="1" applyBorder="1" applyAlignment="1">
      <alignment horizontal="center" vertical="center"/>
    </xf>
    <xf numFmtId="1" fontId="0" fillId="7" borderId="0" xfId="0" applyNumberFormat="1" applyFill="1" applyAlignment="1">
      <alignment horizontal="center" vertical="center"/>
    </xf>
    <xf numFmtId="164" fontId="0" fillId="7" borderId="0" xfId="0" applyNumberFormat="1" applyFill="1" applyAlignment="1">
      <alignment horizontal="center" vertical="center"/>
    </xf>
    <xf numFmtId="164" fontId="57" fillId="7" borderId="0" xfId="0" applyNumberFormat="1" applyFont="1" applyFill="1" applyAlignment="1">
      <alignment horizontal="center" vertical="center"/>
    </xf>
    <xf numFmtId="0" fontId="31" fillId="3" borderId="0" xfId="0" applyFont="1" applyFill="1" applyAlignment="1">
      <alignment horizontal="center" vertical="center" wrapText="1"/>
    </xf>
    <xf numFmtId="0" fontId="31" fillId="0" borderId="24" xfId="0" applyFont="1" applyBorder="1" applyAlignment="1">
      <alignment horizontal="center" vertical="center"/>
    </xf>
    <xf numFmtId="0" fontId="58" fillId="3" borderId="1" xfId="0" applyFont="1" applyFill="1" applyBorder="1" applyAlignment="1">
      <alignment horizontal="center" vertical="center" wrapText="1"/>
    </xf>
    <xf numFmtId="1" fontId="58" fillId="0" borderId="0" xfId="0" applyNumberFormat="1" applyFont="1" applyAlignment="1">
      <alignment horizontal="center"/>
    </xf>
    <xf numFmtId="0" fontId="58" fillId="0" borderId="0" xfId="0" applyFont="1" applyAlignment="1">
      <alignment horizontal="center"/>
    </xf>
    <xf numFmtId="0" fontId="31" fillId="0" borderId="0" xfId="0" applyFont="1" applyAlignment="1">
      <alignment horizontal="center" vertical="center"/>
    </xf>
    <xf numFmtId="0" fontId="31" fillId="7" borderId="0" xfId="0" applyFont="1" applyFill="1" applyAlignment="1">
      <alignment horizontal="center" vertical="center" wrapText="1"/>
    </xf>
    <xf numFmtId="181" fontId="0" fillId="0" borderId="0" xfId="0" applyNumberFormat="1"/>
    <xf numFmtId="0" fontId="31" fillId="0" borderId="0" xfId="0" applyFont="1" applyAlignment="1">
      <alignment horizontal="left" vertical="center"/>
    </xf>
    <xf numFmtId="182" fontId="0" fillId="0" borderId="0" xfId="0" applyNumberFormat="1"/>
    <xf numFmtId="180" fontId="2" fillId="7" borderId="0" xfId="4" applyNumberFormat="1" applyFill="1"/>
    <xf numFmtId="0" fontId="52" fillId="3" borderId="0" xfId="0" applyFont="1" applyFill="1" applyAlignment="1">
      <alignment horizontal="center" vertical="center"/>
    </xf>
    <xf numFmtId="0" fontId="57" fillId="0" borderId="0" xfId="0" applyFont="1"/>
    <xf numFmtId="0" fontId="31" fillId="7" borderId="9" xfId="0" applyFont="1" applyFill="1" applyBorder="1" applyAlignment="1">
      <alignment vertical="center"/>
    </xf>
    <xf numFmtId="0" fontId="0" fillId="7" borderId="9" xfId="0" applyFill="1" applyBorder="1"/>
    <xf numFmtId="169" fontId="0" fillId="0" borderId="12" xfId="7" applyNumberFormat="1" applyFont="1" applyBorder="1"/>
    <xf numFmtId="169" fontId="0" fillId="0" borderId="1" xfId="7" applyNumberFormat="1" applyFont="1" applyBorder="1"/>
    <xf numFmtId="169" fontId="0" fillId="0" borderId="13" xfId="7" applyNumberFormat="1" applyFont="1" applyBorder="1"/>
    <xf numFmtId="169" fontId="0" fillId="0" borderId="22" xfId="7" applyNumberFormat="1" applyFont="1" applyBorder="1"/>
    <xf numFmtId="169" fontId="0" fillId="0" borderId="0" xfId="7" applyNumberFormat="1" applyFont="1" applyBorder="1"/>
    <xf numFmtId="169" fontId="0" fillId="0" borderId="23" xfId="7" applyNumberFormat="1" applyFont="1" applyBorder="1"/>
    <xf numFmtId="169" fontId="0" fillId="0" borderId="14" xfId="7" applyNumberFormat="1" applyFont="1" applyBorder="1"/>
    <xf numFmtId="169" fontId="0" fillId="0" borderId="24" xfId="7" applyNumberFormat="1" applyFont="1" applyBorder="1"/>
    <xf numFmtId="169" fontId="0" fillId="0" borderId="15" xfId="7" applyNumberFormat="1" applyFont="1" applyBorder="1"/>
    <xf numFmtId="0" fontId="58" fillId="3" borderId="25" xfId="0" applyFont="1" applyFill="1" applyBorder="1" applyAlignment="1">
      <alignment horizontal="center" vertical="center" wrapText="1"/>
    </xf>
    <xf numFmtId="0" fontId="58" fillId="0" borderId="26" xfId="0" applyFont="1" applyBorder="1" applyAlignment="1">
      <alignment horizontal="center"/>
    </xf>
    <xf numFmtId="0" fontId="0" fillId="0" borderId="26" xfId="0" applyBorder="1" applyAlignment="1">
      <alignment horizontal="center"/>
    </xf>
    <xf numFmtId="0" fontId="58" fillId="0" borderId="27" xfId="0" applyFont="1" applyBorder="1" applyAlignment="1">
      <alignment horizontal="center"/>
    </xf>
    <xf numFmtId="9" fontId="0" fillId="0" borderId="0" xfId="0" applyNumberFormat="1" applyAlignment="1">
      <alignment horizontal="center" vertical="center"/>
    </xf>
    <xf numFmtId="0" fontId="2" fillId="3" borderId="0" xfId="2" applyFill="1" applyAlignment="1">
      <alignment horizontal="center"/>
    </xf>
    <xf numFmtId="2" fontId="2" fillId="6" borderId="0" xfId="2" applyNumberFormat="1" applyFill="1"/>
    <xf numFmtId="0" fontId="38" fillId="0" borderId="0" xfId="0" applyFont="1" applyAlignment="1">
      <alignment horizontal="center"/>
    </xf>
    <xf numFmtId="0" fontId="3" fillId="3" borderId="0" xfId="3" applyFont="1" applyFill="1" applyAlignment="1">
      <alignment horizontal="center"/>
    </xf>
    <xf numFmtId="183" fontId="0" fillId="0" borderId="0" xfId="5" applyNumberFormat="1" applyFont="1"/>
    <xf numFmtId="184" fontId="0" fillId="0" borderId="0" xfId="5" applyNumberFormat="1" applyFont="1"/>
    <xf numFmtId="2" fontId="58" fillId="0" borderId="0" xfId="0" applyNumberFormat="1" applyFont="1" applyAlignment="1">
      <alignment horizontal="center"/>
    </xf>
    <xf numFmtId="183" fontId="0" fillId="0" borderId="0" xfId="0" applyNumberFormat="1"/>
    <xf numFmtId="0" fontId="4" fillId="4" borderId="0" xfId="4" applyFont="1" applyFill="1" applyAlignment="1">
      <alignment horizontal="left"/>
    </xf>
    <xf numFmtId="0" fontId="10" fillId="3" borderId="0" xfId="0" applyFont="1" applyFill="1" applyAlignment="1">
      <alignment horizontal="center"/>
    </xf>
    <xf numFmtId="0" fontId="10" fillId="0" borderId="0" xfId="0" applyFont="1" applyAlignment="1">
      <alignment horizontal="center"/>
    </xf>
    <xf numFmtId="0" fontId="10" fillId="0" borderId="10" xfId="0" applyFont="1" applyBorder="1" applyAlignment="1">
      <alignment horizontal="center"/>
    </xf>
    <xf numFmtId="0" fontId="10" fillId="0" borderId="11" xfId="0" applyFont="1" applyBorder="1" applyAlignment="1">
      <alignment horizont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17" fillId="10" borderId="5" xfId="0" applyFont="1" applyFill="1" applyBorder="1" applyAlignment="1">
      <alignment horizontal="center" vertical="center" wrapText="1"/>
    </xf>
    <xf numFmtId="0" fontId="17" fillId="10" borderId="6"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6" fillId="9" borderId="5" xfId="0" applyFont="1" applyFill="1" applyBorder="1" applyAlignment="1">
      <alignment horizontal="center" vertical="center"/>
    </xf>
    <xf numFmtId="0" fontId="16" fillId="9" borderId="6" xfId="0" applyFont="1" applyFill="1" applyBorder="1" applyAlignment="1">
      <alignment horizontal="center" vertical="center"/>
    </xf>
    <xf numFmtId="0" fontId="16" fillId="9" borderId="7" xfId="0" applyFont="1" applyFill="1" applyBorder="1" applyAlignment="1">
      <alignment horizontal="center" vertical="center"/>
    </xf>
    <xf numFmtId="0" fontId="16" fillId="9" borderId="20" xfId="0" applyFont="1" applyFill="1" applyBorder="1" applyAlignment="1">
      <alignment horizontal="center" vertical="center"/>
    </xf>
    <xf numFmtId="0" fontId="16" fillId="9" borderId="21" xfId="0" applyFont="1" applyFill="1" applyBorder="1" applyAlignment="1">
      <alignment horizontal="center" vertical="center"/>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 xfId="0" applyFont="1" applyBorder="1" applyAlignment="1">
      <alignment horizontal="center" vertical="center"/>
    </xf>
    <xf numFmtId="0" fontId="15" fillId="0" borderId="0" xfId="0" applyFont="1" applyAlignment="1">
      <alignment horizontal="center" vertical="center"/>
    </xf>
    <xf numFmtId="0" fontId="15" fillId="0" borderId="24" xfId="0" applyFont="1" applyBorder="1" applyAlignment="1">
      <alignment horizontal="center" vertical="center"/>
    </xf>
    <xf numFmtId="2" fontId="0" fillId="0" borderId="12" xfId="0" applyNumberFormat="1" applyBorder="1" applyAlignment="1">
      <alignment horizontal="center" vertical="center"/>
    </xf>
    <xf numFmtId="2" fontId="0" fillId="0" borderId="22" xfId="0" applyNumberFormat="1" applyBorder="1" applyAlignment="1">
      <alignment horizontal="center" vertical="center"/>
    </xf>
    <xf numFmtId="2" fontId="0" fillId="0" borderId="14" xfId="0" applyNumberFormat="1" applyBorder="1" applyAlignment="1">
      <alignment horizontal="center" vertical="center"/>
    </xf>
    <xf numFmtId="43" fontId="0" fillId="0" borderId="13" xfId="0" applyNumberFormat="1" applyBorder="1" applyAlignment="1">
      <alignment horizontal="center" vertical="center"/>
    </xf>
    <xf numFmtId="43" fontId="0" fillId="0" borderId="23" xfId="0" applyNumberFormat="1" applyBorder="1" applyAlignment="1">
      <alignment horizontal="center" vertical="center"/>
    </xf>
    <xf numFmtId="43" fontId="0" fillId="0" borderId="15" xfId="0" applyNumberFormat="1" applyBorder="1" applyAlignment="1">
      <alignment horizontal="center" vertical="center"/>
    </xf>
    <xf numFmtId="0" fontId="26" fillId="0" borderId="13" xfId="0" applyFont="1" applyBorder="1" applyAlignment="1">
      <alignment horizontal="center" vertical="center"/>
    </xf>
    <xf numFmtId="0" fontId="26" fillId="0" borderId="23" xfId="0" applyFont="1" applyBorder="1" applyAlignment="1">
      <alignment horizontal="center" vertical="center"/>
    </xf>
    <xf numFmtId="0" fontId="26" fillId="0" borderId="15" xfId="0" applyFont="1" applyBorder="1" applyAlignment="1">
      <alignment horizontal="center" vertical="center"/>
    </xf>
    <xf numFmtId="0" fontId="10" fillId="0" borderId="14" xfId="0" applyFont="1" applyBorder="1" applyAlignment="1">
      <alignment horizontal="center"/>
    </xf>
    <xf numFmtId="0" fontId="10" fillId="0" borderId="15" xfId="0" applyFont="1" applyBorder="1" applyAlignment="1">
      <alignment horizontal="center"/>
    </xf>
    <xf numFmtId="0" fontId="26" fillId="0" borderId="0" xfId="0" applyFont="1" applyAlignment="1">
      <alignment horizontal="center"/>
    </xf>
    <xf numFmtId="0" fontId="10" fillId="0" borderId="24" xfId="0" applyFont="1" applyBorder="1" applyAlignment="1">
      <alignment horizontal="center"/>
    </xf>
    <xf numFmtId="0" fontId="32" fillId="0" borderId="0" xfId="0" applyFont="1" applyAlignment="1">
      <alignment horizontal="center"/>
    </xf>
    <xf numFmtId="0" fontId="37" fillId="0" borderId="0" xfId="0" applyFont="1" applyAlignment="1">
      <alignment horizontal="center" vertical="center"/>
    </xf>
    <xf numFmtId="0" fontId="19" fillId="0" borderId="0" xfId="0" applyFont="1" applyAlignment="1">
      <alignment horizontal="center" vertical="center"/>
    </xf>
    <xf numFmtId="0" fontId="10" fillId="0" borderId="2" xfId="0" applyFont="1" applyBorder="1" applyAlignment="1">
      <alignment horizontal="center"/>
    </xf>
    <xf numFmtId="0" fontId="0" fillId="0" borderId="0" xfId="0" applyAlignment="1">
      <alignment horizontal="center"/>
    </xf>
    <xf numFmtId="9" fontId="0" fillId="3" borderId="0" xfId="0" applyNumberFormat="1" applyFill="1" applyAlignment="1">
      <alignment horizontal="center" vertical="center"/>
    </xf>
    <xf numFmtId="0" fontId="0" fillId="3" borderId="24" xfId="0" applyFill="1" applyBorder="1" applyAlignment="1">
      <alignment horizontal="center" vertical="center"/>
    </xf>
    <xf numFmtId="9" fontId="0" fillId="0" borderId="0" xfId="0" applyNumberFormat="1" applyAlignment="1">
      <alignment horizontal="center"/>
    </xf>
    <xf numFmtId="0" fontId="10" fillId="3" borderId="10" xfId="0" applyFont="1" applyFill="1" applyBorder="1" applyAlignment="1">
      <alignment horizontal="center"/>
    </xf>
    <xf numFmtId="0" fontId="10" fillId="3" borderId="2" xfId="0" applyFont="1" applyFill="1" applyBorder="1" applyAlignment="1">
      <alignment horizontal="center"/>
    </xf>
    <xf numFmtId="0" fontId="10" fillId="3" borderId="11" xfId="0" applyFont="1" applyFill="1" applyBorder="1" applyAlignment="1">
      <alignment horizontal="center"/>
    </xf>
    <xf numFmtId="0" fontId="31" fillId="0" borderId="0" xfId="0" applyFont="1" applyAlignment="1">
      <alignment horizontal="center"/>
    </xf>
    <xf numFmtId="0" fontId="31" fillId="7" borderId="0" xfId="0" applyFont="1" applyFill="1" applyAlignment="1">
      <alignment horizontal="center"/>
    </xf>
    <xf numFmtId="0" fontId="31" fillId="7" borderId="0" xfId="0" applyFont="1" applyFill="1" applyAlignment="1">
      <alignment horizontal="center" vertical="center"/>
    </xf>
    <xf numFmtId="0" fontId="10" fillId="3" borderId="28" xfId="0" applyFont="1" applyFill="1" applyBorder="1" applyAlignment="1">
      <alignment horizontal="center" vertical="center"/>
    </xf>
    <xf numFmtId="0" fontId="10" fillId="3" borderId="29" xfId="0" applyFont="1" applyFill="1" applyBorder="1" applyAlignment="1">
      <alignment horizontal="center" vertical="center"/>
    </xf>
    <xf numFmtId="0" fontId="55" fillId="0" borderId="0" xfId="0" applyFont="1" applyAlignment="1">
      <alignment horizontal="center"/>
    </xf>
    <xf numFmtId="0" fontId="10" fillId="0" borderId="0" xfId="0" applyFont="1" applyAlignment="1">
      <alignment horizontal="center" vertical="center"/>
    </xf>
  </cellXfs>
  <cellStyles count="10">
    <cellStyle name="20% - Énfasis5" xfId="1" builtinId="46"/>
    <cellStyle name="Millares" xfId="7" builtinId="3"/>
    <cellStyle name="Normal" xfId="0" builtinId="0"/>
    <cellStyle name="Normal 10" xfId="2" xr:uid="{639375C3-5374-441A-B5B9-29EFF394B85E}"/>
    <cellStyle name="Normal 10 2" xfId="9" xr:uid="{54299128-8906-4D17-AB40-105AB885D9E3}"/>
    <cellStyle name="Normal 2" xfId="4" xr:uid="{496AC325-42FF-4168-84A3-9E84498F6084}"/>
    <cellStyle name="Normal 2 2" xfId="6" xr:uid="{FB7AA7FF-5969-4AB8-B58E-D23D3A0812DA}"/>
    <cellStyle name="Normal 4 2" xfId="3" xr:uid="{BF8D61B1-2E2E-479D-ABA6-8FFB8D2C0E3F}"/>
    <cellStyle name="Normal 4 3" xfId="8" xr:uid="{B58AD00C-575F-4635-954F-792419154E2F}"/>
    <cellStyle name="Porcentaje" xfId="5" builtinId="5"/>
  </cellStyles>
  <dxfs count="39">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haredStrings" Target="sharedStrings.xml"/><Relationship Id="rId26" Type="http://schemas.microsoft.com/office/2017/06/relationships/rdSupportingPropertyBag" Target="richData/rdsupportingpropertybag.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5" Type="http://schemas.microsoft.com/office/2017/06/relationships/rdSupportingPropertyBagStructure" Target="richData/rdsupportingpropertybagstructure.xml"/><Relationship Id="rId2" Type="http://schemas.openxmlformats.org/officeDocument/2006/relationships/worksheet" Target="worksheets/sheet2.xml"/><Relationship Id="rId16" Type="http://schemas.openxmlformats.org/officeDocument/2006/relationships/connections" Target="connections.xml"/><Relationship Id="rId20" Type="http://schemas.microsoft.com/office/2020/07/relationships/rdRichValueWebImage" Target="richData/rdRichValueWebImage.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ichStyles" Target="richData/richStyles.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17/06/relationships/rdArray" Target="richData/rdarray.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microsoft.com/office/2017/06/relationships/rdRichValueStructure" Target="richData/rdrichvaluestructure.xml"/><Relationship Id="rId27" Type="http://schemas.microsoft.com/office/2017/06/relationships/rdRichValueTypes" Target="richData/rdRichValueTypes.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scatterChart>
        <c:scatterStyle val="smoothMarker"/>
        <c:varyColors val="0"/>
        <c:ser>
          <c:idx val="0"/>
          <c:order val="0"/>
          <c:tx>
            <c:strRef>
              <c:f>'1. EXP_IMP'!$I$115</c:f>
              <c:strCache>
                <c:ptCount val="1"/>
                <c:pt idx="0">
                  <c:v>GSL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'1. EXP_IMP'!$J$114:$Q$114</c:f>
              <c:numCache>
                <c:formatCode>General</c:formatCode>
                <c:ptCount val="8"/>
                <c:pt idx="0">
                  <c:v>2019</c:v>
                </c:pt>
                <c:pt idx="1">
                  <c:v>2020</c:v>
                </c:pt>
                <c:pt idx="2">
                  <c:v>2025</c:v>
                </c:pt>
                <c:pt idx="3">
                  <c:v>2030</c:v>
                </c:pt>
                <c:pt idx="4">
                  <c:v>2035</c:v>
                </c:pt>
                <c:pt idx="5">
                  <c:v>2040</c:v>
                </c:pt>
                <c:pt idx="6">
                  <c:v>2045</c:v>
                </c:pt>
                <c:pt idx="7">
                  <c:v>2050</c:v>
                </c:pt>
              </c:numCache>
            </c:numRef>
          </c:xVal>
          <c:yVal>
            <c:numRef>
              <c:f>'1. EXP_IMP'!$J$115:$Q$115</c:f>
              <c:numCache>
                <c:formatCode>General</c:formatCode>
                <c:ptCount val="8"/>
                <c:pt idx="0">
                  <c:v>20.996445954041999</c:v>
                </c:pt>
                <c:pt idx="1">
                  <c:v>20.795929580790002</c:v>
                </c:pt>
                <c:pt idx="2">
                  <c:v>20.716882590807003</c:v>
                </c:pt>
                <c:pt idx="3">
                  <c:v>22.202066334591002</c:v>
                </c:pt>
                <c:pt idx="4">
                  <c:v>23.568165402677998</c:v>
                </c:pt>
                <c:pt idx="5">
                  <c:v>24.597135442035</c:v>
                </c:pt>
                <c:pt idx="6">
                  <c:v>25.886116327734001</c:v>
                </c:pt>
                <c:pt idx="7">
                  <c:v>27.153960894333</c:v>
                </c:pt>
              </c:numCache>
            </c:numRef>
          </c:yVal>
          <c:smooth val="1"/>
          <c:extLst>
            <c:ext xmlns:c16="http://schemas.microsoft.com/office/drawing/2014/chart" uri="{C3380CC4-5D6E-409C-BE32-E72D297353CC}">
              <c16:uniqueId val="{00000000-AF89-4FEB-AE9B-8947BD58AF20}"/>
            </c:ext>
          </c:extLst>
        </c:ser>
        <c:ser>
          <c:idx val="1"/>
          <c:order val="1"/>
          <c:tx>
            <c:strRef>
              <c:f>'1. EXP_IMP'!$I$116</c:f>
              <c:strCache>
                <c:ptCount val="1"/>
                <c:pt idx="0">
                  <c:v>DSL</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'1. EXP_IMP'!$J$114:$Q$114</c:f>
              <c:numCache>
                <c:formatCode>General</c:formatCode>
                <c:ptCount val="8"/>
                <c:pt idx="0">
                  <c:v>2019</c:v>
                </c:pt>
                <c:pt idx="1">
                  <c:v>2020</c:v>
                </c:pt>
                <c:pt idx="2">
                  <c:v>2025</c:v>
                </c:pt>
                <c:pt idx="3">
                  <c:v>2030</c:v>
                </c:pt>
                <c:pt idx="4">
                  <c:v>2035</c:v>
                </c:pt>
                <c:pt idx="5">
                  <c:v>2040</c:v>
                </c:pt>
                <c:pt idx="6">
                  <c:v>2045</c:v>
                </c:pt>
                <c:pt idx="7">
                  <c:v>2050</c:v>
                </c:pt>
              </c:numCache>
            </c:numRef>
          </c:xVal>
          <c:yVal>
            <c:numRef>
              <c:f>'1. EXP_IMP'!$J$116:$Q$116</c:f>
              <c:numCache>
                <c:formatCode>General</c:formatCode>
                <c:ptCount val="8"/>
                <c:pt idx="0">
                  <c:v>20.905026160941002</c:v>
                </c:pt>
                <c:pt idx="1">
                  <c:v>20.219447377232999</c:v>
                </c:pt>
                <c:pt idx="2">
                  <c:v>20.630671999937999</c:v>
                </c:pt>
                <c:pt idx="3">
                  <c:v>21.930071290101001</c:v>
                </c:pt>
                <c:pt idx="4">
                  <c:v>23.082531458571001</c:v>
                </c:pt>
                <c:pt idx="5">
                  <c:v>23.875429665555</c:v>
                </c:pt>
                <c:pt idx="6">
                  <c:v>25.090517790116998</c:v>
                </c:pt>
                <c:pt idx="7">
                  <c:v>25.880965890156002</c:v>
                </c:pt>
              </c:numCache>
            </c:numRef>
          </c:yVal>
          <c:smooth val="1"/>
          <c:extLst>
            <c:ext xmlns:c16="http://schemas.microsoft.com/office/drawing/2014/chart" uri="{C3380CC4-5D6E-409C-BE32-E72D297353CC}">
              <c16:uniqueId val="{00000001-AF89-4FEB-AE9B-8947BD58AF20}"/>
            </c:ext>
          </c:extLst>
        </c:ser>
        <c:ser>
          <c:idx val="2"/>
          <c:order val="2"/>
          <c:tx>
            <c:strRef>
              <c:f>'1. EXP_IMP'!$I$117</c:f>
              <c:strCache>
                <c:ptCount val="1"/>
                <c:pt idx="0">
                  <c:v>KER</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'1. EXP_IMP'!$J$114:$Q$114</c:f>
              <c:numCache>
                <c:formatCode>General</c:formatCode>
                <c:ptCount val="8"/>
                <c:pt idx="0">
                  <c:v>2019</c:v>
                </c:pt>
                <c:pt idx="1">
                  <c:v>2020</c:v>
                </c:pt>
                <c:pt idx="2">
                  <c:v>2025</c:v>
                </c:pt>
                <c:pt idx="3">
                  <c:v>2030</c:v>
                </c:pt>
                <c:pt idx="4">
                  <c:v>2035</c:v>
                </c:pt>
                <c:pt idx="5">
                  <c:v>2040</c:v>
                </c:pt>
                <c:pt idx="6">
                  <c:v>2045</c:v>
                </c:pt>
                <c:pt idx="7">
                  <c:v>2050</c:v>
                </c:pt>
              </c:numCache>
            </c:numRef>
          </c:xVal>
          <c:yVal>
            <c:numRef>
              <c:f>'1. EXP_IMP'!$J$117:$Q$117</c:f>
              <c:numCache>
                <c:formatCode>General</c:formatCode>
                <c:ptCount val="8"/>
                <c:pt idx="0">
                  <c:v>13.877034192216</c:v>
                </c:pt>
                <c:pt idx="1">
                  <c:v>13.695434350650002</c:v>
                </c:pt>
                <c:pt idx="2">
                  <c:v>14.458260219857999</c:v>
                </c:pt>
                <c:pt idx="3">
                  <c:v>15.795199697939999</c:v>
                </c:pt>
                <c:pt idx="4">
                  <c:v>17.191836481949998</c:v>
                </c:pt>
                <c:pt idx="5">
                  <c:v>18.196136740431001</c:v>
                </c:pt>
                <c:pt idx="6">
                  <c:v>19.62033319935</c:v>
                </c:pt>
                <c:pt idx="7">
                  <c:v>20.718097692200999</c:v>
                </c:pt>
              </c:numCache>
            </c:numRef>
          </c:yVal>
          <c:smooth val="1"/>
          <c:extLst>
            <c:ext xmlns:c16="http://schemas.microsoft.com/office/drawing/2014/chart" uri="{C3380CC4-5D6E-409C-BE32-E72D297353CC}">
              <c16:uniqueId val="{00000002-AF89-4FEB-AE9B-8947BD58AF20}"/>
            </c:ext>
          </c:extLst>
        </c:ser>
        <c:ser>
          <c:idx val="3"/>
          <c:order val="3"/>
          <c:tx>
            <c:strRef>
              <c:f>'1. EXP_IMP'!$I$118</c:f>
              <c:strCache>
                <c:ptCount val="1"/>
                <c:pt idx="0">
                  <c:v>LPG</c:v>
                </c:pt>
              </c:strCache>
            </c:strRef>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'1. EXP_IMP'!$J$114:$Q$114</c:f>
              <c:numCache>
                <c:formatCode>General</c:formatCode>
                <c:ptCount val="8"/>
                <c:pt idx="0">
                  <c:v>2019</c:v>
                </c:pt>
                <c:pt idx="1">
                  <c:v>2020</c:v>
                </c:pt>
                <c:pt idx="2">
                  <c:v>2025</c:v>
                </c:pt>
                <c:pt idx="3">
                  <c:v>2030</c:v>
                </c:pt>
                <c:pt idx="4">
                  <c:v>2035</c:v>
                </c:pt>
                <c:pt idx="5">
                  <c:v>2040</c:v>
                </c:pt>
                <c:pt idx="6">
                  <c:v>2045</c:v>
                </c:pt>
                <c:pt idx="7">
                  <c:v>2050</c:v>
                </c:pt>
              </c:numCache>
            </c:numRef>
          </c:xVal>
          <c:yVal>
            <c:numRef>
              <c:f>'1. EXP_IMP'!$J$118:$Q$118</c:f>
              <c:numCache>
                <c:formatCode>General</c:formatCode>
                <c:ptCount val="8"/>
                <c:pt idx="0">
                  <c:v>17.551047751146001</c:v>
                </c:pt>
                <c:pt idx="1">
                  <c:v>16.867144707893999</c:v>
                </c:pt>
                <c:pt idx="2">
                  <c:v>19.872932116751997</c:v>
                </c:pt>
                <c:pt idx="3">
                  <c:v>22.022557377326997</c:v>
                </c:pt>
                <c:pt idx="4">
                  <c:v>22.891725470484001</c:v>
                </c:pt>
                <c:pt idx="5">
                  <c:v>24.412499742618003</c:v>
                </c:pt>
                <c:pt idx="6">
                  <c:v>25.877700660591003</c:v>
                </c:pt>
                <c:pt idx="7">
                  <c:v>27.425805235919999</c:v>
                </c:pt>
              </c:numCache>
            </c:numRef>
          </c:yVal>
          <c:smooth val="1"/>
          <c:extLst>
            <c:ext xmlns:c16="http://schemas.microsoft.com/office/drawing/2014/chart" uri="{C3380CC4-5D6E-409C-BE32-E72D297353CC}">
              <c16:uniqueId val="{00000003-AF89-4FEB-AE9B-8947BD58AF20}"/>
            </c:ext>
          </c:extLst>
        </c:ser>
        <c:ser>
          <c:idx val="4"/>
          <c:order val="4"/>
          <c:tx>
            <c:strRef>
              <c:f>'1. EXP_IMP'!$I$119</c:f>
              <c:strCache>
                <c:ptCount val="1"/>
                <c:pt idx="0">
                  <c:v>HFO</c:v>
                </c:pt>
              </c:strCache>
            </c:strRef>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'1. EXP_IMP'!$J$114:$Q$114</c:f>
              <c:numCache>
                <c:formatCode>General</c:formatCode>
                <c:ptCount val="8"/>
                <c:pt idx="0">
                  <c:v>2019</c:v>
                </c:pt>
                <c:pt idx="1">
                  <c:v>2020</c:v>
                </c:pt>
                <c:pt idx="2">
                  <c:v>2025</c:v>
                </c:pt>
                <c:pt idx="3">
                  <c:v>2030</c:v>
                </c:pt>
                <c:pt idx="4">
                  <c:v>2035</c:v>
                </c:pt>
                <c:pt idx="5">
                  <c:v>2040</c:v>
                </c:pt>
                <c:pt idx="6">
                  <c:v>2045</c:v>
                </c:pt>
                <c:pt idx="7">
                  <c:v>2050</c:v>
                </c:pt>
              </c:numCache>
            </c:numRef>
          </c:xVal>
          <c:yVal>
            <c:numRef>
              <c:f>'1. EXP_IMP'!$J$119:$Q$119</c:f>
              <c:numCache>
                <c:formatCode>General</c:formatCode>
                <c:ptCount val="8"/>
                <c:pt idx="0">
                  <c:v>9.2415067298189992</c:v>
                </c:pt>
                <c:pt idx="1">
                  <c:v>9.6605963379900004</c:v>
                </c:pt>
                <c:pt idx="2">
                  <c:v>9.3615136314569991</c:v>
                </c:pt>
                <c:pt idx="3">
                  <c:v>10.777456499940001</c:v>
                </c:pt>
                <c:pt idx="4">
                  <c:v>12.03505800822</c:v>
                </c:pt>
                <c:pt idx="5">
                  <c:v>13.376972577735</c:v>
                </c:pt>
                <c:pt idx="6">
                  <c:v>14.299692331392</c:v>
                </c:pt>
                <c:pt idx="7">
                  <c:v>15.089726235401999</c:v>
                </c:pt>
              </c:numCache>
            </c:numRef>
          </c:yVal>
          <c:smooth val="1"/>
          <c:extLst>
            <c:ext xmlns:c16="http://schemas.microsoft.com/office/drawing/2014/chart" uri="{C3380CC4-5D6E-409C-BE32-E72D297353CC}">
              <c16:uniqueId val="{00000004-AF89-4FEB-AE9B-8947BD58AF20}"/>
            </c:ext>
          </c:extLst>
        </c:ser>
        <c:ser>
          <c:idx val="5"/>
          <c:order val="5"/>
          <c:tx>
            <c:strRef>
              <c:f>'1. EXP_IMP'!$I$120</c:f>
              <c:strCache>
                <c:ptCount val="1"/>
                <c:pt idx="0">
                  <c:v>ETH</c:v>
                </c:pt>
              </c:strCache>
            </c:strRef>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Ref>
              <c:f>'1. EXP_IMP'!$J$114:$Q$114</c:f>
              <c:numCache>
                <c:formatCode>General</c:formatCode>
                <c:ptCount val="8"/>
                <c:pt idx="0">
                  <c:v>2019</c:v>
                </c:pt>
                <c:pt idx="1">
                  <c:v>2020</c:v>
                </c:pt>
                <c:pt idx="2">
                  <c:v>2025</c:v>
                </c:pt>
                <c:pt idx="3">
                  <c:v>2030</c:v>
                </c:pt>
                <c:pt idx="4">
                  <c:v>2035</c:v>
                </c:pt>
                <c:pt idx="5">
                  <c:v>2040</c:v>
                </c:pt>
                <c:pt idx="6">
                  <c:v>2045</c:v>
                </c:pt>
                <c:pt idx="7">
                  <c:v>2050</c:v>
                </c:pt>
              </c:numCache>
            </c:numRef>
          </c:xVal>
          <c:yVal>
            <c:numRef>
              <c:f>'1. EXP_IMP'!$J$120:$Q$120</c:f>
              <c:numCache>
                <c:formatCode>General</c:formatCode>
                <c:ptCount val="8"/>
                <c:pt idx="0">
                  <c:v>15.484369752577541</c:v>
                </c:pt>
                <c:pt idx="1">
                  <c:v>15.076841521470868</c:v>
                </c:pt>
                <c:pt idx="2">
                  <c:v>16.842423718223472</c:v>
                </c:pt>
                <c:pt idx="3">
                  <c:v>19.600166238545455</c:v>
                </c:pt>
                <c:pt idx="4">
                  <c:v>19.747825616593868</c:v>
                </c:pt>
                <c:pt idx="5">
                  <c:v>20.304548193105546</c:v>
                </c:pt>
                <c:pt idx="6">
                  <c:v>21.409220503499576</c:v>
                </c:pt>
                <c:pt idx="7">
                  <c:v>24.151142776321418</c:v>
                </c:pt>
              </c:numCache>
            </c:numRef>
          </c:yVal>
          <c:smooth val="1"/>
          <c:extLst>
            <c:ext xmlns:c16="http://schemas.microsoft.com/office/drawing/2014/chart" uri="{C3380CC4-5D6E-409C-BE32-E72D297353CC}">
              <c16:uniqueId val="{00000005-AF89-4FEB-AE9B-8947BD58AF20}"/>
            </c:ext>
          </c:extLst>
        </c:ser>
        <c:ser>
          <c:idx val="6"/>
          <c:order val="6"/>
          <c:tx>
            <c:strRef>
              <c:f>'1. EXP_IMP'!$I$121</c:f>
              <c:strCache>
                <c:ptCount val="1"/>
                <c:pt idx="0">
                  <c:v>BDSL</c:v>
                </c:pt>
              </c:strCache>
            </c:strRef>
          </c:tx>
          <c:spPr>
            <a:ln w="19050"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xVal>
            <c:numRef>
              <c:f>'1. EXP_IMP'!$J$114:$Q$114</c:f>
              <c:numCache>
                <c:formatCode>General</c:formatCode>
                <c:ptCount val="8"/>
                <c:pt idx="0">
                  <c:v>2019</c:v>
                </c:pt>
                <c:pt idx="1">
                  <c:v>2020</c:v>
                </c:pt>
                <c:pt idx="2">
                  <c:v>2025</c:v>
                </c:pt>
                <c:pt idx="3">
                  <c:v>2030</c:v>
                </c:pt>
                <c:pt idx="4">
                  <c:v>2035</c:v>
                </c:pt>
                <c:pt idx="5">
                  <c:v>2040</c:v>
                </c:pt>
                <c:pt idx="6">
                  <c:v>2045</c:v>
                </c:pt>
                <c:pt idx="7">
                  <c:v>2050</c:v>
                </c:pt>
              </c:numCache>
            </c:numRef>
          </c:xVal>
          <c:yVal>
            <c:numRef>
              <c:f>'1. EXP_IMP'!$J$121:$Q$121</c:f>
              <c:numCache>
                <c:formatCode>General</c:formatCode>
                <c:ptCount val="8"/>
                <c:pt idx="0">
                  <c:v>27.015813128159731</c:v>
                </c:pt>
                <c:pt idx="1">
                  <c:v>26.129831538723028</c:v>
                </c:pt>
                <c:pt idx="2">
                  <c:v>26.661261993541277</c:v>
                </c:pt>
                <c:pt idx="3">
                  <c:v>28.340491100056148</c:v>
                </c:pt>
                <c:pt idx="4">
                  <c:v>29.829829037705093</c:v>
                </c:pt>
                <c:pt idx="5">
                  <c:v>30.854500790068418</c:v>
                </c:pt>
                <c:pt idx="6">
                  <c:v>32.424773577803386</c:v>
                </c:pt>
                <c:pt idx="7">
                  <c:v>33.446279027916688</c:v>
                </c:pt>
              </c:numCache>
            </c:numRef>
          </c:yVal>
          <c:smooth val="1"/>
          <c:extLst>
            <c:ext xmlns:c16="http://schemas.microsoft.com/office/drawing/2014/chart" uri="{C3380CC4-5D6E-409C-BE32-E72D297353CC}">
              <c16:uniqueId val="{00000006-AF89-4FEB-AE9B-8947BD58AF20}"/>
            </c:ext>
          </c:extLst>
        </c:ser>
        <c:dLbls>
          <c:showLegendKey val="0"/>
          <c:showVal val="0"/>
          <c:showCatName val="0"/>
          <c:showSerName val="0"/>
          <c:showPercent val="0"/>
          <c:showBubbleSize val="0"/>
        </c:dLbls>
        <c:axId val="378395519"/>
        <c:axId val="378396351"/>
      </c:scatterChart>
      <c:valAx>
        <c:axId val="378395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378396351"/>
        <c:crosses val="autoZero"/>
        <c:crossBetween val="midCat"/>
      </c:valAx>
      <c:valAx>
        <c:axId val="37839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37839551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www.minambiente.gov.co/wp-content/uploads/2021/10/cambio-climatico-Informe-sobre-el-desarrollo-y-los-supuestos-para-la-realizacion-de-escenarios-de-referencia-ndc.pdf#https://www.minambiente.gov.co/wp-content/uploads/2021/10/cambio-climatico-Informe-sobre-el-desarrollo-y-los-supuestos-para-la-realizacion-de-escenarios-de-referencia-ndc.pdf" TargetMode="External"/><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2.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108380</xdr:colOff>
      <xdr:row>62</xdr:row>
      <xdr:rowOff>78828</xdr:rowOff>
    </xdr:from>
    <xdr:to>
      <xdr:col>4</xdr:col>
      <xdr:colOff>59536</xdr:colOff>
      <xdr:row>66</xdr:row>
      <xdr:rowOff>91966</xdr:rowOff>
    </xdr:to>
    <xdr:pic>
      <xdr:nvPicPr>
        <xdr:cNvPr id="3" name="Imagen 2">
          <a:extLst>
            <a:ext uri="{FF2B5EF4-FFF2-40B4-BE49-F238E27FC236}">
              <a16:creationId xmlns:a16="http://schemas.microsoft.com/office/drawing/2014/main" id="{4DEE3EFC-7106-317B-D231-150725410089}"/>
            </a:ext>
          </a:extLst>
        </xdr:cNvPr>
        <xdr:cNvPicPr>
          <a:picLocks noChangeAspect="1"/>
        </xdr:cNvPicPr>
      </xdr:nvPicPr>
      <xdr:blipFill>
        <a:blip xmlns:r="http://schemas.openxmlformats.org/officeDocument/2006/relationships" r:embed="rId1"/>
        <a:stretch>
          <a:fillRect/>
        </a:stretch>
      </xdr:blipFill>
      <xdr:spPr>
        <a:xfrm>
          <a:off x="108380" y="9065173"/>
          <a:ext cx="5025253" cy="670034"/>
        </a:xfrm>
        <a:prstGeom prst="rect">
          <a:avLst/>
        </a:prstGeom>
      </xdr:spPr>
    </xdr:pic>
    <xdr:clientData/>
  </xdr:twoCellAnchor>
  <xdr:twoCellAnchor editAs="oneCell">
    <xdr:from>
      <xdr:col>0</xdr:col>
      <xdr:colOff>170794</xdr:colOff>
      <xdr:row>67</xdr:row>
      <xdr:rowOff>49602</xdr:rowOff>
    </xdr:from>
    <xdr:to>
      <xdr:col>2</xdr:col>
      <xdr:colOff>118242</xdr:colOff>
      <xdr:row>72</xdr:row>
      <xdr:rowOff>14718</xdr:rowOff>
    </xdr:to>
    <xdr:pic>
      <xdr:nvPicPr>
        <xdr:cNvPr id="5" name="Imagen 4">
          <a:extLst>
            <a:ext uri="{FF2B5EF4-FFF2-40B4-BE49-F238E27FC236}">
              <a16:creationId xmlns:a16="http://schemas.microsoft.com/office/drawing/2014/main" id="{29541BB5-4146-7A84-FC5B-E172BECA2A2C}"/>
            </a:ext>
          </a:extLst>
        </xdr:cNvPr>
        <xdr:cNvPicPr>
          <a:picLocks noChangeAspect="1"/>
        </xdr:cNvPicPr>
      </xdr:nvPicPr>
      <xdr:blipFill>
        <a:blip xmlns:r="http://schemas.openxmlformats.org/officeDocument/2006/relationships" r:embed="rId2"/>
        <a:stretch>
          <a:fillRect/>
        </a:stretch>
      </xdr:blipFill>
      <xdr:spPr>
        <a:xfrm>
          <a:off x="170794" y="9857068"/>
          <a:ext cx="2042948" cy="786236"/>
        </a:xfrm>
        <a:prstGeom prst="rect">
          <a:avLst/>
        </a:prstGeom>
      </xdr:spPr>
    </xdr:pic>
    <xdr:clientData/>
  </xdr:twoCellAnchor>
  <xdr:twoCellAnchor>
    <xdr:from>
      <xdr:col>5</xdr:col>
      <xdr:colOff>1</xdr:colOff>
      <xdr:row>72</xdr:row>
      <xdr:rowOff>1</xdr:rowOff>
    </xdr:from>
    <xdr:to>
      <xdr:col>13</xdr:col>
      <xdr:colOff>578070</xdr:colOff>
      <xdr:row>73</xdr:row>
      <xdr:rowOff>131381</xdr:rowOff>
    </xdr:to>
    <xdr:sp macro="" textlink="">
      <xdr:nvSpPr>
        <xdr:cNvPr id="12298" name="Text Box 10">
          <a:hlinkClick xmlns:r="http://schemas.openxmlformats.org/officeDocument/2006/relationships" r:id="rId3"/>
          <a:extLst>
            <a:ext uri="{FF2B5EF4-FFF2-40B4-BE49-F238E27FC236}">
              <a16:creationId xmlns:a16="http://schemas.microsoft.com/office/drawing/2014/main" id="{28E6D7DE-862C-7093-7155-DB3ED9B3A825}"/>
            </a:ext>
          </a:extLst>
        </xdr:cNvPr>
        <xdr:cNvSpPr txBox="1">
          <a:spLocks noChangeArrowheads="1"/>
        </xdr:cNvSpPr>
      </xdr:nvSpPr>
      <xdr:spPr bwMode="auto">
        <a:xfrm>
          <a:off x="5688725" y="10628587"/>
          <a:ext cx="7048500" cy="295604"/>
        </a:xfrm>
        <a:prstGeom prst="rect">
          <a:avLst/>
        </a:prstGeom>
        <a:solidFill>
          <a:srgbClr val="FFFFFF"/>
        </a:solidFill>
        <a:ln w="9525">
          <a:solidFill>
            <a:srgbClr val="000000"/>
          </a:solidFill>
          <a:miter lim="800000"/>
          <a:headEnd/>
          <a:tailEnd/>
        </a:ln>
      </xdr:spPr>
      <xdr:txBody>
        <a:bodyPr vertOverflow="clip" wrap="square" lIns="36576" tIns="36576" rIns="0" bIns="0" anchor="t" upright="1"/>
        <a:lstStyle/>
        <a:p>
          <a:pPr algn="l" rtl="0">
            <a:defRPr sz="1000"/>
          </a:pPr>
          <a:r>
            <a:rPr lang="es-CO" sz="700" b="0" i="0" u="none" strike="noStrike" baseline="0">
              <a:solidFill>
                <a:srgbClr val="000000"/>
              </a:solidFill>
              <a:latin typeface="Calibri"/>
              <a:cs typeface="Calibri"/>
            </a:rPr>
            <a:t>https://www.minambiente.gov.co/wp-content/uploads/2021/10/cambio-climatico-Informe-sobre-el-desarrollo-y-los-supuestos-para-la-realizacion-de-escenarios-de-referencia-ndc.pdf</a:t>
          </a:r>
        </a:p>
      </xdr:txBody>
    </xdr:sp>
    <xdr:clientData/>
  </xdr:twoCellAnchor>
  <xdr:twoCellAnchor editAs="oneCell">
    <xdr:from>
      <xdr:col>4</xdr:col>
      <xdr:colOff>426983</xdr:colOff>
      <xdr:row>59</xdr:row>
      <xdr:rowOff>100472</xdr:rowOff>
    </xdr:from>
    <xdr:to>
      <xdr:col>14</xdr:col>
      <xdr:colOff>337114</xdr:colOff>
      <xdr:row>74</xdr:row>
      <xdr:rowOff>2806</xdr:rowOff>
    </xdr:to>
    <xdr:pic>
      <xdr:nvPicPr>
        <xdr:cNvPr id="9" name="Imagen 8">
          <a:extLst>
            <a:ext uri="{FF2B5EF4-FFF2-40B4-BE49-F238E27FC236}">
              <a16:creationId xmlns:a16="http://schemas.microsoft.com/office/drawing/2014/main" id="{E2668FC5-9314-2808-33C6-33092447A348}"/>
            </a:ext>
          </a:extLst>
        </xdr:cNvPr>
        <xdr:cNvPicPr>
          <a:picLocks noChangeAspect="1"/>
        </xdr:cNvPicPr>
      </xdr:nvPicPr>
      <xdr:blipFill>
        <a:blip xmlns:r="http://schemas.openxmlformats.org/officeDocument/2006/relationships" r:embed="rId4"/>
        <a:stretch>
          <a:fillRect/>
        </a:stretch>
      </xdr:blipFill>
      <xdr:spPr>
        <a:xfrm>
          <a:off x="5347138" y="8594144"/>
          <a:ext cx="8103906" cy="23656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228600</xdr:colOff>
      <xdr:row>70</xdr:row>
      <xdr:rowOff>133335</xdr:rowOff>
    </xdr:from>
    <xdr:to>
      <xdr:col>22</xdr:col>
      <xdr:colOff>733502</xdr:colOff>
      <xdr:row>93</xdr:row>
      <xdr:rowOff>11685</xdr:rowOff>
    </xdr:to>
    <xdr:pic>
      <xdr:nvPicPr>
        <xdr:cNvPr id="2" name="Imagen 1">
          <a:extLst>
            <a:ext uri="{FF2B5EF4-FFF2-40B4-BE49-F238E27FC236}">
              <a16:creationId xmlns:a16="http://schemas.microsoft.com/office/drawing/2014/main" id="{6506359C-5853-611F-11D8-9789F3148DB5}"/>
            </a:ext>
          </a:extLst>
        </xdr:cNvPr>
        <xdr:cNvPicPr>
          <a:picLocks noChangeAspect="1"/>
        </xdr:cNvPicPr>
      </xdr:nvPicPr>
      <xdr:blipFill>
        <a:blip xmlns:r="http://schemas.openxmlformats.org/officeDocument/2006/relationships" r:embed="rId1"/>
        <a:stretch>
          <a:fillRect/>
        </a:stretch>
      </xdr:blipFill>
      <xdr:spPr>
        <a:xfrm>
          <a:off x="14121493" y="15904014"/>
          <a:ext cx="6126252" cy="4259850"/>
        </a:xfrm>
        <a:prstGeom prst="rect">
          <a:avLst/>
        </a:prstGeom>
      </xdr:spPr>
    </xdr:pic>
    <xdr:clientData/>
  </xdr:twoCellAnchor>
  <xdr:twoCellAnchor editAs="oneCell">
    <xdr:from>
      <xdr:col>7</xdr:col>
      <xdr:colOff>523875</xdr:colOff>
      <xdr:row>85</xdr:row>
      <xdr:rowOff>101775</xdr:rowOff>
    </xdr:from>
    <xdr:to>
      <xdr:col>12</xdr:col>
      <xdr:colOff>666750</xdr:colOff>
      <xdr:row>89</xdr:row>
      <xdr:rowOff>157097</xdr:rowOff>
    </xdr:to>
    <xdr:pic>
      <xdr:nvPicPr>
        <xdr:cNvPr id="3" name="Imagen 2">
          <a:extLst>
            <a:ext uri="{FF2B5EF4-FFF2-40B4-BE49-F238E27FC236}">
              <a16:creationId xmlns:a16="http://schemas.microsoft.com/office/drawing/2014/main" id="{AD6BF51D-B9E3-48BB-85B3-4BD3C25DEAF4}"/>
            </a:ext>
          </a:extLst>
        </xdr:cNvPr>
        <xdr:cNvPicPr>
          <a:picLocks noChangeAspect="1"/>
        </xdr:cNvPicPr>
      </xdr:nvPicPr>
      <xdr:blipFill>
        <a:blip xmlns:r="http://schemas.openxmlformats.org/officeDocument/2006/relationships" r:embed="rId2"/>
        <a:stretch>
          <a:fillRect/>
        </a:stretch>
      </xdr:blipFill>
      <xdr:spPr>
        <a:xfrm>
          <a:off x="6086475" y="18723150"/>
          <a:ext cx="5915025" cy="817322"/>
        </a:xfrm>
        <a:prstGeom prst="rect">
          <a:avLst/>
        </a:prstGeom>
      </xdr:spPr>
    </xdr:pic>
    <xdr:clientData/>
  </xdr:twoCellAnchor>
  <xdr:twoCellAnchor>
    <xdr:from>
      <xdr:col>17</xdr:col>
      <xdr:colOff>347870</xdr:colOff>
      <xdr:row>113</xdr:row>
      <xdr:rowOff>77855</xdr:rowOff>
    </xdr:from>
    <xdr:to>
      <xdr:col>23</xdr:col>
      <xdr:colOff>57979</xdr:colOff>
      <xdr:row>127</xdr:row>
      <xdr:rowOff>154055</xdr:rowOff>
    </xdr:to>
    <xdr:graphicFrame macro="">
      <xdr:nvGraphicFramePr>
        <xdr:cNvPr id="4" name="Gráfico 3">
          <a:extLst>
            <a:ext uri="{FF2B5EF4-FFF2-40B4-BE49-F238E27FC236}">
              <a16:creationId xmlns:a16="http://schemas.microsoft.com/office/drawing/2014/main" id="{FCFAB906-0AA8-20EF-97CD-6DDE778158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361229</xdr:colOff>
      <xdr:row>99</xdr:row>
      <xdr:rowOff>59951</xdr:rowOff>
    </xdr:from>
    <xdr:to>
      <xdr:col>6</xdr:col>
      <xdr:colOff>210222</xdr:colOff>
      <xdr:row>118</xdr:row>
      <xdr:rowOff>136355</xdr:rowOff>
    </xdr:to>
    <xdr:pic>
      <xdr:nvPicPr>
        <xdr:cNvPr id="3" name="Imagen 2">
          <a:extLst>
            <a:ext uri="{FF2B5EF4-FFF2-40B4-BE49-F238E27FC236}">
              <a16:creationId xmlns:a16="http://schemas.microsoft.com/office/drawing/2014/main" id="{FA2E0D8A-DF53-39D4-5707-460F5DBD5FF6}"/>
            </a:ext>
          </a:extLst>
        </xdr:cNvPr>
        <xdr:cNvPicPr>
          <a:picLocks noChangeAspect="1"/>
        </xdr:cNvPicPr>
      </xdr:nvPicPr>
      <xdr:blipFill>
        <a:blip xmlns:r="http://schemas.openxmlformats.org/officeDocument/2006/relationships" r:embed="rId1"/>
        <a:stretch>
          <a:fillRect/>
        </a:stretch>
      </xdr:blipFill>
      <xdr:spPr>
        <a:xfrm>
          <a:off x="808904" y="18767051"/>
          <a:ext cx="5954518" cy="3695904"/>
        </a:xfrm>
        <a:prstGeom prst="rect">
          <a:avLst/>
        </a:prstGeom>
      </xdr:spPr>
    </xdr:pic>
    <xdr:clientData/>
  </xdr:twoCellAnchor>
  <xdr:twoCellAnchor editAs="oneCell">
    <xdr:from>
      <xdr:col>2</xdr:col>
      <xdr:colOff>0</xdr:colOff>
      <xdr:row>176</xdr:row>
      <xdr:rowOff>0</xdr:rowOff>
    </xdr:from>
    <xdr:to>
      <xdr:col>13</xdr:col>
      <xdr:colOff>592120</xdr:colOff>
      <xdr:row>218</xdr:row>
      <xdr:rowOff>163064</xdr:rowOff>
    </xdr:to>
    <xdr:pic>
      <xdr:nvPicPr>
        <xdr:cNvPr id="5" name="Imagen 4">
          <a:extLst>
            <a:ext uri="{FF2B5EF4-FFF2-40B4-BE49-F238E27FC236}">
              <a16:creationId xmlns:a16="http://schemas.microsoft.com/office/drawing/2014/main" id="{ABEE9F4A-EB47-FF8D-3DDC-D92B4AE1A988}"/>
            </a:ext>
          </a:extLst>
        </xdr:cNvPr>
        <xdr:cNvPicPr>
          <a:picLocks noChangeAspect="1"/>
        </xdr:cNvPicPr>
      </xdr:nvPicPr>
      <xdr:blipFill>
        <a:blip xmlns:r="http://schemas.openxmlformats.org/officeDocument/2006/relationships" r:embed="rId2"/>
        <a:stretch>
          <a:fillRect/>
        </a:stretch>
      </xdr:blipFill>
      <xdr:spPr>
        <a:xfrm>
          <a:off x="895350" y="32385000"/>
          <a:ext cx="11250595" cy="81640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176</xdr:row>
      <xdr:rowOff>0</xdr:rowOff>
    </xdr:from>
    <xdr:to>
      <xdr:col>13</xdr:col>
      <xdr:colOff>426468</xdr:colOff>
      <xdr:row>218</xdr:row>
      <xdr:rowOff>163064</xdr:rowOff>
    </xdr:to>
    <xdr:pic>
      <xdr:nvPicPr>
        <xdr:cNvPr id="3" name="Imagen 2">
          <a:extLst>
            <a:ext uri="{FF2B5EF4-FFF2-40B4-BE49-F238E27FC236}">
              <a16:creationId xmlns:a16="http://schemas.microsoft.com/office/drawing/2014/main" id="{56DDF4E9-193F-400D-9909-E50694A2BF41}"/>
            </a:ext>
          </a:extLst>
        </xdr:cNvPr>
        <xdr:cNvPicPr>
          <a:picLocks noChangeAspect="1"/>
        </xdr:cNvPicPr>
      </xdr:nvPicPr>
      <xdr:blipFill>
        <a:blip xmlns:r="http://schemas.openxmlformats.org/officeDocument/2006/relationships" r:embed="rId1"/>
        <a:stretch>
          <a:fillRect/>
        </a:stretch>
      </xdr:blipFill>
      <xdr:spPr>
        <a:xfrm>
          <a:off x="1476375" y="33566100"/>
          <a:ext cx="11250595" cy="8164064"/>
        </a:xfrm>
        <a:prstGeom prst="rect">
          <a:avLst/>
        </a:prstGeom>
      </xdr:spPr>
    </xdr:pic>
    <xdr:clientData/>
  </xdr:twoCellAnchor>
  <xdr:twoCellAnchor editAs="oneCell">
    <xdr:from>
      <xdr:col>1</xdr:col>
      <xdr:colOff>437087</xdr:colOff>
      <xdr:row>50</xdr:row>
      <xdr:rowOff>168518</xdr:rowOff>
    </xdr:from>
    <xdr:to>
      <xdr:col>7</xdr:col>
      <xdr:colOff>49320</xdr:colOff>
      <xdr:row>69</xdr:row>
      <xdr:rowOff>113056</xdr:rowOff>
    </xdr:to>
    <xdr:pic>
      <xdr:nvPicPr>
        <xdr:cNvPr id="4" name="Imagen 3">
          <a:extLst>
            <a:ext uri="{FF2B5EF4-FFF2-40B4-BE49-F238E27FC236}">
              <a16:creationId xmlns:a16="http://schemas.microsoft.com/office/drawing/2014/main" id="{46DB1EF2-399D-49B2-AE46-4868EB448DE2}"/>
            </a:ext>
          </a:extLst>
        </xdr:cNvPr>
        <xdr:cNvPicPr>
          <a:picLocks noChangeAspect="1"/>
        </xdr:cNvPicPr>
      </xdr:nvPicPr>
      <xdr:blipFill>
        <a:blip xmlns:r="http://schemas.openxmlformats.org/officeDocument/2006/relationships" r:embed="rId2"/>
        <a:stretch>
          <a:fillRect/>
        </a:stretch>
      </xdr:blipFill>
      <xdr:spPr>
        <a:xfrm>
          <a:off x="884029" y="9693518"/>
          <a:ext cx="6482020" cy="3600673"/>
        </a:xfrm>
        <a:prstGeom prst="rect">
          <a:avLst/>
        </a:prstGeom>
      </xdr:spPr>
    </xdr:pic>
    <xdr:clientData/>
  </xdr:twoCellAnchor>
  <xdr:twoCellAnchor editAs="oneCell">
    <xdr:from>
      <xdr:col>2</xdr:col>
      <xdr:colOff>556846</xdr:colOff>
      <xdr:row>125</xdr:row>
      <xdr:rowOff>133978</xdr:rowOff>
    </xdr:from>
    <xdr:to>
      <xdr:col>9</xdr:col>
      <xdr:colOff>314981</xdr:colOff>
      <xdr:row>144</xdr:row>
      <xdr:rowOff>119337</xdr:rowOff>
    </xdr:to>
    <xdr:pic>
      <xdr:nvPicPr>
        <xdr:cNvPr id="5" name="Imagen 4">
          <a:extLst>
            <a:ext uri="{FF2B5EF4-FFF2-40B4-BE49-F238E27FC236}">
              <a16:creationId xmlns:a16="http://schemas.microsoft.com/office/drawing/2014/main" id="{28C6638B-C176-BA40-D9C5-17D03658C52E}"/>
            </a:ext>
          </a:extLst>
        </xdr:cNvPr>
        <xdr:cNvPicPr>
          <a:picLocks noChangeAspect="1"/>
        </xdr:cNvPicPr>
      </xdr:nvPicPr>
      <xdr:blipFill>
        <a:blip xmlns:r="http://schemas.openxmlformats.org/officeDocument/2006/relationships" r:embed="rId2"/>
        <a:stretch>
          <a:fillRect/>
        </a:stretch>
      </xdr:blipFill>
      <xdr:spPr>
        <a:xfrm>
          <a:off x="2029558" y="23983113"/>
          <a:ext cx="6482020" cy="36048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1257299</xdr:colOff>
      <xdr:row>1</xdr:row>
      <xdr:rowOff>142874</xdr:rowOff>
    </xdr:from>
    <xdr:to>
      <xdr:col>19</xdr:col>
      <xdr:colOff>606865</xdr:colOff>
      <xdr:row>5</xdr:row>
      <xdr:rowOff>95249</xdr:rowOff>
    </xdr:to>
    <xdr:pic>
      <xdr:nvPicPr>
        <xdr:cNvPr id="2" name="Imagen 1">
          <a:extLst>
            <a:ext uri="{FF2B5EF4-FFF2-40B4-BE49-F238E27FC236}">
              <a16:creationId xmlns:a16="http://schemas.microsoft.com/office/drawing/2014/main" id="{2FD82B92-EC80-4C3A-826F-751685D816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716124" y="333374"/>
          <a:ext cx="7617266" cy="7334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18</xdr:col>
      <xdr:colOff>0</xdr:colOff>
      <xdr:row>4</xdr:row>
      <xdr:rowOff>361950</xdr:rowOff>
    </xdr:from>
    <xdr:to>
      <xdr:col>19</xdr:col>
      <xdr:colOff>38262</xdr:colOff>
      <xdr:row>25</xdr:row>
      <xdr:rowOff>29113</xdr:rowOff>
    </xdr:to>
    <xdr:pic>
      <xdr:nvPicPr>
        <xdr:cNvPr id="2" name="Imagen 1">
          <a:extLst>
            <a:ext uri="{FF2B5EF4-FFF2-40B4-BE49-F238E27FC236}">
              <a16:creationId xmlns:a16="http://schemas.microsoft.com/office/drawing/2014/main" id="{E448E82C-0D28-FDA8-E33B-9CDB698DDC34}"/>
            </a:ext>
          </a:extLst>
        </xdr:cNvPr>
        <xdr:cNvPicPr>
          <a:picLocks noChangeAspect="1"/>
        </xdr:cNvPicPr>
      </xdr:nvPicPr>
      <xdr:blipFill>
        <a:blip xmlns:r="http://schemas.openxmlformats.org/officeDocument/2006/relationships" r:embed="rId1"/>
        <a:stretch>
          <a:fillRect/>
        </a:stretch>
      </xdr:blipFill>
      <xdr:spPr>
        <a:xfrm>
          <a:off x="18945225" y="1123950"/>
          <a:ext cx="1162212" cy="385816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ri&#225;n/Downloads/BalanceBuilderTemplate.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ReportCover"/>
      <sheetName val="TableOfContents"/>
      <sheetName val="Definitions"/>
      <sheetName val="Definitions_ProdLang"/>
      <sheetName val="Definitions_FlowLang"/>
      <sheetName val="Exceptions"/>
      <sheetName val="Data in physical units"/>
      <sheetName val="Conversion factors"/>
      <sheetName val="Disaggregated Balance"/>
      <sheetName val="Aggregated Balance"/>
      <sheetName val="CF formulas"/>
      <sheetName val="DPU formulas"/>
      <sheetName val="Published Balance"/>
      <sheetName val="BAL_Reading_Exercise"/>
      <sheetName val="BAL_Checking_Exercise"/>
      <sheetName val="Balance Summary"/>
      <sheetName val="Coal_Table_1"/>
      <sheetName val="Coal_Table_4"/>
      <sheetName val="Gas_Table_1"/>
      <sheetName val="Gas_Table_2a"/>
      <sheetName val="Gas_Table_2b"/>
      <sheetName val="Oil_Table_1"/>
      <sheetName val="Oil_Table_2a"/>
      <sheetName val="Oil_Table_3a"/>
      <sheetName val="Oil_Table_3b"/>
      <sheetName val="Ren_Table_1"/>
      <sheetName val="Ren_Table_2"/>
      <sheetName val="Ren_Table_3"/>
      <sheetName val="Ele_Table_1"/>
      <sheetName val="Ele_Table_3"/>
      <sheetName val="Ele_Table_4"/>
      <sheetName val="Ele_Table_6a"/>
      <sheetName val="Ele_Table_6b"/>
      <sheetName val="Ele_Table_6c"/>
      <sheetName val="Ele_Table_6d"/>
      <sheetName val="Ele_Table_7a"/>
      <sheetName val="IronSteel_CokeOven"/>
      <sheetName val="IronSteel_BlastFurnace"/>
      <sheetName val="Refinery"/>
      <sheetName val="Electricity_Heat_I"/>
      <sheetName val="Electricity_Heat_II"/>
      <sheetName val="CapacityFactor"/>
      <sheetName val="VersionHistory"/>
    </sheetNames>
    <sheetDataSet>
      <sheetData sheetId="0" refreshError="1">
        <row r="3">
          <cell r="L3" t="str">
            <v>English</v>
          </cell>
        </row>
        <row r="10">
          <cell r="D10" t="str">
            <v>Statisland</v>
          </cell>
        </row>
        <row r="12">
          <cell r="D12">
            <v>2016</v>
          </cell>
        </row>
      </sheetData>
      <sheetData sheetId="1" refreshError="1"/>
      <sheetData sheetId="2" refreshError="1"/>
      <sheetData sheetId="3" refreshError="1">
        <row r="13">
          <cell r="C13" t="str">
            <v>Anthracite</v>
          </cell>
        </row>
        <row r="14">
          <cell r="C14" t="str">
            <v>Coking coal</v>
          </cell>
        </row>
        <row r="15">
          <cell r="C15" t="str">
            <v>Other bituminous coal</v>
          </cell>
        </row>
        <row r="16">
          <cell r="C16" t="str">
            <v>Sub-bituminous coal</v>
          </cell>
        </row>
        <row r="17">
          <cell r="C17" t="str">
            <v>Lignite</v>
          </cell>
        </row>
        <row r="18">
          <cell r="C18" t="str">
            <v>Patent fuel</v>
          </cell>
        </row>
        <row r="19">
          <cell r="C19" t="str">
            <v>Coke oven coke</v>
          </cell>
        </row>
        <row r="20">
          <cell r="C20" t="str">
            <v>Gas coke</v>
          </cell>
        </row>
        <row r="21">
          <cell r="C21" t="str">
            <v>Coal tar</v>
          </cell>
        </row>
        <row r="22">
          <cell r="C22" t="str">
            <v>BKB (Brown coal briquettes)</v>
          </cell>
        </row>
        <row r="23">
          <cell r="C23" t="str">
            <v>Gas works gas</v>
          </cell>
        </row>
        <row r="24">
          <cell r="C24" t="str">
            <v>Coke oven gas</v>
          </cell>
        </row>
        <row r="25">
          <cell r="C25" t="str">
            <v>Blast furnace gas</v>
          </cell>
        </row>
        <row r="26">
          <cell r="C26" t="str">
            <v>Other recovered gases</v>
          </cell>
        </row>
        <row r="27">
          <cell r="C27" t="str">
            <v>Elec/heat output from non-spec. manufactured gases</v>
          </cell>
        </row>
        <row r="28">
          <cell r="C28" t="str">
            <v>Peat</v>
          </cell>
        </row>
        <row r="29">
          <cell r="C29" t="str">
            <v>Peat products</v>
          </cell>
        </row>
        <row r="30">
          <cell r="C30" t="str">
            <v>Oil shale and oil sands</v>
          </cell>
        </row>
        <row r="32">
          <cell r="C32" t="str">
            <v>Crude oil</v>
          </cell>
        </row>
        <row r="33">
          <cell r="C33" t="str">
            <v>Natural gas liquids (NGL)</v>
          </cell>
        </row>
        <row r="34">
          <cell r="C34" t="str">
            <v>Refinery feedstocks</v>
          </cell>
        </row>
        <row r="35">
          <cell r="C35" t="str">
            <v>Additives/ blending components</v>
          </cell>
        </row>
        <row r="36">
          <cell r="C36" t="str">
            <v>Other hydro-carbons</v>
          </cell>
        </row>
        <row r="38">
          <cell r="C38" t="str">
            <v>Refinery gas</v>
          </cell>
        </row>
        <row r="39">
          <cell r="C39" t="str">
            <v>Ethane</v>
          </cell>
        </row>
        <row r="40">
          <cell r="C40" t="str">
            <v>Liquefied petroleum gases (LPG)</v>
          </cell>
        </row>
        <row r="41">
          <cell r="C41" t="str">
            <v>Motor gasoline excl. biofuels</v>
          </cell>
        </row>
        <row r="42">
          <cell r="C42" t="str">
            <v>Aviation gasoline</v>
          </cell>
        </row>
        <row r="43">
          <cell r="C43" t="str">
            <v>Gasoline type jet fuel</v>
          </cell>
        </row>
        <row r="44">
          <cell r="C44" t="str">
            <v>Kerosene type jet fuel excl. biofuels</v>
          </cell>
        </row>
        <row r="45">
          <cell r="C45" t="str">
            <v>Other kerosene</v>
          </cell>
        </row>
        <row r="46">
          <cell r="C46" t="str">
            <v>Gas/diesel oil excluding biofuels</v>
          </cell>
        </row>
        <row r="47">
          <cell r="C47" t="str">
            <v>Fuel oil</v>
          </cell>
        </row>
        <row r="48">
          <cell r="C48" t="str">
            <v>Naphtha</v>
          </cell>
        </row>
        <row r="49">
          <cell r="C49" t="str">
            <v>White spirit &amp; SBP</v>
          </cell>
        </row>
        <row r="50">
          <cell r="C50" t="str">
            <v>Lubricants</v>
          </cell>
        </row>
        <row r="51">
          <cell r="C51" t="str">
            <v>Bitumen</v>
          </cell>
        </row>
        <row r="52">
          <cell r="C52" t="str">
            <v>Paraffin waxes</v>
          </cell>
        </row>
        <row r="53">
          <cell r="C53" t="str">
            <v>Petroleum coke</v>
          </cell>
        </row>
        <row r="54">
          <cell r="C54" t="str">
            <v>Non-specified oil products</v>
          </cell>
        </row>
        <row r="56">
          <cell r="C56" t="str">
            <v>Natural gas</v>
          </cell>
        </row>
        <row r="58">
          <cell r="C58" t="str">
            <v>Industrial waste</v>
          </cell>
        </row>
        <row r="59">
          <cell r="C59" t="str">
            <v>Municipal waste (renewable)</v>
          </cell>
        </row>
        <row r="60">
          <cell r="C60" t="str">
            <v>Municipal waste (non-renewable)</v>
          </cell>
        </row>
        <row r="61">
          <cell r="C61" t="str">
            <v>Primary solid biofuels</v>
          </cell>
        </row>
        <row r="62">
          <cell r="C62" t="str">
            <v>Biogases</v>
          </cell>
        </row>
        <row r="63">
          <cell r="C63" t="str">
            <v>Biogasoline</v>
          </cell>
        </row>
        <row r="64">
          <cell r="C64" t="str">
            <v>Bio jet kerosene</v>
          </cell>
        </row>
        <row r="65">
          <cell r="C65" t="str">
            <v>Biodiesels</v>
          </cell>
        </row>
        <row r="66">
          <cell r="C66" t="str">
            <v>Other liquid biofuels</v>
          </cell>
        </row>
        <row r="67">
          <cell r="C67" t="str">
            <v>Non-specified primary biofuels/ waste</v>
          </cell>
        </row>
        <row r="68">
          <cell r="C68" t="str">
            <v>Charcoal</v>
          </cell>
        </row>
        <row r="70">
          <cell r="C70" t="str">
            <v>Nuclear</v>
          </cell>
        </row>
        <row r="71">
          <cell r="C71" t="str">
            <v>Hydro</v>
          </cell>
        </row>
        <row r="72">
          <cell r="C72" t="str">
            <v>Geothermal</v>
          </cell>
        </row>
        <row r="73">
          <cell r="C73" t="str">
            <v>Solar photovoltaic</v>
          </cell>
        </row>
        <row r="74">
          <cell r="C74" t="str">
            <v>Solar thermal</v>
          </cell>
        </row>
        <row r="75">
          <cell r="C75" t="str">
            <v>Tide/ wave/ ocean</v>
          </cell>
        </row>
        <row r="76">
          <cell r="C76" t="str">
            <v>Wind</v>
          </cell>
        </row>
        <row r="77">
          <cell r="C77" t="str">
            <v>Heat pumps</v>
          </cell>
        </row>
        <row r="80">
          <cell r="C80" t="str">
            <v>Other sources</v>
          </cell>
        </row>
        <row r="81">
          <cell r="C81" t="str">
            <v>Electricity</v>
          </cell>
        </row>
        <row r="82">
          <cell r="C82" t="str">
            <v>Heat</v>
          </cell>
        </row>
        <row r="83">
          <cell r="C83" t="str">
            <v>Heat output from non-specified combustible fuels</v>
          </cell>
        </row>
        <row r="87">
          <cell r="C87" t="str">
            <v>Production</v>
          </cell>
        </row>
        <row r="89">
          <cell r="C89" t="str">
            <v>Imports</v>
          </cell>
        </row>
        <row r="90">
          <cell r="C90" t="str">
            <v>Exports</v>
          </cell>
        </row>
        <row r="91">
          <cell r="C91" t="str">
            <v>International marine bunkers</v>
          </cell>
        </row>
        <row r="92">
          <cell r="C92" t="str">
            <v>International aviation bunkers</v>
          </cell>
        </row>
        <row r="93">
          <cell r="C93" t="str">
            <v>Stock changes</v>
          </cell>
        </row>
        <row r="94">
          <cell r="C94" t="str">
            <v>Domestic supply</v>
          </cell>
        </row>
        <row r="95">
          <cell r="C95" t="str">
            <v>Total primary energy supply (TPES)</v>
          </cell>
        </row>
        <row r="96">
          <cell r="C96" t="str">
            <v>Transfers</v>
          </cell>
        </row>
        <row r="97">
          <cell r="C97" t="str">
            <v>Statistical differences</v>
          </cell>
        </row>
        <row r="99">
          <cell r="C99" t="str">
            <v>Transformation processes</v>
          </cell>
        </row>
        <row r="100">
          <cell r="C100" t="str">
            <v>Main activity electricity plants</v>
          </cell>
        </row>
        <row r="101">
          <cell r="C101" t="str">
            <v>Autoproducer electricity plants</v>
          </cell>
        </row>
        <row r="102">
          <cell r="C102" t="str">
            <v>Main activity producer CHP plants</v>
          </cell>
        </row>
        <row r="103">
          <cell r="C103" t="str">
            <v>Autoproducer CHP plants</v>
          </cell>
        </row>
        <row r="104">
          <cell r="C104" t="str">
            <v>Main activity producer heat plants</v>
          </cell>
        </row>
        <row r="105">
          <cell r="C105" t="str">
            <v>Autoproducer heat plants</v>
          </cell>
        </row>
        <row r="106">
          <cell r="C106" t="str">
            <v>Heat pumps</v>
          </cell>
        </row>
        <row r="107">
          <cell r="C107" t="str">
            <v>Electric boilers</v>
          </cell>
        </row>
        <row r="108">
          <cell r="C108" t="str">
            <v>Chemical heat for electricity production</v>
          </cell>
        </row>
        <row r="109">
          <cell r="C109" t="str">
            <v>Patent fuel plants</v>
          </cell>
        </row>
        <row r="110">
          <cell r="C110" t="str">
            <v>Coke ovens</v>
          </cell>
        </row>
        <row r="111">
          <cell r="C111" t="str">
            <v>Gas works</v>
          </cell>
        </row>
        <row r="112">
          <cell r="C112" t="str">
            <v>Blast furnaces</v>
          </cell>
        </row>
        <row r="113">
          <cell r="C113" t="str">
            <v>Petrochemical plants</v>
          </cell>
        </row>
        <row r="114">
          <cell r="C114" t="str">
            <v>BKB / peat briquette plants</v>
          </cell>
        </row>
        <row r="115">
          <cell r="C115" t="str">
            <v>Oil refineries</v>
          </cell>
        </row>
        <row r="116">
          <cell r="C116" t="str">
            <v>Coal liquefaction plants</v>
          </cell>
        </row>
        <row r="117">
          <cell r="C117" t="str">
            <v>Gas-to-liquids (GTL) plants</v>
          </cell>
        </row>
        <row r="118">
          <cell r="C118" t="str">
            <v>For blended natural gas</v>
          </cell>
        </row>
        <row r="119">
          <cell r="C119" t="str">
            <v>Charcoal production plants</v>
          </cell>
        </row>
        <row r="120">
          <cell r="C120" t="str">
            <v>Non-specified (transformation)</v>
          </cell>
        </row>
        <row r="122">
          <cell r="C122" t="str">
            <v>Energy industry own use</v>
          </cell>
        </row>
        <row r="123">
          <cell r="C123" t="str">
            <v>Coal mines</v>
          </cell>
        </row>
        <row r="124">
          <cell r="C124" t="str">
            <v>Oil and gas extraction</v>
          </cell>
        </row>
        <row r="125">
          <cell r="C125" t="str">
            <v>Patent fuel plants</v>
          </cell>
        </row>
        <row r="126">
          <cell r="C126" t="str">
            <v>Coke ovens</v>
          </cell>
        </row>
        <row r="127">
          <cell r="C127" t="str">
            <v>Gas works</v>
          </cell>
        </row>
        <row r="128">
          <cell r="C128" t="str">
            <v>Gasification plants for biogases</v>
          </cell>
        </row>
        <row r="129">
          <cell r="C129" t="str">
            <v>Blast furnaces</v>
          </cell>
        </row>
        <row r="130">
          <cell r="C130" t="str">
            <v>BKB / peat briquette plants</v>
          </cell>
        </row>
        <row r="131">
          <cell r="C131" t="str">
            <v>Oil refineries</v>
          </cell>
        </row>
        <row r="132">
          <cell r="C132" t="str">
            <v>Coal liquefaction plants</v>
          </cell>
        </row>
        <row r="133">
          <cell r="C133" t="str">
            <v>Liquefaction (LNG) / regasification plants</v>
          </cell>
        </row>
        <row r="134">
          <cell r="C134" t="str">
            <v>Gas-to-liquids (GTL) plants</v>
          </cell>
        </row>
        <row r="135">
          <cell r="C135" t="str">
            <v>Own use in electricity, CHP and heat plants</v>
          </cell>
        </row>
        <row r="136">
          <cell r="C136" t="str">
            <v>Used for pumped storage</v>
          </cell>
        </row>
        <row r="137">
          <cell r="C137" t="str">
            <v>Nuclear industry</v>
          </cell>
        </row>
        <row r="138">
          <cell r="C138" t="str">
            <v>Charcoal production plants</v>
          </cell>
        </row>
        <row r="139">
          <cell r="C139" t="str">
            <v>Non-specified (Energy)</v>
          </cell>
        </row>
        <row r="140">
          <cell r="C140" t="str">
            <v>Losses</v>
          </cell>
        </row>
        <row r="142">
          <cell r="C142" t="str">
            <v>Final consumption</v>
          </cell>
        </row>
        <row r="143">
          <cell r="C143" t="str">
            <v>Industry</v>
          </cell>
        </row>
        <row r="144">
          <cell r="C144" t="str">
            <v>Iron and steel</v>
          </cell>
        </row>
        <row r="145">
          <cell r="C145" t="str">
            <v>Chemical and petrochemical</v>
          </cell>
        </row>
        <row r="146">
          <cell r="C146" t="str">
            <v>Non-ferrous metals</v>
          </cell>
        </row>
        <row r="147">
          <cell r="C147" t="str">
            <v>Non-metallic minerals</v>
          </cell>
        </row>
        <row r="148">
          <cell r="C148" t="str">
            <v>Transport equipment</v>
          </cell>
        </row>
        <row r="149">
          <cell r="C149" t="str">
            <v>Machinery</v>
          </cell>
        </row>
        <row r="150">
          <cell r="C150" t="str">
            <v>Mining and quarrying</v>
          </cell>
        </row>
        <row r="151">
          <cell r="C151" t="str">
            <v>Food, beverages and tobacco</v>
          </cell>
        </row>
        <row r="152">
          <cell r="C152" t="str">
            <v>Paper, pulp and print</v>
          </cell>
        </row>
        <row r="153">
          <cell r="C153" t="str">
            <v>Wood and wood products</v>
          </cell>
        </row>
        <row r="154">
          <cell r="C154" t="str">
            <v>Construction</v>
          </cell>
        </row>
        <row r="155">
          <cell r="C155" t="str">
            <v>Textiles and leather</v>
          </cell>
        </row>
        <row r="156">
          <cell r="C156" t="str">
            <v>Non-specified (Industry)</v>
          </cell>
        </row>
        <row r="157">
          <cell r="C157" t="str">
            <v>Transport</v>
          </cell>
        </row>
        <row r="158">
          <cell r="C158" t="str">
            <v>Domestic aviation</v>
          </cell>
        </row>
        <row r="159">
          <cell r="C159" t="str">
            <v>Road</v>
          </cell>
        </row>
        <row r="160">
          <cell r="C160" t="str">
            <v>Rail</v>
          </cell>
        </row>
        <row r="161">
          <cell r="C161" t="str">
            <v>Pipeline transport</v>
          </cell>
        </row>
        <row r="162">
          <cell r="C162" t="str">
            <v>Domestic navigation</v>
          </cell>
        </row>
        <row r="163">
          <cell r="C163" t="str">
            <v>Non-specified (transport)</v>
          </cell>
        </row>
        <row r="164">
          <cell r="C164" t="str">
            <v>Other</v>
          </cell>
        </row>
        <row r="165">
          <cell r="C165" t="str">
            <v>Residential</v>
          </cell>
        </row>
        <row r="166">
          <cell r="C166" t="str">
            <v>Commercial and public services</v>
          </cell>
        </row>
        <row r="167">
          <cell r="C167" t="str">
            <v>Agriculture/forestry</v>
          </cell>
        </row>
        <row r="168">
          <cell r="C168" t="str">
            <v>Fishing</v>
          </cell>
        </row>
        <row r="169">
          <cell r="C169" t="str">
            <v>Non-specified (other)</v>
          </cell>
        </row>
        <row r="170">
          <cell r="C170" t="str">
            <v>Non-energy use</v>
          </cell>
        </row>
        <row r="171">
          <cell r="C171" t="str">
            <v>Non-energy use industry/transformation/energy</v>
          </cell>
        </row>
        <row r="172">
          <cell r="C172" t="str">
            <v>Non-energy use in transport</v>
          </cell>
        </row>
        <row r="173">
          <cell r="C173" t="str">
            <v>Non-energy use in other</v>
          </cell>
        </row>
        <row r="174">
          <cell r="C174" t="str">
            <v>Memo: Non-energy use chemical/petrochemical</v>
          </cell>
        </row>
        <row r="176">
          <cell r="C176" t="str">
            <v>Electricity output in GWh</v>
          </cell>
        </row>
        <row r="177">
          <cell r="C177" t="str">
            <v>Heat output in TJ</v>
          </cell>
        </row>
      </sheetData>
      <sheetData sheetId="4" refreshError="1"/>
      <sheetData sheetId="5" refreshError="1"/>
      <sheetData sheetId="6" refreshError="1"/>
      <sheetData sheetId="7" refreshError="1">
        <row r="4">
          <cell r="B4" t="str">
            <v>SHORT NAMES</v>
          </cell>
          <cell r="C4" t="str">
            <v>ANTCOAL</v>
          </cell>
          <cell r="D4" t="str">
            <v>COKCOAL</v>
          </cell>
          <cell r="E4" t="str">
            <v>BITCOAL</v>
          </cell>
          <cell r="F4" t="str">
            <v>SUBCOAL</v>
          </cell>
          <cell r="G4" t="str">
            <v>LIGNITE</v>
          </cell>
          <cell r="H4" t="str">
            <v>PATFUEL</v>
          </cell>
          <cell r="I4" t="str">
            <v>OVENCOKE</v>
          </cell>
          <cell r="J4" t="str">
            <v>GASCOKE</v>
          </cell>
          <cell r="K4" t="str">
            <v>COALTAR</v>
          </cell>
          <cell r="L4" t="str">
            <v>BKB</v>
          </cell>
          <cell r="M4" t="str">
            <v>GASWKSGS</v>
          </cell>
          <cell r="N4" t="str">
            <v>COKEOVGS</v>
          </cell>
          <cell r="O4" t="str">
            <v>BLFURGS</v>
          </cell>
          <cell r="P4" t="str">
            <v>OGASES</v>
          </cell>
          <cell r="Q4" t="str">
            <v>MANGAS</v>
          </cell>
          <cell r="R4" t="str">
            <v>PEAT</v>
          </cell>
          <cell r="S4" t="str">
            <v>PEATPROD</v>
          </cell>
          <cell r="T4" t="str">
            <v>OILSHALE</v>
          </cell>
          <cell r="U4" t="str">
            <v>CRUDEOIL</v>
          </cell>
          <cell r="V4" t="str">
            <v>NGL</v>
          </cell>
          <cell r="W4" t="str">
            <v>REFFEEDS</v>
          </cell>
          <cell r="X4" t="str">
            <v>ADDITIVE</v>
          </cell>
          <cell r="Y4" t="str">
            <v>NONCRUDE</v>
          </cell>
          <cell r="Z4" t="str">
            <v>REFINGAS</v>
          </cell>
          <cell r="AA4" t="str">
            <v>ETHANE</v>
          </cell>
          <cell r="AB4" t="str">
            <v>LPG</v>
          </cell>
          <cell r="AC4" t="str">
            <v>NONBIOGASO</v>
          </cell>
          <cell r="AD4" t="str">
            <v>AVGAS</v>
          </cell>
          <cell r="AE4" t="str">
            <v>JETGAS</v>
          </cell>
          <cell r="AF4" t="str">
            <v>NONBIOJETK</v>
          </cell>
          <cell r="AG4" t="str">
            <v>OTHKERO</v>
          </cell>
          <cell r="AH4" t="str">
            <v>NONBIODIES</v>
          </cell>
          <cell r="AI4" t="str">
            <v>RESFUEL</v>
          </cell>
          <cell r="AJ4" t="str">
            <v>NAPHTHA</v>
          </cell>
          <cell r="AK4" t="str">
            <v>WHITESP</v>
          </cell>
          <cell r="AL4" t="str">
            <v>LUBRIC</v>
          </cell>
          <cell r="AM4" t="str">
            <v>BITUMEN</v>
          </cell>
          <cell r="AN4" t="str">
            <v>PARWAX</v>
          </cell>
          <cell r="AO4" t="str">
            <v>PETCOKE</v>
          </cell>
          <cell r="AP4" t="str">
            <v>ONONSPEC</v>
          </cell>
          <cell r="AQ4" t="str">
            <v>NATGAS</v>
          </cell>
          <cell r="AR4" t="str">
            <v>INDWASTE</v>
          </cell>
          <cell r="AS4" t="str">
            <v>MUNWASTER</v>
          </cell>
          <cell r="AT4" t="str">
            <v>MUNWASTEN</v>
          </cell>
          <cell r="AU4" t="str">
            <v>PRIMSBIO</v>
          </cell>
          <cell r="AV4" t="str">
            <v>BIOGASES</v>
          </cell>
          <cell r="AW4" t="str">
            <v>BIOGASOL</v>
          </cell>
          <cell r="AX4" t="str">
            <v>BIOJETKERO</v>
          </cell>
          <cell r="AY4" t="str">
            <v>BIODIESEL</v>
          </cell>
          <cell r="AZ4" t="str">
            <v>OBIOLIQ</v>
          </cell>
          <cell r="BA4" t="str">
            <v>RENEWNS</v>
          </cell>
          <cell r="BB4" t="str">
            <v>CHARCOAL</v>
          </cell>
          <cell r="BC4" t="str">
            <v>NUCLEAR</v>
          </cell>
          <cell r="BD4" t="str">
            <v>HYDRO</v>
          </cell>
          <cell r="BE4" t="str">
            <v>GEOTHERM</v>
          </cell>
          <cell r="BF4" t="str">
            <v>SOLARPV</v>
          </cell>
          <cell r="BG4" t="str">
            <v>SOLARTH</v>
          </cell>
          <cell r="BH4" t="str">
            <v>TIDE</v>
          </cell>
          <cell r="BI4" t="str">
            <v>WIND</v>
          </cell>
          <cell r="BJ4" t="str">
            <v>HEATPUMP</v>
          </cell>
          <cell r="BK4" t="str">
            <v>BOILER</v>
          </cell>
          <cell r="BL4" t="str">
            <v>CHEMHEAT</v>
          </cell>
          <cell r="BM4" t="str">
            <v>OTHER</v>
          </cell>
          <cell r="BN4" t="str">
            <v>ELECTR</v>
          </cell>
          <cell r="BO4" t="str">
            <v>HEAT</v>
          </cell>
          <cell r="BP4" t="str">
            <v>HEATNS</v>
          </cell>
        </row>
        <row r="5">
          <cell r="B5" t="str">
            <v>INDPROD</v>
          </cell>
          <cell r="C5">
            <v>0</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cell r="BN5">
            <v>0</v>
          </cell>
          <cell r="BO5">
            <v>0</v>
          </cell>
          <cell r="BP5">
            <v>0</v>
          </cell>
        </row>
        <row r="6">
          <cell r="B6" t="str">
            <v>OSCOAL</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row>
        <row r="7">
          <cell r="B7" t="str">
            <v>OSNATGAS</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row>
        <row r="8">
          <cell r="B8" t="str">
            <v>OSOIL</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row>
        <row r="9">
          <cell r="B9" t="str">
            <v>OSRENEW</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row>
        <row r="10">
          <cell r="B10" t="str">
            <v>OSNONSPEC</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row>
        <row r="11">
          <cell r="B11" t="str">
            <v>IMPORTS</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row>
        <row r="12">
          <cell r="B12" t="str">
            <v>EXPORTS</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row>
        <row r="13">
          <cell r="B13" t="str">
            <v>MARBUNK</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row>
        <row r="14">
          <cell r="B14" t="str">
            <v>AVBUNK</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row>
        <row r="15">
          <cell r="B15" t="str">
            <v>STOCKCHA</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row>
        <row r="16">
          <cell r="B16" t="str">
            <v>DOMSUP</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row>
        <row r="17">
          <cell r="B17" t="str">
            <v>TRANSFER</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row>
        <row r="18">
          <cell r="B18" t="str">
            <v>STATDIFF</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row>
        <row r="19">
          <cell r="B19" t="str">
            <v>TOTTRANF</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row>
        <row r="20">
          <cell r="B20" t="str">
            <v>MAINELEC</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row>
        <row r="21">
          <cell r="B21" t="str">
            <v>AUTOELEC</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row>
        <row r="22">
          <cell r="B22" t="str">
            <v>MAINCHP</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row>
        <row r="23">
          <cell r="B23" t="str">
            <v>AUTOCHP</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row>
        <row r="24">
          <cell r="B24" t="str">
            <v>MAINHEAT</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row>
        <row r="25">
          <cell r="B25" t="str">
            <v>AUTOHEAT</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row>
        <row r="26">
          <cell r="B26" t="str">
            <v>THEAT</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row>
        <row r="27">
          <cell r="B27" t="str">
            <v>TBOILER</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row>
        <row r="28">
          <cell r="B28" t="str">
            <v>TELE</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row>
        <row r="29">
          <cell r="B29" t="str">
            <v>TPATFUEL</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row>
        <row r="30">
          <cell r="B30" t="str">
            <v>TCOKEOVS</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row>
        <row r="31">
          <cell r="B31" t="str">
            <v>TGASWKS</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row>
        <row r="32">
          <cell r="B32" t="str">
            <v>TBLASTFUR</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row>
        <row r="33">
          <cell r="B33" t="str">
            <v>TPETCHEM</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row>
        <row r="34">
          <cell r="B34" t="str">
            <v>TBKB</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row>
        <row r="35">
          <cell r="B35" t="str">
            <v>TREFINER</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row>
        <row r="36">
          <cell r="B36" t="str">
            <v>TCOALLIQ</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row>
        <row r="37">
          <cell r="B37" t="str">
            <v>TGTL</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row>
        <row r="38">
          <cell r="B38" t="str">
            <v>TBLENDGAS</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row>
        <row r="39">
          <cell r="B39" t="str">
            <v>TCHARCOAL</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row>
        <row r="40">
          <cell r="B40" t="str">
            <v>TNONSPEC</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row>
        <row r="41">
          <cell r="B41" t="str">
            <v>TOTENGY</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row>
        <row r="42">
          <cell r="B42" t="str">
            <v>EMINES</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row>
        <row r="43">
          <cell r="B43" t="str">
            <v>EOILGASEX</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row>
        <row r="44">
          <cell r="B44" t="str">
            <v>EPATFUEL</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row>
        <row r="45">
          <cell r="B45" t="str">
            <v>ECOKEOVS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row>
        <row r="46">
          <cell r="B46" t="str">
            <v>EGASWKS</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row>
        <row r="47">
          <cell r="B47" t="str">
            <v>EBIOGAS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row>
        <row r="48">
          <cell r="B48" t="str">
            <v>EBLASTFUR</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row>
        <row r="49">
          <cell r="B49" t="str">
            <v>EBKB</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row>
        <row r="50">
          <cell r="B50" t="str">
            <v>EREFINER</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row>
        <row r="51">
          <cell r="B51" t="str">
            <v>ECOALLIQ</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row>
        <row r="52">
          <cell r="B52" t="str">
            <v>ELNG</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row>
        <row r="53">
          <cell r="B53" t="str">
            <v>EGTL</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row>
        <row r="54">
          <cell r="B54" t="str">
            <v>EPOWERPLT</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row>
        <row r="55">
          <cell r="B55" t="str">
            <v>EPUMPST</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row>
        <row r="56">
          <cell r="B56" t="str">
            <v>ENUC</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row>
        <row r="57">
          <cell r="B57" t="str">
            <v>ECHARCOAL</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row>
        <row r="58">
          <cell r="B58" t="str">
            <v>ENONSPEC</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row>
        <row r="59">
          <cell r="B59" t="str">
            <v>DISTLOSS</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row>
        <row r="60">
          <cell r="B60" t="str">
            <v>FINCONS</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row>
        <row r="61">
          <cell r="B61" t="str">
            <v>TOTIND</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row>
        <row r="62">
          <cell r="B62" t="str">
            <v>IRONSTL</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row>
        <row r="63">
          <cell r="B63" t="str">
            <v>CHEMICAL</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row>
        <row r="64">
          <cell r="B64" t="str">
            <v>NONFERR</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row>
        <row r="65">
          <cell r="B65" t="str">
            <v>NONMET</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row>
        <row r="66">
          <cell r="B66" t="str">
            <v>TRANSEQ</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row>
        <row r="67">
          <cell r="B67" t="str">
            <v>MACHINE</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row>
        <row r="68">
          <cell r="B68" t="str">
            <v>MINING</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row>
        <row r="69">
          <cell r="B69" t="str">
            <v>FOODPRO</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row>
        <row r="70">
          <cell r="B70" t="str">
            <v>PAPERPRO</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row>
        <row r="71">
          <cell r="B71" t="str">
            <v>WOODPRO</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row>
        <row r="72">
          <cell r="B72" t="str">
            <v>CONSTRUC</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row>
        <row r="73">
          <cell r="B73" t="str">
            <v>TEXTILES</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0</v>
          </cell>
          <cell r="BJ73">
            <v>0</v>
          </cell>
          <cell r="BK73">
            <v>0</v>
          </cell>
          <cell r="BL73">
            <v>0</v>
          </cell>
          <cell r="BM73">
            <v>0</v>
          </cell>
          <cell r="BN73">
            <v>0</v>
          </cell>
          <cell r="BO73">
            <v>0</v>
          </cell>
          <cell r="BP73">
            <v>0</v>
          </cell>
        </row>
        <row r="74">
          <cell r="B74" t="str">
            <v>INONSPEC</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row>
        <row r="75">
          <cell r="B75" t="str">
            <v>TOTTRANS</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row>
        <row r="76">
          <cell r="B76" t="str">
            <v>ROAD</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row>
        <row r="77">
          <cell r="B77" t="str">
            <v>DOMESAIR</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row>
        <row r="78">
          <cell r="B78" t="str">
            <v>RAIL</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row>
        <row r="79">
          <cell r="B79" t="str">
            <v>PIPELINE</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row>
        <row r="80">
          <cell r="B80" t="str">
            <v>DOMESNAV</v>
          </cell>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row>
        <row r="81">
          <cell r="B81" t="str">
            <v>TRNONSPE</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row>
        <row r="82">
          <cell r="B82" t="str">
            <v>TOTOTHER</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row>
        <row r="83">
          <cell r="B83" t="str">
            <v>RESIDENT</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row>
        <row r="84">
          <cell r="B84" t="str">
            <v>COMMPUB</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row>
        <row r="85">
          <cell r="B85" t="str">
            <v>AGRICULT</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row>
        <row r="86">
          <cell r="B86" t="str">
            <v>FISHING</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row>
        <row r="87">
          <cell r="B87" t="str">
            <v>ONONSPEC</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row>
        <row r="88">
          <cell r="B88" t="str">
            <v>NONENUSE</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row>
        <row r="89">
          <cell r="B89" t="str">
            <v>NEINTREN</v>
          </cell>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row>
        <row r="90">
          <cell r="B90" t="str">
            <v>NETRANS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row>
        <row r="91">
          <cell r="B91" t="str">
            <v>NEOTHER</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row>
        <row r="92">
          <cell r="B92" t="str">
            <v>NECHEM</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row>
        <row r="93">
          <cell r="B93" t="str">
            <v>ELOUTPUT</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row>
        <row r="94">
          <cell r="B94" t="str">
            <v>ELMAINE</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row>
        <row r="95">
          <cell r="B95" t="str">
            <v>ELAUTOE</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row>
        <row r="96">
          <cell r="B96" t="str">
            <v>ELMAINC</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row>
        <row r="97">
          <cell r="B97" t="str">
            <v>ELAUTOC</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row>
        <row r="98">
          <cell r="B98" t="str">
            <v>HEMAINC</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row>
        <row r="99">
          <cell r="B99" t="str">
            <v>HEAUTOC</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row>
        <row r="100">
          <cell r="B100" t="str">
            <v>HEMAINH</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row>
        <row r="101">
          <cell r="B101" t="str">
            <v>HEAUTOH</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row>
        <row r="102">
          <cell r="B102" t="str">
            <v>HEATOUT</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row>
        <row r="103">
          <cell r="B103" t="str">
            <v>MHYDPUMP</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P103">
            <v>0</v>
          </cell>
        </row>
        <row r="104">
          <cell r="B104" t="str">
            <v>AHYDPUMP</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row>
        <row r="105">
          <cell r="B105" t="str">
            <v>VENTED</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row>
        <row r="106">
          <cell r="B106" t="str">
            <v>FLARED</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P106">
            <v>0</v>
          </cell>
        </row>
      </sheetData>
      <sheetData sheetId="8" refreshError="1">
        <row r="4">
          <cell r="B4" t="str">
            <v>SHORT NAME</v>
          </cell>
          <cell r="C4" t="str">
            <v>NAVERAGE</v>
          </cell>
          <cell r="D4" t="str">
            <v>NINDPROD</v>
          </cell>
          <cell r="E4" t="str">
            <v>NOSOURCES</v>
          </cell>
          <cell r="F4" t="str">
            <v>NIMPORTS</v>
          </cell>
          <cell r="G4" t="str">
            <v>NEXPORTS</v>
          </cell>
          <cell r="H4" t="str">
            <v>NCOKEOVS</v>
          </cell>
          <cell r="I4" t="str">
            <v>NBLAST</v>
          </cell>
          <cell r="J4" t="str">
            <v>NMAIN</v>
          </cell>
          <cell r="K4" t="str">
            <v>NAUTOELEC</v>
          </cell>
          <cell r="L4" t="str">
            <v>NMAINCHP</v>
          </cell>
          <cell r="M4" t="str">
            <v>NAUTOCHP</v>
          </cell>
          <cell r="N4" t="str">
            <v>NMAINHEAT</v>
          </cell>
          <cell r="O4" t="str">
            <v>NAUTOHEAT</v>
          </cell>
          <cell r="P4" t="str">
            <v>NIND</v>
          </cell>
          <cell r="Q4" t="str">
            <v>NOTHER</v>
          </cell>
        </row>
        <row r="5">
          <cell r="B5" t="str">
            <v>ANTCOAL</v>
          </cell>
        </row>
        <row r="56">
          <cell r="C56">
            <v>2.3879999999999998E-2</v>
          </cell>
        </row>
        <row r="58">
          <cell r="C58">
            <v>8.5999999999999993E-2</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persons/person.xml><?xml version="1.0" encoding="utf-8"?>
<personList xmlns="http://schemas.microsoft.com/office/spreadsheetml/2018/threadedcomments" xmlns:x="http://schemas.openxmlformats.org/spreadsheetml/2006/main">
  <person displayName="JULIAN CAICEDO" id="{95CB8C13-05EF-46E6-BE04-8765358B713A}" userId="S::julian2218428@correo.uis.edu.co::8501259f-8f93-40de-96a0-6ff67a8360c4" providerId="AD"/>
</personList>
</file>

<file path=xl/richData/_rels/rdRichValueWebImage.xml.rels><?xml version="1.0" encoding="UTF-8" standalone="yes"?>
<Relationships xmlns="http://schemas.openxmlformats.org/package/2006/relationships"><Relationship Id="rId3" Type="http://schemas.openxmlformats.org/officeDocument/2006/relationships/hyperlink" Target="https://www.bing.com/th?id=AMMS_bd5df3a48eceaba2bf9c4ff931b54459&amp;qlt=95" TargetMode="External"/><Relationship Id="rId2" Type="http://schemas.openxmlformats.org/officeDocument/2006/relationships/hyperlink" Target="https://www.bing.com/images/search?form=xlimg&amp;q=casanare+department+colombia" TargetMode="External"/><Relationship Id="rId1" Type="http://schemas.openxmlformats.org/officeDocument/2006/relationships/hyperlink" Target="https://www.bing.com/th?id=AMMS_c7e7183a8049fcd4476666d530c02af4&amp;qlt=95" TargetMode="External"/><Relationship Id="rId6" Type="http://schemas.openxmlformats.org/officeDocument/2006/relationships/hyperlink" Target="https://www.bing.com/images/search?form=xlimg&amp;q=bol%c3%advar+department+colombia" TargetMode="External"/><Relationship Id="rId5" Type="http://schemas.openxmlformats.org/officeDocument/2006/relationships/hyperlink" Target="https://www.bing.com/th?id=AMMS_0e8011aa83ff1393ab0287f9fd067d1c&amp;qlt=95" TargetMode="External"/><Relationship Id="rId4" Type="http://schemas.openxmlformats.org/officeDocument/2006/relationships/hyperlink" Target="https://www.bing.com/images/search?form=xlimg&amp;q=putumayo+department+colomb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Srd>
</file>

<file path=xl/richData/rdarray.xml><?xml version="1.0" encoding="utf-8"?>
<arrayData xmlns="http://schemas.microsoft.com/office/spreadsheetml/2017/richdata2" count="10">
  <a r="1">
    <v t="s">Oneida Rayeth Pinto Perez (Governor)</v>
  </a>
  <a r="1">
    <v t="s">UTC−05:00</v>
  </a>
  <a r="1">
    <v t="s">William Villamizar Laguado (Governor)</v>
  </a>
  <a r="1">
    <v t="s">Salomon Andres Sanabria (Governor)</v>
  </a>
  <a r="1">
    <v t="s">Marcela Amaya (Governor)</v>
  </a>
  <a r="1">
    <v t="s">Sorrel Parisa Aroca Rodriguez (Governor)</v>
  </a>
  <a r="1">
    <v t="r">50</v>
  </a>
  <a r="1">
    <v t="s">Didier Alberto Tavera Amado (Governor)</v>
  </a>
  <a r="1">
    <v t="s">Luis Enrique Dussan López (Governor)</v>
  </a>
  <a r="1">
    <v t="s">Vicente blel (Governor)</v>
  </a>
</arrayData>
</file>

<file path=xl/richData/rdrichvalue.xml><?xml version="1.0" encoding="utf-8"?>
<rvData xmlns="http://schemas.microsoft.com/office/spreadsheetml/2017/richdata" count="80">
  <rv s="0">
    <v>536870912</v>
    <v>La Guajira Department</v>
    <v>5dadb66e-c4f1-8556-c08f-671a606edf84</v>
    <v>en-US</v>
    <v>Map</v>
  </rv>
  <rv s="1">
    <fb>20848</fb>
    <v>11</v>
  </rv>
  <rv s="0">
    <v>536870912</v>
    <v>Riohacha</v>
    <v>f49d0eea-63a6-74bd-7610-26e440494dda</v>
    <v>en-US</v>
    <v>Map</v>
  </rv>
  <rv s="0">
    <v>536870912</v>
    <v>Colombia</v>
    <v>c396e3d8-2a85-d230-f691-7850536d840e</v>
    <v>en-US</v>
    <v>Map</v>
  </rv>
  <rv s="1">
    <fb>123078</fb>
    <v>11</v>
  </rv>
  <rv s="0">
    <v>536870912</v>
    <v>Uribia</v>
    <v>079ebe16-eeaa-f321-420d-7a8c4b2a599d</v>
    <v>en-US</v>
    <v>Map</v>
  </rv>
  <rv s="2">
    <v>0</v>
  </rv>
  <rv s="3">
    <v>https://www.bing.com/search?q=la+guajira+department+colombia&amp;form=skydnc</v>
    <v>Learn more on Bing</v>
  </rv>
  <rv s="1">
    <fb>880560</fb>
    <v>11</v>
  </rv>
  <rv s="2">
    <v>1</v>
  </rv>
  <rv s="4">
    <v>#VALUE!</v>
    <v>en-US</v>
    <v>5dadb66e-c4f1-8556-c08f-671a606edf84</v>
    <v>536870912</v>
    <v>1</v>
    <v>3</v>
    <v>4</v>
    <v>La Guajira Department</v>
    <v>7</v>
    <v>8</v>
    <v>Map</v>
    <v>9</v>
    <v>10</v>
    <v>CO-LAG</v>
    <v>1</v>
    <v>2</v>
    <v>3</v>
    <v>La Guajira is a department of Colombia. It occupies most of the Guajira Peninsula in the northeast region of the country, on the Caribbean Sea and bordering Venezuela, at the northernmost tip of South America. The capital city of the department is Riohacha.</v>
    <v>4</v>
    <v>5</v>
    <v>6</v>
    <v>7</v>
    <v>La Guajira Department</v>
    <v>8</v>
    <v>9</v>
    <v>La Guajira Department</v>
    <v>mdp/vdpid/10106951</v>
  </rv>
  <rv s="0">
    <v>536870912</v>
    <v>Norte de Santander Department</v>
    <v>d44c8def-e6be-c3f1-ab4e-e27af99a2e0b</v>
    <v>en-US</v>
    <v>Map</v>
  </rv>
  <rv s="1">
    <fb>21658</fb>
    <v>19</v>
  </rv>
  <rv s="0">
    <v>536870912</v>
    <v>Cúcuta</v>
    <v>5a90774d-aeea-6f03-17a8-2126ffdffef3</v>
    <v>en-US</v>
    <v>Map</v>
  </rv>
  <rv s="1">
    <fb>295605</fb>
    <v>19</v>
  </rv>
  <rv s="2">
    <v>2</v>
  </rv>
  <rv s="3">
    <v>https://www.bing.com/search?q=norte+de+santander+department+colombia&amp;form=skydnc</v>
    <v>Learn more on Bing</v>
  </rv>
  <rv s="1">
    <fb>1491689</fb>
    <v>19</v>
  </rv>
  <rv s="4">
    <v>#VALUE!</v>
    <v>en-US</v>
    <v>d44c8def-e6be-c3f1-ab4e-e27af99a2e0b</v>
    <v>536870912</v>
    <v>1</v>
    <v>16</v>
    <v>4</v>
    <v>Norte de Santander Department</v>
    <v>17</v>
    <v>18</v>
    <v>Map</v>
    <v>9</v>
    <v>10</v>
    <v>CO-NSA</v>
    <v>12</v>
    <v>13</v>
    <v>3</v>
    <v>North Santander is a department of Northeastern Colombia. It is in the north of the country, bordering Venezuela. Its capital is Cúcuta, one of the country's major cities.</v>
    <v>14</v>
    <v>13</v>
    <v>15</v>
    <v>16</v>
    <v>Norte de Santander Department</v>
    <v>17</v>
    <v>9</v>
    <v>Norte de Santander Department</v>
    <v>mdp/vdpid/9406503</v>
  </rv>
  <rv s="0">
    <v>536870912</v>
    <v>Casanare Department</v>
    <v>e7b3ed4f-03e8-7516-f976-b525e8a0b565</v>
    <v>en-US</v>
    <v>Map</v>
  </rv>
  <rv s="1">
    <fb>44640</fb>
    <v>11</v>
  </rv>
  <rv s="0">
    <v>536870912</v>
    <v>Yopal</v>
    <v>b5d1013d-669c-c464-2466-3c8409cb17e0</v>
    <v>en-US</v>
    <v>Map</v>
  </rv>
  <rv s="1">
    <fb>73701</fb>
    <v>11</v>
  </rv>
  <rv s="5">
    <v>0</v>
    <v>9</v>
    <v>25</v>
    <v>0</v>
    <v>Image of Casanare Department</v>
  </rv>
  <rv s="2">
    <v>3</v>
  </rv>
  <rv s="3">
    <v>https://www.bing.com/search?q=casanare+department+colombia&amp;form=skydnc</v>
    <v>Learn more on Bing</v>
  </rv>
  <rv s="1">
    <fb>420504</fb>
    <v>11</v>
  </rv>
  <rv s="6">
    <v>#VALUE!</v>
    <v>en-US</v>
    <v>e7b3ed4f-03e8-7516-f976-b525e8a0b565</v>
    <v>536870912</v>
    <v>1</v>
    <v>22</v>
    <v>23</v>
    <v>Casanare Department</v>
    <v>17</v>
    <v>24</v>
    <v>Map</v>
    <v>9</v>
    <v>10</v>
    <v>CO-CAS</v>
    <v>20</v>
    <v>21</v>
    <v>3</v>
    <v>Casanare Department is a department in the central eastern region of Colombia. Its capital is Yopal, which is also the episcopal seat of the Roman Catholic Diocese of Yopal.</v>
    <v>22</v>
    <v>23</v>
    <v>21</v>
    <v>24</v>
    <v>25</v>
    <v>Casanare Department</v>
    <v>26</v>
    <v>9</v>
    <v>Casanare Department</v>
    <v>mdp/vdpid/10106928</v>
  </rv>
  <rv s="0">
    <v>536870912</v>
    <v>Meta Department</v>
    <v>30c3c263-a281-f2d2-6787-511d37d41ddf</v>
    <v>en-US</v>
    <v>Map</v>
  </rv>
  <rv s="1">
    <fb>85635</fb>
    <v>11</v>
  </rv>
  <rv s="0">
    <v>536870912</v>
    <v>Villavicencio</v>
    <v>061f744c-689b-fc4e-336d-58ff74f02bb7</v>
    <v>en-US</v>
    <v>Map</v>
  </rv>
  <rv s="1">
    <fb>179624</fb>
    <v>11</v>
  </rv>
  <rv s="2">
    <v>4</v>
  </rv>
  <rv s="3">
    <v>https://www.bing.com/search?q=meta+department+colombia&amp;form=skydnc</v>
    <v>Learn more on Bing</v>
  </rv>
  <rv s="1">
    <fb>1039722</fb>
    <v>11</v>
  </rv>
  <rv s="4">
    <v>#VALUE!</v>
    <v>en-US</v>
    <v>30c3c263-a281-f2d2-6787-511d37d41ddf</v>
    <v>536870912</v>
    <v>1</v>
    <v>28</v>
    <v>4</v>
    <v>Meta Department</v>
    <v>7</v>
    <v>8</v>
    <v>Map</v>
    <v>9</v>
    <v>10</v>
    <v>CO-MET</v>
    <v>29</v>
    <v>30</v>
    <v>3</v>
    <v>Meta is a department of Colombia. It is close to the geographic center of the country, to the east of the Andean mountains. A large portion of the department, which is also crossed by the Meta River, is covered by a grassland plain known as the Llanos. Its capital is Villavicencio. The department has a monument placed in the very geographic centre of Colombia, at a place known as Alto de Menegua, a few kilometers from Puerto López.</v>
    <v>31</v>
    <v>30</v>
    <v>32</v>
    <v>33</v>
    <v>Meta Department</v>
    <v>34</v>
    <v>9</v>
    <v>Meta Department</v>
    <v>mdp/vdpid/10106924</v>
  </rv>
  <rv s="0">
    <v>536870912</v>
    <v>Putumayo Department</v>
    <v>45f7bd51-6a99-6e2e-3095-604393add4b0</v>
    <v>en-US</v>
    <v>Map</v>
  </rv>
  <rv s="1">
    <fb>24885</fb>
    <v>19</v>
  </rv>
  <rv s="0">
    <v>536870912</v>
    <v>Mocoa</v>
    <v>fb0d0b7c-d2b3-307d-2e00-ace8205ad474</v>
    <v>en-US</v>
    <v>Map</v>
  </rv>
  <rv s="1">
    <fb>69570</fb>
    <v>19</v>
  </rv>
  <rv s="7">
    <v>1</v>
    <v>9</v>
    <v>34</v>
    <v>6</v>
    <v>0</v>
    <v>Image of Putumayo Department</v>
  </rv>
  <rv s="0">
    <v>536870912</v>
    <v>Orito</v>
    <v>0b32c096-7333-77fb-af4e-abf896aec920</v>
    <v>en-US</v>
    <v>Map</v>
  </rv>
  <rv s="2">
    <v>5</v>
  </rv>
  <rv s="3">
    <v>https://www.bing.com/search?q=putumayo+department+colombia&amp;form=skydnc</v>
    <v>Learn more on Bing</v>
  </rv>
  <rv s="1">
    <fb>348182</fb>
    <v>19</v>
  </rv>
  <rv s="6">
    <v>#VALUE!</v>
    <v>en-US</v>
    <v>45f7bd51-6a99-6e2e-3095-604393add4b0</v>
    <v>536870912</v>
    <v>1</v>
    <v>32</v>
    <v>23</v>
    <v>Putumayo Department</v>
    <v>7</v>
    <v>33</v>
    <v>Map</v>
    <v>9</v>
    <v>10</v>
    <v>CO-PUT</v>
    <v>37</v>
    <v>38</v>
    <v>3</v>
    <v>Putumayo is a department of Southern Colombia. It is in the south-west of the country, bordering Ecuador and Peru. Its capital is Mocoa. The word putumayo comes from the Quechua languages. The verb p'utuy means "to spring forth" or "to burst out", and mayu means river. Thus it means "gushing river".</v>
    <v>39</v>
    <v>40</v>
    <v>41</v>
    <v>42</v>
    <v>43</v>
    <v>Putumayo Department</v>
    <v>44</v>
    <v>9</v>
    <v>Putumayo Department</v>
    <v>mdp/vdpid/10106916</v>
  </rv>
  <rv s="0">
    <v>536870912</v>
    <v>Antioquia Department</v>
    <v>d3614470-a93c-5d64-a636-9da2dff33c3d</v>
    <v>en-US</v>
    <v>Map</v>
  </rv>
  <rv s="1">
    <fb>63612</fb>
    <v>11</v>
  </rv>
  <rv s="0">
    <v>536870912</v>
    <v>Medellín</v>
    <v>7b1377e4-8d6a-bcd0-6cb4-7b7c0a8f94b5</v>
    <v>en-US</v>
    <v>Map</v>
  </rv>
  <rv s="1">
    <fb>1505161</fb>
    <v>11</v>
  </rv>
  <rv s="0">
    <v>805306368</v>
    <v>Aníbal Gaviria (Governor)</v>
    <v>5a82d4c1-4e64-20b1-6477-27a77999dfc7</v>
    <v>en-US</v>
    <v>Generic</v>
  </rv>
  <rv s="2">
    <v>6</v>
  </rv>
  <rv s="3">
    <v>https://www.bing.com/search?q=antioquia+department&amp;form=skydnc</v>
    <v>Learn more on Bing</v>
  </rv>
  <rv s="1">
    <fb>6407102</fb>
    <v>11</v>
  </rv>
  <rv s="4">
    <v>#VALUE!</v>
    <v>en-US</v>
    <v>d3614470-a93c-5d64-a636-9da2dff33c3d</v>
    <v>536870912</v>
    <v>1</v>
    <v>37</v>
    <v>4</v>
    <v>Antioquia Department</v>
    <v>7</v>
    <v>8</v>
    <v>Map</v>
    <v>9</v>
    <v>10</v>
    <v>CO-ANT</v>
    <v>47</v>
    <v>48</v>
    <v>3</v>
    <v>Antioquia is one of the 32 departments of Colombia, located in the central Northwestern part of Colombia with a narrow section that borders the Caribbean Sea. Most of its territory is mountainous with some valleys, much of which is part of the Andes mountain range. Antioquia has been part of many territorial divisions of former countries created within the present-day territory of Colombia. Prior to adoption of the Colombian Constitution of 1886, Antioquia State had its own sovereign government.</v>
    <v>49</v>
    <v>48</v>
    <v>51</v>
    <v>52</v>
    <v>Antioquia Department</v>
    <v>53</v>
    <v>9</v>
    <v>Antioquia Department</v>
    <v>mdp/vdpid/10106933</v>
  </rv>
  <rv s="0">
    <v>536870912</v>
    <v>Santander Department</v>
    <v>98fbfaa3-063d-4261-a806-2b84a0339e05</v>
    <v>en-US</v>
    <v>Map</v>
  </rv>
  <rv s="1">
    <fb>30537</fb>
    <v>11</v>
  </rv>
  <rv s="0">
    <v>536870912</v>
    <v>Bucaramanga</v>
    <v>b2b7d5d4-6e24-8927-87fe-0c327b2b2c86</v>
    <v>en-US</v>
    <v>Map</v>
  </rv>
  <rv s="1">
    <fb>495179</fb>
    <v>11</v>
  </rv>
  <rv s="2">
    <v>7</v>
  </rv>
  <rv s="3">
    <v>https://www.bing.com/search?q=santander+department+colombia&amp;form=skydnc</v>
    <v>Learn more on Bing</v>
  </rv>
  <rv s="1">
    <fb>2184837</fb>
    <v>11</v>
  </rv>
  <rv s="4">
    <v>#VALUE!</v>
    <v>en-US</v>
    <v>98fbfaa3-063d-4261-a806-2b84a0339e05</v>
    <v>536870912</v>
    <v>1</v>
    <v>40</v>
    <v>4</v>
    <v>Santander Department</v>
    <v>7</v>
    <v>8</v>
    <v>Map</v>
    <v>9</v>
    <v>10</v>
    <v>CO-SAN</v>
    <v>56</v>
    <v>57</v>
    <v>3</v>
    <v>Santander is a department of Colombia. Santander inherited the name of one of the nine original states of the United States of Colombia. It is located in the central northern part of the country, borders the Magdalena River to the east, Boyacá to the south and southeast, the Norte de Santander Department to the northeast, the Cesar Department to the north, the Bolivar and Antioquia Departments to the west. Its capital is the city of Bucaramanga.</v>
    <v>58</v>
    <v>57</v>
    <v>59</v>
    <v>60</v>
    <v>Santander Department</v>
    <v>61</v>
    <v>9</v>
    <v>Santander Department</v>
    <v>mdp/vdpid/10106936</v>
  </rv>
  <rv s="0">
    <v>536870912</v>
    <v>Huila Department</v>
    <v>2752ef70-1772-e264-2348-e4146224c108</v>
    <v>en-US</v>
    <v>Map</v>
  </rv>
  <rv s="1">
    <fb>19890</fb>
    <v>19</v>
  </rv>
  <rv s="0">
    <v>536870912</v>
    <v>Neiva</v>
    <v>1ba988f0-6907-b536-88ad-b89bb1269fc5</v>
    <v>en-US</v>
    <v>Map</v>
  </rv>
  <rv s="1">
    <fb>253348</fb>
    <v>19</v>
  </rv>
  <rv s="2">
    <v>8</v>
  </rv>
  <rv s="3">
    <v>https://www.bing.com/search?q=huila+department+colombia&amp;form=skydnc</v>
    <v>Learn more on Bing</v>
  </rv>
  <rv s="1">
    <fb>1200386</fb>
    <v>19</v>
  </rv>
  <rv s="4">
    <v>#VALUE!</v>
    <v>en-US</v>
    <v>2752ef70-1772-e264-2348-e4146224c108</v>
    <v>536870912</v>
    <v>1</v>
    <v>43</v>
    <v>4</v>
    <v>Huila Department</v>
    <v>17</v>
    <v>18</v>
    <v>Map</v>
    <v>9</v>
    <v>10</v>
    <v>CO-HUI</v>
    <v>64</v>
    <v>65</v>
    <v>3</v>
    <v>Huila is one of the departments of Colombia. It is located in the southwest of the country, and its capital is Neiva.</v>
    <v>66</v>
    <v>65</v>
    <v>67</v>
    <v>68</v>
    <v>Huila Department</v>
    <v>69</v>
    <v>9</v>
    <v>Huila Department</v>
    <v>mdp/vdpid/10106920</v>
  </rv>
  <rv s="0">
    <v>536870912</v>
    <v>Bolívar Department</v>
    <v>38fa99f2-3e47-af72-2f25-81f620fe1128</v>
    <v>en-US</v>
    <v>Map</v>
  </rv>
  <rv s="1">
    <fb>25978</fb>
    <v>11</v>
  </rv>
  <rv s="0">
    <v>536870912</v>
    <v>Cartagena</v>
    <v>722cd66d-65f4-7a40-33a0-17719bf6238a</v>
    <v>en-US</v>
    <v>Map</v>
  </rv>
  <rv s="1">
    <fb>391055</fb>
    <v>11</v>
  </rv>
  <rv s="5">
    <v>2</v>
    <v>9</v>
    <v>49</v>
    <v>0</v>
    <v>Image of Bolívar Department</v>
  </rv>
  <rv s="2">
    <v>9</v>
  </rv>
  <rv s="3">
    <v>https://www.bing.com/search?q=bol%c3%advar+department+colombia&amp;form=skydnc</v>
    <v>Learn more on Bing</v>
  </rv>
  <rv s="1">
    <fb>2070110</fb>
    <v>11</v>
  </rv>
  <rv s="6">
    <v>#VALUE!</v>
    <v>en-US</v>
    <v>38fa99f2-3e47-af72-2f25-81f620fe1128</v>
    <v>536870912</v>
    <v>1</v>
    <v>48</v>
    <v>23</v>
    <v>Bolívar Department</v>
    <v>7</v>
    <v>33</v>
    <v>Map</v>
    <v>9</v>
    <v>10</v>
    <v>CO-BOL</v>
    <v>72</v>
    <v>73</v>
    <v>3</v>
    <v>Bolívar is a department of Colombia. It was named after one of the original nine states of the United States of Colombia. It is located to the north of the country, extending roughly north–south from the Caribbean coast at Cartagena near the mouth of the Magdalena River, then south along the river to a border with Antioquia Department. The departments of Sucre and Córdoba are located to the west, and Atlántico Department is to the north and east. Across the Magdalena River to the east is Magdalena Department. The flag of the department bears a resemblance to the flag of Lithuania.</v>
    <v>74</v>
    <v>75</v>
    <v>73</v>
    <v>76</v>
    <v>77</v>
    <v>Bolívar Department</v>
    <v>78</v>
    <v>9</v>
    <v>Bolívar Department</v>
    <v>mdp/vdpid/9421486</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Largest city" t="r"/>
    <k n="Leader(s)" t="r"/>
    <k n="LearnMoreOnLink" t="r"/>
    <k n="Name" t="s"/>
    <k n="Population" t="r"/>
    <k n="Time zone(s)" t="r"/>
    <k n="UniqueName" t="s"/>
    <k n="VDPID/VSID" t="s"/>
  </s>
  <s t="_webimage">
    <k n="WebImageIdentifier" t="i"/>
    <k n="_Provider" t="spb"/>
    <k n="Attribution" t="spb"/>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Image" t="r"/>
    <k n="Largest city" t="r"/>
    <k n="Leader(s)" t="r"/>
    <k n="LearnMoreOnLink" t="r"/>
    <k n="Name" t="s"/>
    <k n="Population" t="r"/>
    <k n="Time zone(s)" t="r"/>
    <k n="UniqueName" t="s"/>
    <k n="VDPID/VSID" t="s"/>
  </s>
  <s t="_webimage">
    <k n="WebImageIdentifier" t="i"/>
    <k n="_Provider" t="spb"/>
    <k n="Attribution" t="spb"/>
    <k n="CalcOrigin" t="i"/>
    <k n="ComputedImage" t="b"/>
    <k n="Text" t="s"/>
  </s>
</rvStructures>
</file>

<file path=xl/richData/rdsupportingpropertybag.xml><?xml version="1.0" encoding="utf-8"?>
<supportingPropertyBags xmlns="http://schemas.microsoft.com/office/spreadsheetml/2017/richdata2">
  <spbArrays count="2">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Image</v>
      <v t="s">Description</v>
    </a>
  </spbArrays>
  <spbData count="50">
    <spb s="0">
      <v xml:space="preserve">Wikipedia	</v>
      <v xml:space="preserve">CC-BY-SA	</v>
      <v xml:space="preserve">http://en.wikipedia.org/wiki/La_Guajira_Department	</v>
      <v xml:space="preserve">http://creativecommons.org/licenses/by-sa/3.0/	</v>
    </spb>
    <spb s="0">
      <v xml:space="preserve">Wikipedia	dane.gov.co	</v>
      <v xml:space="preserve">CC-BY-SA		</v>
      <v xml:space="preserve">http://en.wikipedia.org/wiki/La_Guajira_Department	http://www.dane.gov.co/censo/files/cuadros%20censo%202005.xls#Cuadro4.9	</v>
      <v xml:space="preserve">http://creativecommons.org/licenses/by-sa/3.0/		</v>
    </spb>
    <spb s="0">
      <v xml:space="preserve">dane.gov.co	</v>
      <v xml:space="preserve">	</v>
      <v xml:space="preserve">http://www.dane.gov.co/censo/files/cuadros%20censo%202005.xls#Cuadro4.9	</v>
      <v xml:space="preserve">	</v>
    </spb>
    <spb s="1">
      <v>0</v>
      <v>1</v>
      <v>0</v>
      <v>1</v>
      <v>0</v>
      <v>0</v>
      <v>2</v>
      <v>1</v>
      <v>0</v>
    </spb>
    <spb s="2">
      <v>0</v>
      <v>Name</v>
      <v>LearnMoreOnLink</v>
    </spb>
    <spb s="3">
      <v>0</v>
      <v>0</v>
      <v>0</v>
    </spb>
    <spb s="4">
      <v>0</v>
      <v>0</v>
    </spb>
    <spb s="5">
      <v>5</v>
      <v>5</v>
      <v>6</v>
      <v>5</v>
    </spb>
    <spb s="6">
      <v>1</v>
      <v>2</v>
    </spb>
    <spb s="7">
      <v>https://www.bing.com</v>
      <v>https://www.bing.com/th?id=Ga%5Cbing_yt.png&amp;w=100&amp;h=40&amp;c=0&amp;pid=0.1</v>
      <v>Powered by Bing</v>
    </spb>
    <spb s="8">
      <v>square km</v>
      <v>2018</v>
      <v>2005</v>
    </spb>
    <spb s="9">
      <v>3</v>
    </spb>
    <spb s="0">
      <v xml:space="preserve">Wikipedia	</v>
      <v xml:space="preserve">CC-BY-SA	</v>
      <v xml:space="preserve">http://en.wikipedia.org/wiki/Norte_de_Santander_Department	</v>
      <v xml:space="preserve">http://creativecommons.org/licenses/by-sa/3.0/	</v>
    </spb>
    <spb s="0">
      <v xml:space="preserve">Wikipedia	dane.gov.co	</v>
      <v xml:space="preserve">CC-BY-SA		</v>
      <v xml:space="preserve">http://en.wikipedia.org/wiki/Norte_de_Santander_Department	http://www.dane.gov.co/censo/files/cuadros%20censo%202005.xls#Cuadro4.9	</v>
      <v xml:space="preserve">http://creativecommons.org/licenses/by-sa/3.0/		</v>
    </spb>
    <spb s="0">
      <v xml:space="preserve">Wikipedia	Youtube	</v>
      <v xml:space="preserve">CC-BY-SA		</v>
      <v xml:space="preserve">http://en.wikipedia.org/wiki/Norte_de_Santander_Department	https://www.youtube.com/user/geltnortedesantander	</v>
      <v xml:space="preserve">http://creativecommons.org/licenses/by-sa/3.0/		</v>
    </spb>
    <spb s="0">
      <v xml:space="preserve">Wikipedia	dane.gov.co	Youtube	</v>
      <v xml:space="preserve">CC-BY-SA			</v>
      <v xml:space="preserve">http://en.wikipedia.org/wiki/Norte_de_Santander_Department	http://www.dane.gov.co/censo/files/cuadros%20censo%202005.xls#Cuadro4.9	https://www.youtube.com/user/geltnortedesantander	</v>
      <v xml:space="preserve">http://creativecommons.org/licenses/by-sa/3.0/			</v>
    </spb>
    <spb s="10">
      <v>12</v>
      <v>13</v>
      <v>12</v>
      <v>13</v>
      <v>12</v>
      <v>12</v>
      <v>14</v>
      <v>2</v>
      <v>15</v>
      <v>14</v>
    </spb>
    <spb s="11">
      <v>5</v>
      <v>5</v>
      <v>5</v>
    </spb>
    <spb s="12">
      <v>1</v>
    </spb>
    <spb s="9">
      <v>4</v>
    </spb>
    <spb s="0">
      <v xml:space="preserve">Wikipedia	</v>
      <v xml:space="preserve">CC-BY-SA	</v>
      <v xml:space="preserve">http://en.wikipedia.org/wiki/Casanare_Department	</v>
      <v xml:space="preserve">http://creativecommons.org/licenses/by-sa/3.0/	</v>
    </spb>
    <spb s="0">
      <v xml:space="preserve">Wikipedia	dane.gov.co	</v>
      <v xml:space="preserve">CC-BY-SA		</v>
      <v xml:space="preserve">http://en.wikipedia.org/wiki/Casanare_Department	http://www.dane.gov.co/censo/files/cuadros%20censo%202005.xls#Cuadro4.9	</v>
      <v xml:space="preserve">http://creativecommons.org/licenses/by-sa/3.0/		</v>
    </spb>
    <spb s="10">
      <v>20</v>
      <v>21</v>
      <v>20</v>
      <v>21</v>
      <v>20</v>
      <v>20</v>
      <v>20</v>
      <v>2</v>
      <v>21</v>
      <v>20</v>
    </spb>
    <spb s="2">
      <v>1</v>
      <v>Name</v>
      <v>LearnMoreOnLink</v>
    </spb>
    <spb s="13">
      <v>1</v>
      <v>5</v>
    </spb>
    <spb s="0">
      <v xml:space="preserve">Wikipedia	</v>
      <v xml:space="preserve">CC-BY-SA-3.0	</v>
      <v xml:space="preserve">http://zh.wikipedia.org/wiki/卡萨纳雷省	</v>
      <v xml:space="preserve">http://creativecommons.org/licenses/by-sa/3.0/	</v>
    </spb>
    <spb s="0">
      <v xml:space="preserve">Wikipedia	</v>
      <v xml:space="preserve">CC-BY-SA	</v>
      <v xml:space="preserve">http://en.wikipedia.org/wiki/Meta_Department	</v>
      <v xml:space="preserve">http://creativecommons.org/licenses/by-sa/3.0/	</v>
    </spb>
    <spb s="0">
      <v xml:space="preserve">Wikipedia	dane.gov.co	</v>
      <v xml:space="preserve">CC-BY-SA		</v>
      <v xml:space="preserve">http://en.wikipedia.org/wiki/Meta_Department	http://www.dane.gov.co/censo/files/cuadros%20censo%202005.xls#Cuadro4.9	</v>
      <v xml:space="preserve">http://creativecommons.org/licenses/by-sa/3.0/		</v>
    </spb>
    <spb s="10">
      <v>26</v>
      <v>27</v>
      <v>26</v>
      <v>27</v>
      <v>26</v>
      <v>26</v>
      <v>26</v>
      <v>2</v>
      <v>27</v>
      <v>26</v>
    </spb>
    <spb s="0">
      <v xml:space="preserve">Wikipedia	Wikipedia	</v>
      <v xml:space="preserve">CC-BY-SA	CC-BY-SA	</v>
      <v xml:space="preserve">http://en.wikipedia.org/wiki/Putumayo_Department	http://es.wikipedia.org/wiki/Putumayo_(Colombia)	</v>
      <v xml:space="preserve">http://creativecommons.org/licenses/by-sa/3.0/	http://creativecommons.org/licenses/by-sa/3.0/	</v>
    </spb>
    <spb s="0">
      <v xml:space="preserve">Wikipedia	dane.gov.co	</v>
      <v xml:space="preserve">CC-BY-SA		</v>
      <v xml:space="preserve">http://en.wikipedia.org/wiki/Putumayo_Department	http://www.dane.gov.co/censo/files/cuadros%20censo%202005.xls#Cuadro4.9	</v>
      <v xml:space="preserve">http://creativecommons.org/licenses/by-sa/3.0/		</v>
    </spb>
    <spb s="0">
      <v xml:space="preserve">Wikipedia	</v>
      <v xml:space="preserve">CC-BY-SA	</v>
      <v xml:space="preserve">http://en.wikipedia.org/wiki/Putumayo_Department	</v>
      <v xml:space="preserve">http://creativecommons.org/licenses/by-sa/3.0/	</v>
    </spb>
    <spb s="1">
      <v>29</v>
      <v>30</v>
      <v>31</v>
      <v>30</v>
      <v>31</v>
      <v>31</v>
      <v>2</v>
      <v>30</v>
      <v>31</v>
    </spb>
    <spb s="14">
      <v>1</v>
      <v>5</v>
      <v>2</v>
    </spb>
    <spb s="0">
      <v xml:space="preserve">Wikipedia	</v>
      <v xml:space="preserve">CC BY-SA 3.0	</v>
      <v xml:space="preserve">http://ko.wikipedia.org/wiki/푸투마요주	</v>
      <v xml:space="preserve">https://creativecommons.org/licenses/by-sa/3.0	</v>
    </spb>
    <spb s="0">
      <v xml:space="preserve">Wikipedia	</v>
      <v xml:space="preserve">CC-BY-SA	</v>
      <v xml:space="preserve">http://en.wikipedia.org/wiki/Antioquia_Department	</v>
      <v xml:space="preserve">http://creativecommons.org/licenses/by-sa/3.0/	</v>
    </spb>
    <spb s="0">
      <v xml:space="preserve">Wikipedia	dane.gov.co	</v>
      <v xml:space="preserve">CC-BY-SA		</v>
      <v xml:space="preserve">http://en.wikipedia.org/wiki/Antioquia_Department	http://www.dane.gov.co/censo/files/cuadros%20censo%202005.xls#Cuadro4.9	</v>
      <v xml:space="preserve">http://creativecommons.org/licenses/by-sa/3.0/		</v>
    </spb>
    <spb s="10">
      <v>35</v>
      <v>36</v>
      <v>35</v>
      <v>36</v>
      <v>35</v>
      <v>35</v>
      <v>35</v>
      <v>2</v>
      <v>36</v>
      <v>35</v>
    </spb>
    <spb s="0">
      <v xml:space="preserve">Wikipedia	</v>
      <v xml:space="preserve">CC-BY-SA	</v>
      <v xml:space="preserve">http://en.wikipedia.org/wiki/Santander_Department	</v>
      <v xml:space="preserve">http://creativecommons.org/licenses/by-sa/3.0/	</v>
    </spb>
    <spb s="0">
      <v xml:space="preserve">Wikipedia	dane.gov.co	</v>
      <v xml:space="preserve">CC-BY-SA		</v>
      <v xml:space="preserve">http://en.wikipedia.org/wiki/Santander_Department	http://www.dane.gov.co/censo/files/cuadros%20censo%202005.xls#Cuadro4.9	</v>
      <v xml:space="preserve">http://creativecommons.org/licenses/by-sa/3.0/		</v>
    </spb>
    <spb s="10">
      <v>38</v>
      <v>39</v>
      <v>38</v>
      <v>39</v>
      <v>38</v>
      <v>38</v>
      <v>38</v>
      <v>2</v>
      <v>39</v>
      <v>38</v>
    </spb>
    <spb s="0">
      <v xml:space="preserve">Wikipedia	</v>
      <v xml:space="preserve">CC-BY-SA	</v>
      <v xml:space="preserve">http://en.wikipedia.org/wiki/Huila_Department	</v>
      <v xml:space="preserve">http://creativecommons.org/licenses/by-sa/3.0/	</v>
    </spb>
    <spb s="0">
      <v xml:space="preserve">Wikipedia	dane.gov.co	</v>
      <v xml:space="preserve">CC-BY-SA		</v>
      <v xml:space="preserve">http://en.wikipedia.org/wiki/Huila_Department	http://www.dane.gov.co/censo/files/cuadros%20censo%202005.xls#Cuadro4.9	</v>
      <v xml:space="preserve">http://creativecommons.org/licenses/by-sa/3.0/		</v>
    </spb>
    <spb s="10">
      <v>41</v>
      <v>42</v>
      <v>41</v>
      <v>42</v>
      <v>41</v>
      <v>41</v>
      <v>41</v>
      <v>2</v>
      <v>42</v>
      <v>41</v>
    </spb>
    <spb s="0">
      <v xml:space="preserve">Wikipedia	</v>
      <v xml:space="preserve">CC-BY-SA	</v>
      <v xml:space="preserve">http://zh.wikipedia.org/zh-tw/index.html?curid=1023476	</v>
      <v xml:space="preserve">http://creativecommons.org/licenses/by-sa/3.0/	</v>
    </spb>
    <spb s="0">
      <v xml:space="preserve">Wikipedia	Wikipedia	dane.gov.co	</v>
      <v xml:space="preserve">CC-BY-SA	CC-BY-SA		</v>
      <v xml:space="preserve">http://en.wikipedia.org/wiki/Bolívar_Department	http://zh.wikipedia.org/zh-tw/index.html?curid=1023476	http://www.dane.gov.co/censo/files/cuadros%20censo%202005.xls#Cuadro4.9	</v>
      <v xml:space="preserve">http://creativecommons.org/licenses/by-sa/3.0/	http://creativecommons.org/licenses/by-sa/3.0/		</v>
    </spb>
    <spb s="0">
      <v xml:space="preserve">Wikipedia	</v>
      <v xml:space="preserve">CC-BY-SA	</v>
      <v xml:space="preserve">http://en.wikipedia.org/wiki/Bolívar_Department	</v>
      <v xml:space="preserve">http://creativecommons.org/licenses/by-sa/3.0/	</v>
    </spb>
    <spb s="0">
      <v xml:space="preserve">Wikipedia	Wikipedia	</v>
      <v xml:space="preserve">CC-BY-SA	CC-BY-SA	</v>
      <v xml:space="preserve">http://en.wikipedia.org/wiki/Bolívar_Department	http://zh.wikipedia.org/zh-tw/index.html?curid=1023476	</v>
      <v xml:space="preserve">http://creativecommons.org/licenses/by-sa/3.0/	http://creativecommons.org/licenses/by-sa/3.0/	</v>
    </spb>
    <spb s="10">
      <v>44</v>
      <v>45</v>
      <v>46</v>
      <v>45</v>
      <v>46</v>
      <v>46</v>
      <v>47</v>
      <v>2</v>
      <v>45</v>
      <v>47</v>
    </spb>
    <spb s="0">
      <v xml:space="preserve">Wikipedia	</v>
      <v xml:space="preserve">CC BY 2.0	</v>
      <v xml:space="preserve">http://es.wikipedia.org/wiki/Bolívar_(Colombia)	</v>
      <v xml:space="preserve">https://creativecommons.org/licenses/by/2.0	</v>
    </spb>
  </spbData>
</supportingPropertyBags>
</file>

<file path=xl/richData/rdsupportingpropertybagstructure.xml><?xml version="1.0" encoding="utf-8"?>
<spbStructures xmlns="http://schemas.microsoft.com/office/spreadsheetml/2017/richdata2" count="15">
  <s>
    <k n="SourceText" t="s"/>
    <k n="LicenseText" t="s"/>
    <k n="SourceAddress" t="s"/>
    <k n="LicenseAddress" t="s"/>
  </s>
  <s>
    <k n="Area" t="spb"/>
    <k n="Name" t="spb"/>
    <k n="Population" t="spb"/>
    <k n="UniqueName" t="spb"/>
    <k n="Description" t="spb"/>
    <k n="Abbreviation" t="spb"/>
    <k n="Housing units" t="spb"/>
    <k n="Country/region"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Description" t="i"/>
  </s>
  <s>
    <k n="link" t="s"/>
    <k n="logo" t="s"/>
    <k n="name" t="s"/>
  </s>
  <s>
    <k n="Area" t="s"/>
    <k n="Population" t="s"/>
    <k n="Housing units" t="s"/>
  </s>
  <s>
    <k n="_Self" t="i"/>
  </s>
  <s>
    <k n="Area" t="spb"/>
    <k n="Name" t="spb"/>
    <k n="Population" t="spb"/>
    <k n="UniqueName" t="spb"/>
    <k n="Description" t="spb"/>
    <k n="Abbreviation" t="spb"/>
    <k n="Largest city" t="spb"/>
    <k n="Housing units" t="spb"/>
    <k n="Country/region" t="spb"/>
    <k n="Capital/Major City" t="spb"/>
  </s>
  <s>
    <k n="UniqueName" t="spb"/>
    <k n="VDPID/VSID" t="spb"/>
    <k n="LearnMoreOnLink" t="spb"/>
  </s>
  <s>
    <k n="Name" t="i"/>
  </s>
  <s>
    <k n="Name" t="i"/>
    <k n="Image" t="i"/>
  </s>
  <s>
    <k n="Name" t="i"/>
    <k n="Image" t="i"/>
    <k n="Description"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3" formatCode="#,##0"/>
    </x:dxf>
  </dxfs>
  <richProperties>
    <rPr n="IsTitleField" t="b"/>
    <rPr n="RequiresInlineAttribution" t="b"/>
    <rPr n="NumberFormat" t="s"/>
    <rPr n="IsHeroField" t="b"/>
  </richProperties>
  <richStyles>
    <rSty>
      <rpv i="0">1</rpv>
    </rSty>
    <rSty>
      <rpv i="1">1</rpv>
    </rSty>
    <rSty dxfid="0"/>
    <rSty dxfid="0">
      <rpv i="2">#,##0</rpv>
    </rSty>
    <rSty>
      <rpv i="3">1</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45" dT="2022-11-08T14:45:56.60" personId="{95CB8C13-05EF-46E6-BE04-8765358B713A}" id="{A5C3C82D-00EF-402F-9D9F-9B485154169C}">
    <text>Constante hasta 2038</text>
  </threadedComment>
</ThreadedComments>
</file>

<file path=xl/threadedComments/threadedComment2.xml><?xml version="1.0" encoding="utf-8"?>
<ThreadedComments xmlns="http://schemas.microsoft.com/office/spreadsheetml/2018/threadedcomments" xmlns:x="http://schemas.openxmlformats.org/spreadsheetml/2006/main">
  <threadedComment ref="N34" dT="2022-11-09T15:36:29.37" personId="{95CB8C13-05EF-46E6-BE04-8765358B713A}" id="{C3D33A80-FBA2-49ED-9F56-A08EC0925B50}">
    <text>Hidrocraqueo 0.17 kton/d,
Hidrotratamiento de nafta es 0.015 kton/d
Hidrotratamiento de diesel es 0.035 kton/d*
Hidrotratamiento de diesel II es 0.043 kton/d</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comments" Target="../comments3.xml"/><Relationship Id="rId4" Type="http://schemas.openxmlformats.org/officeDocument/2006/relationships/vmlDrawing" Target="../drawings/vmlDrawing4.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4.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5.xml"/><Relationship Id="rId1" Type="http://schemas.openxmlformats.org/officeDocument/2006/relationships/printerSettings" Target="../printerSettings/printerSettings10.bin"/><Relationship Id="rId4" Type="http://schemas.openxmlformats.org/officeDocument/2006/relationships/comments" Target="../comments9.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11.bin"/><Relationship Id="rId4" Type="http://schemas.openxmlformats.org/officeDocument/2006/relationships/comments" Target="../comments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BE85"/>
  <sheetViews>
    <sheetView topLeftCell="A56" zoomScaleNormal="100" workbookViewId="0">
      <selection activeCell="O83" sqref="O83:Q83"/>
    </sheetView>
  </sheetViews>
  <sheetFormatPr baseColWidth="10" defaultColWidth="9.140625" defaultRowHeight="15" x14ac:dyDescent="0.25"/>
  <cols>
    <col min="1" max="1" width="9.140625" style="1"/>
    <col min="2" max="2" width="14.85546875" style="1" customWidth="1"/>
    <col min="3" max="3" width="9.140625" style="1"/>
    <col min="4" max="4" width="18.7109375" style="1" customWidth="1"/>
    <col min="5" max="5" width="41.5703125" style="1" customWidth="1"/>
    <col min="6" max="6" width="9.140625" style="1"/>
    <col min="7" max="7" width="14.5703125" style="1" customWidth="1"/>
    <col min="8" max="11" width="9.140625" style="1"/>
    <col min="12" max="12" width="12.7109375" style="1" customWidth="1"/>
    <col min="13" max="13" width="14.85546875" style="1" customWidth="1"/>
    <col min="14" max="14" width="9.140625" style="1"/>
    <col min="15" max="15" width="14" style="1" customWidth="1"/>
    <col min="16" max="16" width="41.5703125" style="1" customWidth="1"/>
    <col min="17" max="17" width="9.140625" style="1"/>
    <col min="18" max="18" width="14.5703125" style="1" customWidth="1"/>
    <col min="19" max="23" width="9.140625" style="1"/>
    <col min="24" max="24" width="14.85546875" style="1" customWidth="1"/>
    <col min="25" max="25" width="9.140625" style="1"/>
    <col min="26" max="26" width="14" style="1" customWidth="1"/>
    <col min="27" max="27" width="41.5703125" style="1" customWidth="1"/>
    <col min="28" max="28" width="9.140625" style="1"/>
    <col min="29" max="29" width="14.5703125" style="1" customWidth="1"/>
    <col min="30" max="34" width="9.140625" style="1"/>
    <col min="35" max="35" width="14.85546875" style="1" customWidth="1"/>
    <col min="36" max="36" width="9.140625" style="1"/>
    <col min="37" max="37" width="14" style="1" customWidth="1"/>
    <col min="38" max="38" width="41.5703125" style="1" customWidth="1"/>
    <col min="39" max="39" width="9.140625" style="1"/>
    <col min="40" max="40" width="14.5703125" style="1" customWidth="1"/>
    <col min="41" max="1409" width="9.140625" style="1"/>
  </cols>
  <sheetData>
    <row r="2" spans="1:1409" x14ac:dyDescent="0.25">
      <c r="B2" s="16" t="s">
        <v>56</v>
      </c>
      <c r="D2" s="1" t="s">
        <v>69</v>
      </c>
      <c r="F2" s="1" t="s">
        <v>70</v>
      </c>
      <c r="I2" s="1" t="s">
        <v>71</v>
      </c>
      <c r="K2" s="1" t="s">
        <v>73</v>
      </c>
      <c r="M2" s="1" t="s">
        <v>154</v>
      </c>
    </row>
    <row r="3" spans="1:1409" x14ac:dyDescent="0.25">
      <c r="B3" s="16" t="s">
        <v>57</v>
      </c>
      <c r="D3" s="1" t="s">
        <v>51</v>
      </c>
      <c r="F3" s="1" t="s">
        <v>45</v>
      </c>
      <c r="I3" s="1" t="s">
        <v>72</v>
      </c>
      <c r="K3" s="1" t="s">
        <v>74</v>
      </c>
      <c r="M3" s="1" t="s">
        <v>155</v>
      </c>
    </row>
    <row r="4" spans="1:1409" s="18" customFormat="1" x14ac:dyDescent="0.25">
      <c r="A4" s="15"/>
      <c r="B4" s="17" t="s">
        <v>58</v>
      </c>
      <c r="C4" s="15"/>
      <c r="D4" s="15" t="s">
        <v>52</v>
      </c>
      <c r="E4" s="15"/>
      <c r="F4" s="15" t="s">
        <v>47</v>
      </c>
      <c r="G4" s="15"/>
      <c r="H4" s="15"/>
      <c r="I4" s="15"/>
      <c r="J4" s="15"/>
      <c r="K4" s="15"/>
      <c r="L4" s="15"/>
      <c r="M4" s="15" t="s">
        <v>156</v>
      </c>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5"/>
      <c r="IW4" s="15"/>
      <c r="IX4" s="15"/>
      <c r="IY4" s="15"/>
      <c r="IZ4" s="15"/>
      <c r="JA4" s="15"/>
      <c r="JB4" s="15"/>
      <c r="JC4" s="15"/>
      <c r="JD4" s="15"/>
      <c r="JE4" s="15"/>
      <c r="JF4" s="15"/>
      <c r="JG4" s="15"/>
      <c r="JH4" s="15"/>
      <c r="JI4" s="15"/>
      <c r="JJ4" s="15"/>
      <c r="JK4" s="15"/>
      <c r="JL4" s="15"/>
      <c r="JM4" s="15"/>
      <c r="JN4" s="15"/>
      <c r="JO4" s="15"/>
      <c r="JP4" s="15"/>
      <c r="JQ4" s="15"/>
      <c r="JR4" s="15"/>
      <c r="JS4" s="15"/>
      <c r="JT4" s="15"/>
      <c r="JU4" s="15"/>
      <c r="JV4" s="15"/>
      <c r="JW4" s="15"/>
      <c r="JX4" s="15"/>
      <c r="JY4" s="15"/>
      <c r="JZ4" s="15"/>
      <c r="KA4" s="15"/>
      <c r="KB4" s="15"/>
      <c r="KC4" s="15"/>
      <c r="KD4" s="15"/>
      <c r="KE4" s="15"/>
      <c r="KF4" s="15"/>
      <c r="KG4" s="15"/>
      <c r="KH4" s="15"/>
      <c r="KI4" s="15"/>
      <c r="KJ4" s="15"/>
      <c r="KK4" s="15"/>
      <c r="KL4" s="15"/>
      <c r="KM4" s="15"/>
      <c r="KN4" s="15"/>
      <c r="KO4" s="15"/>
      <c r="KP4" s="15"/>
      <c r="KQ4" s="15"/>
      <c r="KR4" s="15"/>
      <c r="KS4" s="15"/>
      <c r="KT4" s="15"/>
      <c r="KU4" s="15"/>
      <c r="KV4" s="15"/>
      <c r="KW4" s="15"/>
      <c r="KX4" s="15"/>
      <c r="KY4" s="15"/>
      <c r="KZ4" s="15"/>
      <c r="LA4" s="15"/>
      <c r="LB4" s="15"/>
      <c r="LC4" s="15"/>
      <c r="LD4" s="15"/>
      <c r="LE4" s="15"/>
      <c r="LF4" s="15"/>
      <c r="LG4" s="15"/>
      <c r="LH4" s="15"/>
      <c r="LI4" s="15"/>
      <c r="LJ4" s="15"/>
      <c r="LK4" s="15"/>
      <c r="LL4" s="15"/>
      <c r="LM4" s="15"/>
      <c r="LN4" s="15"/>
      <c r="LO4" s="15"/>
      <c r="LP4" s="15"/>
      <c r="LQ4" s="15"/>
      <c r="LR4" s="15"/>
      <c r="LS4" s="15"/>
      <c r="LT4" s="15"/>
      <c r="LU4" s="15"/>
      <c r="LV4" s="15"/>
      <c r="LW4" s="15"/>
      <c r="LX4" s="15"/>
      <c r="LY4" s="15"/>
      <c r="LZ4" s="15"/>
      <c r="MA4" s="15"/>
      <c r="MB4" s="15"/>
      <c r="MC4" s="15"/>
      <c r="MD4" s="15"/>
      <c r="ME4" s="15"/>
      <c r="MF4" s="15"/>
      <c r="MG4" s="15"/>
      <c r="MH4" s="15"/>
      <c r="MI4" s="15"/>
      <c r="MJ4" s="15"/>
      <c r="MK4" s="15"/>
      <c r="ML4" s="15"/>
      <c r="MM4" s="15"/>
      <c r="MN4" s="15"/>
      <c r="MO4" s="15"/>
      <c r="MP4" s="15"/>
      <c r="MQ4" s="15"/>
      <c r="MR4" s="15"/>
      <c r="MS4" s="15"/>
      <c r="MT4" s="15"/>
      <c r="MU4" s="15"/>
      <c r="MV4" s="15"/>
      <c r="MW4" s="15"/>
      <c r="MX4" s="15"/>
      <c r="MY4" s="15"/>
      <c r="MZ4" s="15"/>
      <c r="NA4" s="15"/>
      <c r="NB4" s="15"/>
      <c r="NC4" s="15"/>
      <c r="ND4" s="15"/>
      <c r="NE4" s="15"/>
      <c r="NF4" s="15"/>
      <c r="NG4" s="15"/>
      <c r="NH4" s="15"/>
      <c r="NI4" s="15"/>
      <c r="NJ4" s="15"/>
      <c r="NK4" s="15"/>
      <c r="NL4" s="15"/>
      <c r="NM4" s="15"/>
      <c r="NN4" s="15"/>
      <c r="NO4" s="15"/>
      <c r="NP4" s="15"/>
      <c r="NQ4" s="15"/>
      <c r="NR4" s="15"/>
      <c r="NS4" s="15"/>
      <c r="NT4" s="15"/>
      <c r="NU4" s="15"/>
      <c r="NV4" s="15"/>
      <c r="NW4" s="15"/>
      <c r="NX4" s="15"/>
      <c r="NY4" s="15"/>
      <c r="NZ4" s="15"/>
      <c r="OA4" s="15"/>
      <c r="OB4" s="15"/>
      <c r="OC4" s="15"/>
      <c r="OD4" s="15"/>
      <c r="OE4" s="15"/>
      <c r="OF4" s="15"/>
      <c r="OG4" s="15"/>
      <c r="OH4" s="15"/>
      <c r="OI4" s="15"/>
      <c r="OJ4" s="15"/>
      <c r="OK4" s="15"/>
      <c r="OL4" s="15"/>
      <c r="OM4" s="15"/>
      <c r="ON4" s="15"/>
      <c r="OO4" s="15"/>
      <c r="OP4" s="15"/>
      <c r="OQ4" s="15"/>
      <c r="OR4" s="15"/>
      <c r="OS4" s="15"/>
      <c r="OT4" s="15"/>
      <c r="OU4" s="15"/>
      <c r="OV4" s="15"/>
      <c r="OW4" s="15"/>
      <c r="OX4" s="15"/>
      <c r="OY4" s="15"/>
      <c r="OZ4" s="15"/>
      <c r="PA4" s="15"/>
      <c r="PB4" s="15"/>
      <c r="PC4" s="15"/>
      <c r="PD4" s="15"/>
      <c r="PE4" s="15"/>
      <c r="PF4" s="15"/>
      <c r="PG4" s="15"/>
      <c r="PH4" s="15"/>
      <c r="PI4" s="15"/>
      <c r="PJ4" s="15"/>
      <c r="PK4" s="15"/>
      <c r="PL4" s="15"/>
      <c r="PM4" s="15"/>
      <c r="PN4" s="15"/>
      <c r="PO4" s="15"/>
      <c r="PP4" s="15"/>
      <c r="PQ4" s="15"/>
      <c r="PR4" s="15"/>
      <c r="PS4" s="15"/>
      <c r="PT4" s="15"/>
      <c r="PU4" s="15"/>
      <c r="PV4" s="15"/>
      <c r="PW4" s="15"/>
      <c r="PX4" s="15"/>
      <c r="PY4" s="15"/>
      <c r="PZ4" s="15"/>
      <c r="QA4" s="15"/>
      <c r="QB4" s="15"/>
      <c r="QC4" s="15"/>
      <c r="QD4" s="15"/>
      <c r="QE4" s="15"/>
      <c r="QF4" s="15"/>
      <c r="QG4" s="15"/>
      <c r="QH4" s="15"/>
      <c r="QI4" s="15"/>
      <c r="QJ4" s="15"/>
      <c r="QK4" s="15"/>
      <c r="QL4" s="15"/>
      <c r="QM4" s="15"/>
      <c r="QN4" s="15"/>
      <c r="QO4" s="15"/>
      <c r="QP4" s="15"/>
      <c r="QQ4" s="15"/>
      <c r="QR4" s="15"/>
      <c r="QS4" s="15"/>
      <c r="QT4" s="15"/>
      <c r="QU4" s="15"/>
      <c r="QV4" s="15"/>
      <c r="QW4" s="15"/>
      <c r="QX4" s="15"/>
      <c r="QY4" s="15"/>
      <c r="QZ4" s="15"/>
      <c r="RA4" s="15"/>
      <c r="RB4" s="15"/>
      <c r="RC4" s="15"/>
      <c r="RD4" s="15"/>
      <c r="RE4" s="15"/>
      <c r="RF4" s="15"/>
      <c r="RG4" s="15"/>
      <c r="RH4" s="15"/>
      <c r="RI4" s="15"/>
      <c r="RJ4" s="15"/>
      <c r="RK4" s="15"/>
      <c r="RL4" s="15"/>
      <c r="RM4" s="15"/>
      <c r="RN4" s="15"/>
      <c r="RO4" s="15"/>
      <c r="RP4" s="15"/>
      <c r="RQ4" s="15"/>
      <c r="RR4" s="15"/>
      <c r="RS4" s="15"/>
      <c r="RT4" s="15"/>
      <c r="RU4" s="15"/>
      <c r="RV4" s="15"/>
      <c r="RW4" s="15"/>
      <c r="RX4" s="15"/>
      <c r="RY4" s="15"/>
      <c r="RZ4" s="15"/>
      <c r="SA4" s="15"/>
      <c r="SB4" s="15"/>
      <c r="SC4" s="15"/>
      <c r="SD4" s="15"/>
      <c r="SE4" s="15"/>
      <c r="SF4" s="15"/>
      <c r="SG4" s="15"/>
      <c r="SH4" s="15"/>
      <c r="SI4" s="15"/>
      <c r="SJ4" s="15"/>
      <c r="SK4" s="15"/>
      <c r="SL4" s="15"/>
      <c r="SM4" s="15"/>
      <c r="SN4" s="15"/>
      <c r="SO4" s="15"/>
      <c r="SP4" s="15"/>
      <c r="SQ4" s="15"/>
      <c r="SR4" s="15"/>
      <c r="SS4" s="15"/>
      <c r="ST4" s="15"/>
      <c r="SU4" s="15"/>
      <c r="SV4" s="15"/>
      <c r="SW4" s="15"/>
      <c r="SX4" s="15"/>
      <c r="SY4" s="15"/>
      <c r="SZ4" s="15"/>
      <c r="TA4" s="15"/>
      <c r="TB4" s="15"/>
      <c r="TC4" s="15"/>
      <c r="TD4" s="15"/>
      <c r="TE4" s="15"/>
      <c r="TF4" s="15"/>
      <c r="TG4" s="15"/>
      <c r="TH4" s="15"/>
      <c r="TI4" s="15"/>
      <c r="TJ4" s="15"/>
      <c r="TK4" s="15"/>
      <c r="TL4" s="15"/>
      <c r="TM4" s="15"/>
      <c r="TN4" s="15"/>
      <c r="TO4" s="15"/>
      <c r="TP4" s="15"/>
      <c r="TQ4" s="15"/>
      <c r="TR4" s="15"/>
      <c r="TS4" s="15"/>
      <c r="TT4" s="15"/>
      <c r="TU4" s="15"/>
      <c r="TV4" s="15"/>
      <c r="TW4" s="15"/>
      <c r="TX4" s="15"/>
      <c r="TY4" s="15"/>
      <c r="TZ4" s="15"/>
      <c r="UA4" s="15"/>
      <c r="UB4" s="15"/>
      <c r="UC4" s="15"/>
      <c r="UD4" s="15"/>
      <c r="UE4" s="15"/>
      <c r="UF4" s="15"/>
      <c r="UG4" s="15"/>
      <c r="UH4" s="15"/>
      <c r="UI4" s="15"/>
      <c r="UJ4" s="15"/>
      <c r="UK4" s="15"/>
      <c r="UL4" s="15"/>
      <c r="UM4" s="15"/>
      <c r="UN4" s="15"/>
      <c r="UO4" s="15"/>
      <c r="UP4" s="15"/>
      <c r="UQ4" s="15"/>
      <c r="UR4" s="15"/>
      <c r="US4" s="15"/>
      <c r="UT4" s="15"/>
      <c r="UU4" s="15"/>
      <c r="UV4" s="15"/>
      <c r="UW4" s="15"/>
      <c r="UX4" s="15"/>
      <c r="UY4" s="15"/>
      <c r="UZ4" s="15"/>
      <c r="VA4" s="15"/>
      <c r="VB4" s="15"/>
      <c r="VC4" s="15"/>
      <c r="VD4" s="15"/>
      <c r="VE4" s="15"/>
      <c r="VF4" s="15"/>
      <c r="VG4" s="15"/>
      <c r="VH4" s="15"/>
      <c r="VI4" s="15"/>
      <c r="VJ4" s="15"/>
      <c r="VK4" s="15"/>
      <c r="VL4" s="15"/>
      <c r="VM4" s="15"/>
      <c r="VN4" s="15"/>
      <c r="VO4" s="15"/>
      <c r="VP4" s="15"/>
      <c r="VQ4" s="15"/>
      <c r="VR4" s="15"/>
      <c r="VS4" s="15"/>
      <c r="VT4" s="15"/>
      <c r="VU4" s="15"/>
      <c r="VV4" s="15"/>
      <c r="VW4" s="15"/>
      <c r="VX4" s="15"/>
      <c r="VY4" s="15"/>
      <c r="VZ4" s="15"/>
      <c r="WA4" s="15"/>
      <c r="WB4" s="15"/>
      <c r="WC4" s="15"/>
      <c r="WD4" s="15"/>
      <c r="WE4" s="15"/>
      <c r="WF4" s="15"/>
      <c r="WG4" s="15"/>
      <c r="WH4" s="15"/>
      <c r="WI4" s="15"/>
      <c r="WJ4" s="15"/>
      <c r="WK4" s="15"/>
      <c r="WL4" s="15"/>
      <c r="WM4" s="15"/>
      <c r="WN4" s="15"/>
      <c r="WO4" s="15"/>
      <c r="WP4" s="15"/>
      <c r="WQ4" s="15"/>
      <c r="WR4" s="15"/>
      <c r="WS4" s="15"/>
      <c r="WT4" s="15"/>
      <c r="WU4" s="15"/>
      <c r="WV4" s="15"/>
      <c r="WW4" s="15"/>
      <c r="WX4" s="15"/>
      <c r="WY4" s="15"/>
      <c r="WZ4" s="15"/>
      <c r="XA4" s="15"/>
      <c r="XB4" s="15"/>
      <c r="XC4" s="15"/>
      <c r="XD4" s="15"/>
      <c r="XE4" s="15"/>
      <c r="XF4" s="15"/>
      <c r="XG4" s="15"/>
      <c r="XH4" s="15"/>
      <c r="XI4" s="15"/>
      <c r="XJ4" s="15"/>
      <c r="XK4" s="15"/>
      <c r="XL4" s="15"/>
      <c r="XM4" s="15"/>
      <c r="XN4" s="15"/>
      <c r="XO4" s="15"/>
      <c r="XP4" s="15"/>
      <c r="XQ4" s="15"/>
      <c r="XR4" s="15"/>
      <c r="XS4" s="15"/>
      <c r="XT4" s="15"/>
      <c r="XU4" s="15"/>
      <c r="XV4" s="15"/>
      <c r="XW4" s="15"/>
      <c r="XX4" s="15"/>
      <c r="XY4" s="15"/>
      <c r="XZ4" s="15"/>
      <c r="YA4" s="15"/>
      <c r="YB4" s="15"/>
      <c r="YC4" s="15"/>
      <c r="YD4" s="15"/>
      <c r="YE4" s="15"/>
      <c r="YF4" s="15"/>
      <c r="YG4" s="15"/>
      <c r="YH4" s="15"/>
      <c r="YI4" s="15"/>
      <c r="YJ4" s="15"/>
      <c r="YK4" s="15"/>
      <c r="YL4" s="15"/>
      <c r="YM4" s="15"/>
      <c r="YN4" s="15"/>
      <c r="YO4" s="15"/>
      <c r="YP4" s="15"/>
      <c r="YQ4" s="15"/>
      <c r="YR4" s="15"/>
      <c r="YS4" s="15"/>
      <c r="YT4" s="15"/>
      <c r="YU4" s="15"/>
      <c r="YV4" s="15"/>
      <c r="YW4" s="15"/>
      <c r="YX4" s="15"/>
      <c r="YY4" s="15"/>
      <c r="YZ4" s="15"/>
      <c r="ZA4" s="15"/>
      <c r="ZB4" s="15"/>
      <c r="ZC4" s="15"/>
      <c r="ZD4" s="15"/>
      <c r="ZE4" s="15"/>
      <c r="ZF4" s="15"/>
      <c r="ZG4" s="15"/>
      <c r="ZH4" s="15"/>
      <c r="ZI4" s="15"/>
      <c r="ZJ4" s="15"/>
      <c r="ZK4" s="15"/>
      <c r="ZL4" s="15"/>
      <c r="ZM4" s="15"/>
      <c r="ZN4" s="15"/>
      <c r="ZO4" s="15"/>
      <c r="ZP4" s="15"/>
      <c r="ZQ4" s="15"/>
      <c r="ZR4" s="15"/>
      <c r="ZS4" s="15"/>
      <c r="ZT4" s="15"/>
      <c r="ZU4" s="15"/>
      <c r="ZV4" s="15"/>
      <c r="ZW4" s="15"/>
      <c r="ZX4" s="15"/>
      <c r="ZY4" s="15"/>
      <c r="ZZ4" s="15"/>
      <c r="AAA4" s="15"/>
      <c r="AAB4" s="15"/>
      <c r="AAC4" s="15"/>
      <c r="AAD4" s="15"/>
      <c r="AAE4" s="15"/>
      <c r="AAF4" s="15"/>
      <c r="AAG4" s="15"/>
      <c r="AAH4" s="15"/>
      <c r="AAI4" s="15"/>
      <c r="AAJ4" s="15"/>
      <c r="AAK4" s="15"/>
      <c r="AAL4" s="15"/>
      <c r="AAM4" s="15"/>
      <c r="AAN4" s="15"/>
      <c r="AAO4" s="15"/>
      <c r="AAP4" s="15"/>
      <c r="AAQ4" s="15"/>
      <c r="AAR4" s="15"/>
      <c r="AAS4" s="15"/>
      <c r="AAT4" s="15"/>
      <c r="AAU4" s="15"/>
      <c r="AAV4" s="15"/>
      <c r="AAW4" s="15"/>
      <c r="AAX4" s="15"/>
      <c r="AAY4" s="15"/>
      <c r="AAZ4" s="15"/>
      <c r="ABA4" s="15"/>
      <c r="ABB4" s="15"/>
      <c r="ABC4" s="15"/>
      <c r="ABD4" s="15"/>
      <c r="ABE4" s="15"/>
      <c r="ABF4" s="15"/>
      <c r="ABG4" s="15"/>
      <c r="ABH4" s="15"/>
      <c r="ABI4" s="15"/>
      <c r="ABJ4" s="15"/>
      <c r="ABK4" s="15"/>
      <c r="ABL4" s="15"/>
      <c r="ABM4" s="15"/>
      <c r="ABN4" s="15"/>
      <c r="ABO4" s="15"/>
      <c r="ABP4" s="15"/>
      <c r="ABQ4" s="15"/>
      <c r="ABR4" s="15"/>
      <c r="ABS4" s="15"/>
      <c r="ABT4" s="15"/>
      <c r="ABU4" s="15"/>
      <c r="ABV4" s="15"/>
      <c r="ABW4" s="15"/>
      <c r="ABX4" s="15"/>
      <c r="ABY4" s="15"/>
      <c r="ABZ4" s="15"/>
      <c r="ACA4" s="15"/>
      <c r="ACB4" s="15"/>
      <c r="ACC4" s="15"/>
      <c r="ACD4" s="15"/>
      <c r="ACE4" s="15"/>
      <c r="ACF4" s="15"/>
      <c r="ACG4" s="15"/>
      <c r="ACH4" s="15"/>
      <c r="ACI4" s="15"/>
      <c r="ACJ4" s="15"/>
      <c r="ACK4" s="15"/>
      <c r="ACL4" s="15"/>
      <c r="ACM4" s="15"/>
      <c r="ACN4" s="15"/>
      <c r="ACO4" s="15"/>
      <c r="ACP4" s="15"/>
      <c r="ACQ4" s="15"/>
      <c r="ACR4" s="15"/>
      <c r="ACS4" s="15"/>
      <c r="ACT4" s="15"/>
      <c r="ACU4" s="15"/>
      <c r="ACV4" s="15"/>
      <c r="ACW4" s="15"/>
      <c r="ACX4" s="15"/>
      <c r="ACY4" s="15"/>
      <c r="ACZ4" s="15"/>
      <c r="ADA4" s="15"/>
      <c r="ADB4" s="15"/>
      <c r="ADC4" s="15"/>
      <c r="ADD4" s="15"/>
      <c r="ADE4" s="15"/>
      <c r="ADF4" s="15"/>
      <c r="ADG4" s="15"/>
      <c r="ADH4" s="15"/>
      <c r="ADI4" s="15"/>
      <c r="ADJ4" s="15"/>
      <c r="ADK4" s="15"/>
      <c r="ADL4" s="15"/>
      <c r="ADM4" s="15"/>
      <c r="ADN4" s="15"/>
      <c r="ADO4" s="15"/>
      <c r="ADP4" s="15"/>
      <c r="ADQ4" s="15"/>
      <c r="ADR4" s="15"/>
      <c r="ADS4" s="15"/>
      <c r="ADT4" s="15"/>
      <c r="ADU4" s="15"/>
      <c r="ADV4" s="15"/>
      <c r="ADW4" s="15"/>
      <c r="ADX4" s="15"/>
      <c r="ADY4" s="15"/>
      <c r="ADZ4" s="15"/>
      <c r="AEA4" s="15"/>
      <c r="AEB4" s="15"/>
      <c r="AEC4" s="15"/>
      <c r="AED4" s="15"/>
      <c r="AEE4" s="15"/>
      <c r="AEF4" s="15"/>
      <c r="AEG4" s="15"/>
      <c r="AEH4" s="15"/>
      <c r="AEI4" s="15"/>
      <c r="AEJ4" s="15"/>
      <c r="AEK4" s="15"/>
      <c r="AEL4" s="15"/>
      <c r="AEM4" s="15"/>
      <c r="AEN4" s="15"/>
      <c r="AEO4" s="15"/>
      <c r="AEP4" s="15"/>
      <c r="AEQ4" s="15"/>
      <c r="AER4" s="15"/>
      <c r="AES4" s="15"/>
      <c r="AET4" s="15"/>
      <c r="AEU4" s="15"/>
      <c r="AEV4" s="15"/>
      <c r="AEW4" s="15"/>
      <c r="AEX4" s="15"/>
      <c r="AEY4" s="15"/>
      <c r="AEZ4" s="15"/>
      <c r="AFA4" s="15"/>
      <c r="AFB4" s="15"/>
      <c r="AFC4" s="15"/>
      <c r="AFD4" s="15"/>
      <c r="AFE4" s="15"/>
      <c r="AFF4" s="15"/>
      <c r="AFG4" s="15"/>
      <c r="AFH4" s="15"/>
      <c r="AFI4" s="15"/>
      <c r="AFJ4" s="15"/>
      <c r="AFK4" s="15"/>
      <c r="AFL4" s="15"/>
      <c r="AFM4" s="15"/>
      <c r="AFN4" s="15"/>
      <c r="AFO4" s="15"/>
      <c r="AFP4" s="15"/>
      <c r="AFQ4" s="15"/>
      <c r="AFR4" s="15"/>
      <c r="AFS4" s="15"/>
      <c r="AFT4" s="15"/>
      <c r="AFU4" s="15"/>
      <c r="AFV4" s="15"/>
      <c r="AFW4" s="15"/>
      <c r="AFX4" s="15"/>
      <c r="AFY4" s="15"/>
      <c r="AFZ4" s="15"/>
      <c r="AGA4" s="15"/>
      <c r="AGB4" s="15"/>
      <c r="AGC4" s="15"/>
      <c r="AGD4" s="15"/>
      <c r="AGE4" s="15"/>
      <c r="AGF4" s="15"/>
      <c r="AGG4" s="15"/>
      <c r="AGH4" s="15"/>
      <c r="AGI4" s="15"/>
      <c r="AGJ4" s="15"/>
      <c r="AGK4" s="15"/>
      <c r="AGL4" s="15"/>
      <c r="AGM4" s="15"/>
      <c r="AGN4" s="15"/>
      <c r="AGO4" s="15"/>
      <c r="AGP4" s="15"/>
      <c r="AGQ4" s="15"/>
      <c r="AGR4" s="15"/>
      <c r="AGS4" s="15"/>
      <c r="AGT4" s="15"/>
      <c r="AGU4" s="15"/>
      <c r="AGV4" s="15"/>
      <c r="AGW4" s="15"/>
      <c r="AGX4" s="15"/>
      <c r="AGY4" s="15"/>
      <c r="AGZ4" s="15"/>
      <c r="AHA4" s="15"/>
      <c r="AHB4" s="15"/>
      <c r="AHC4" s="15"/>
      <c r="AHD4" s="15"/>
      <c r="AHE4" s="15"/>
      <c r="AHF4" s="15"/>
      <c r="AHG4" s="15"/>
      <c r="AHH4" s="15"/>
      <c r="AHI4" s="15"/>
      <c r="AHJ4" s="15"/>
      <c r="AHK4" s="15"/>
      <c r="AHL4" s="15"/>
      <c r="AHM4" s="15"/>
      <c r="AHN4" s="15"/>
      <c r="AHO4" s="15"/>
      <c r="AHP4" s="15"/>
      <c r="AHQ4" s="15"/>
      <c r="AHR4" s="15"/>
      <c r="AHS4" s="15"/>
      <c r="AHT4" s="15"/>
      <c r="AHU4" s="15"/>
      <c r="AHV4" s="15"/>
      <c r="AHW4" s="15"/>
      <c r="AHX4" s="15"/>
      <c r="AHY4" s="15"/>
      <c r="AHZ4" s="15"/>
      <c r="AIA4" s="15"/>
      <c r="AIB4" s="15"/>
      <c r="AIC4" s="15"/>
      <c r="AID4" s="15"/>
      <c r="AIE4" s="15"/>
      <c r="AIF4" s="15"/>
      <c r="AIG4" s="15"/>
      <c r="AIH4" s="15"/>
      <c r="AII4" s="15"/>
      <c r="AIJ4" s="15"/>
      <c r="AIK4" s="15"/>
      <c r="AIL4" s="15"/>
      <c r="AIM4" s="15"/>
      <c r="AIN4" s="15"/>
      <c r="AIO4" s="15"/>
      <c r="AIP4" s="15"/>
      <c r="AIQ4" s="15"/>
      <c r="AIR4" s="15"/>
      <c r="AIS4" s="15"/>
      <c r="AIT4" s="15"/>
      <c r="AIU4" s="15"/>
      <c r="AIV4" s="15"/>
      <c r="AIW4" s="15"/>
      <c r="AIX4" s="15"/>
      <c r="AIY4" s="15"/>
      <c r="AIZ4" s="15"/>
      <c r="AJA4" s="15"/>
      <c r="AJB4" s="15"/>
      <c r="AJC4" s="15"/>
      <c r="AJD4" s="15"/>
      <c r="AJE4" s="15"/>
      <c r="AJF4" s="15"/>
      <c r="AJG4" s="15"/>
      <c r="AJH4" s="15"/>
      <c r="AJI4" s="15"/>
      <c r="AJJ4" s="15"/>
      <c r="AJK4" s="15"/>
      <c r="AJL4" s="15"/>
      <c r="AJM4" s="15"/>
      <c r="AJN4" s="15"/>
      <c r="AJO4" s="15"/>
      <c r="AJP4" s="15"/>
      <c r="AJQ4" s="15"/>
      <c r="AJR4" s="15"/>
      <c r="AJS4" s="15"/>
      <c r="AJT4" s="15"/>
      <c r="AJU4" s="15"/>
      <c r="AJV4" s="15"/>
      <c r="AJW4" s="15"/>
      <c r="AJX4" s="15"/>
      <c r="AJY4" s="15"/>
      <c r="AJZ4" s="15"/>
      <c r="AKA4" s="15"/>
      <c r="AKB4" s="15"/>
      <c r="AKC4" s="15"/>
      <c r="AKD4" s="15"/>
      <c r="AKE4" s="15"/>
      <c r="AKF4" s="15"/>
      <c r="AKG4" s="15"/>
      <c r="AKH4" s="15"/>
      <c r="AKI4" s="15"/>
      <c r="AKJ4" s="15"/>
      <c r="AKK4" s="15"/>
      <c r="AKL4" s="15"/>
      <c r="AKM4" s="15"/>
      <c r="AKN4" s="15"/>
      <c r="AKO4" s="15"/>
      <c r="AKP4" s="15"/>
      <c r="AKQ4" s="15"/>
      <c r="AKR4" s="15"/>
      <c r="AKS4" s="15"/>
      <c r="AKT4" s="15"/>
      <c r="AKU4" s="15"/>
      <c r="AKV4" s="15"/>
      <c r="AKW4" s="15"/>
      <c r="AKX4" s="15"/>
      <c r="AKY4" s="15"/>
      <c r="AKZ4" s="15"/>
      <c r="ALA4" s="15"/>
      <c r="ALB4" s="15"/>
      <c r="ALC4" s="15"/>
      <c r="ALD4" s="15"/>
      <c r="ALE4" s="15"/>
      <c r="ALF4" s="15"/>
      <c r="ALG4" s="15"/>
      <c r="ALH4" s="15"/>
      <c r="ALI4" s="15"/>
      <c r="ALJ4" s="15"/>
      <c r="ALK4" s="15"/>
      <c r="ALL4" s="15"/>
      <c r="ALM4" s="15"/>
      <c r="ALN4" s="15"/>
      <c r="ALO4" s="15"/>
      <c r="ALP4" s="15"/>
      <c r="ALQ4" s="15"/>
      <c r="ALR4" s="15"/>
      <c r="ALS4" s="15"/>
      <c r="ALT4" s="15"/>
      <c r="ALU4" s="15"/>
      <c r="ALV4" s="15"/>
      <c r="ALW4" s="15"/>
      <c r="ALX4" s="15"/>
      <c r="ALY4" s="15"/>
      <c r="ALZ4" s="15"/>
      <c r="AMA4" s="15"/>
      <c r="AMB4" s="15"/>
      <c r="AMC4" s="15"/>
      <c r="AMD4" s="15"/>
      <c r="AME4" s="15"/>
      <c r="AMF4" s="15"/>
      <c r="AMG4" s="15"/>
      <c r="AMH4" s="15"/>
      <c r="AMI4" s="15"/>
      <c r="AMJ4" s="15"/>
      <c r="AMK4" s="15"/>
      <c r="AML4" s="15"/>
      <c r="AMM4" s="15"/>
      <c r="AMN4" s="15"/>
      <c r="AMO4" s="15"/>
      <c r="AMP4" s="15"/>
      <c r="AMQ4" s="15"/>
      <c r="AMR4" s="15"/>
      <c r="AMS4" s="15"/>
      <c r="AMT4" s="15"/>
      <c r="AMU4" s="15"/>
      <c r="AMV4" s="15"/>
      <c r="AMW4" s="15"/>
      <c r="AMX4" s="15"/>
      <c r="AMY4" s="15"/>
      <c r="AMZ4" s="15"/>
      <c r="ANA4" s="15"/>
      <c r="ANB4" s="15"/>
      <c r="ANC4" s="15"/>
      <c r="AND4" s="15"/>
      <c r="ANE4" s="15"/>
      <c r="ANF4" s="15"/>
      <c r="ANG4" s="15"/>
      <c r="ANH4" s="15"/>
      <c r="ANI4" s="15"/>
      <c r="ANJ4" s="15"/>
      <c r="ANK4" s="15"/>
      <c r="ANL4" s="15"/>
      <c r="ANM4" s="15"/>
      <c r="ANN4" s="15"/>
      <c r="ANO4" s="15"/>
      <c r="ANP4" s="15"/>
      <c r="ANQ4" s="15"/>
      <c r="ANR4" s="15"/>
      <c r="ANS4" s="15"/>
      <c r="ANT4" s="15"/>
      <c r="ANU4" s="15"/>
      <c r="ANV4" s="15"/>
      <c r="ANW4" s="15"/>
      <c r="ANX4" s="15"/>
      <c r="ANY4" s="15"/>
      <c r="ANZ4" s="15"/>
      <c r="AOA4" s="15"/>
      <c r="AOB4" s="15"/>
      <c r="AOC4" s="15"/>
      <c r="AOD4" s="15"/>
      <c r="AOE4" s="15"/>
      <c r="AOF4" s="15"/>
      <c r="AOG4" s="15"/>
      <c r="AOH4" s="15"/>
      <c r="AOI4" s="15"/>
      <c r="AOJ4" s="15"/>
      <c r="AOK4" s="15"/>
      <c r="AOL4" s="15"/>
      <c r="AOM4" s="15"/>
      <c r="AON4" s="15"/>
      <c r="AOO4" s="15"/>
      <c r="AOP4" s="15"/>
      <c r="AOQ4" s="15"/>
      <c r="AOR4" s="15"/>
      <c r="AOS4" s="15"/>
      <c r="AOT4" s="15"/>
      <c r="AOU4" s="15"/>
      <c r="AOV4" s="15"/>
      <c r="AOW4" s="15"/>
      <c r="AOX4" s="15"/>
      <c r="AOY4" s="15"/>
      <c r="AOZ4" s="15"/>
      <c r="APA4" s="15"/>
      <c r="APB4" s="15"/>
      <c r="APC4" s="15"/>
      <c r="APD4" s="15"/>
      <c r="APE4" s="15"/>
      <c r="APF4" s="15"/>
      <c r="APG4" s="15"/>
      <c r="APH4" s="15"/>
      <c r="API4" s="15"/>
      <c r="APJ4" s="15"/>
      <c r="APK4" s="15"/>
      <c r="APL4" s="15"/>
      <c r="APM4" s="15"/>
      <c r="APN4" s="15"/>
      <c r="APO4" s="15"/>
      <c r="APP4" s="15"/>
      <c r="APQ4" s="15"/>
      <c r="APR4" s="15"/>
      <c r="APS4" s="15"/>
      <c r="APT4" s="15"/>
      <c r="APU4" s="15"/>
      <c r="APV4" s="15"/>
      <c r="APW4" s="15"/>
      <c r="APX4" s="15"/>
      <c r="APY4" s="15"/>
      <c r="APZ4" s="15"/>
      <c r="AQA4" s="15"/>
      <c r="AQB4" s="15"/>
      <c r="AQC4" s="15"/>
      <c r="AQD4" s="15"/>
      <c r="AQE4" s="15"/>
      <c r="AQF4" s="15"/>
      <c r="AQG4" s="15"/>
      <c r="AQH4" s="15"/>
      <c r="AQI4" s="15"/>
      <c r="AQJ4" s="15"/>
      <c r="AQK4" s="15"/>
      <c r="AQL4" s="15"/>
      <c r="AQM4" s="15"/>
      <c r="AQN4" s="15"/>
      <c r="AQO4" s="15"/>
      <c r="AQP4" s="15"/>
      <c r="AQQ4" s="15"/>
      <c r="AQR4" s="15"/>
      <c r="AQS4" s="15"/>
      <c r="AQT4" s="15"/>
      <c r="AQU4" s="15"/>
      <c r="AQV4" s="15"/>
      <c r="AQW4" s="15"/>
      <c r="AQX4" s="15"/>
      <c r="AQY4" s="15"/>
      <c r="AQZ4" s="15"/>
      <c r="ARA4" s="15"/>
      <c r="ARB4" s="15"/>
      <c r="ARC4" s="15"/>
      <c r="ARD4" s="15"/>
      <c r="ARE4" s="15"/>
      <c r="ARF4" s="15"/>
      <c r="ARG4" s="15"/>
      <c r="ARH4" s="15"/>
      <c r="ARI4" s="15"/>
      <c r="ARJ4" s="15"/>
      <c r="ARK4" s="15"/>
      <c r="ARL4" s="15"/>
      <c r="ARM4" s="15"/>
      <c r="ARN4" s="15"/>
      <c r="ARO4" s="15"/>
      <c r="ARP4" s="15"/>
      <c r="ARQ4" s="15"/>
      <c r="ARR4" s="15"/>
      <c r="ARS4" s="15"/>
      <c r="ART4" s="15"/>
      <c r="ARU4" s="15"/>
      <c r="ARV4" s="15"/>
      <c r="ARW4" s="15"/>
      <c r="ARX4" s="15"/>
      <c r="ARY4" s="15"/>
      <c r="ARZ4" s="15"/>
      <c r="ASA4" s="15"/>
      <c r="ASB4" s="15"/>
      <c r="ASC4" s="15"/>
      <c r="ASD4" s="15"/>
      <c r="ASE4" s="15"/>
      <c r="ASF4" s="15"/>
      <c r="ASG4" s="15"/>
      <c r="ASH4" s="15"/>
      <c r="ASI4" s="15"/>
      <c r="ASJ4" s="15"/>
      <c r="ASK4" s="15"/>
      <c r="ASL4" s="15"/>
      <c r="ASM4" s="15"/>
      <c r="ASN4" s="15"/>
      <c r="ASO4" s="15"/>
      <c r="ASP4" s="15"/>
      <c r="ASQ4" s="15"/>
      <c r="ASR4" s="15"/>
      <c r="ASS4" s="15"/>
      <c r="AST4" s="15"/>
      <c r="ASU4" s="15"/>
      <c r="ASV4" s="15"/>
      <c r="ASW4" s="15"/>
      <c r="ASX4" s="15"/>
      <c r="ASY4" s="15"/>
      <c r="ASZ4" s="15"/>
      <c r="ATA4" s="15"/>
      <c r="ATB4" s="15"/>
      <c r="ATC4" s="15"/>
      <c r="ATD4" s="15"/>
      <c r="ATE4" s="15"/>
      <c r="ATF4" s="15"/>
      <c r="ATG4" s="15"/>
      <c r="ATH4" s="15"/>
      <c r="ATI4" s="15"/>
      <c r="ATJ4" s="15"/>
      <c r="ATK4" s="15"/>
      <c r="ATL4" s="15"/>
      <c r="ATM4" s="15"/>
      <c r="ATN4" s="15"/>
      <c r="ATO4" s="15"/>
      <c r="ATP4" s="15"/>
      <c r="ATQ4" s="15"/>
      <c r="ATR4" s="15"/>
      <c r="ATS4" s="15"/>
      <c r="ATT4" s="15"/>
      <c r="ATU4" s="15"/>
      <c r="ATV4" s="15"/>
      <c r="ATW4" s="15"/>
      <c r="ATX4" s="15"/>
      <c r="ATY4" s="15"/>
      <c r="ATZ4" s="15"/>
      <c r="AUA4" s="15"/>
      <c r="AUB4" s="15"/>
      <c r="AUC4" s="15"/>
      <c r="AUD4" s="15"/>
      <c r="AUE4" s="15"/>
      <c r="AUF4" s="15"/>
      <c r="AUG4" s="15"/>
      <c r="AUH4" s="15"/>
      <c r="AUI4" s="15"/>
      <c r="AUJ4" s="15"/>
      <c r="AUK4" s="15"/>
      <c r="AUL4" s="15"/>
      <c r="AUM4" s="15"/>
      <c r="AUN4" s="15"/>
      <c r="AUO4" s="15"/>
      <c r="AUP4" s="15"/>
      <c r="AUQ4" s="15"/>
      <c r="AUR4" s="15"/>
      <c r="AUS4" s="15"/>
      <c r="AUT4" s="15"/>
      <c r="AUU4" s="15"/>
      <c r="AUV4" s="15"/>
      <c r="AUW4" s="15"/>
      <c r="AUX4" s="15"/>
      <c r="AUY4" s="15"/>
      <c r="AUZ4" s="15"/>
      <c r="AVA4" s="15"/>
      <c r="AVB4" s="15"/>
      <c r="AVC4" s="15"/>
      <c r="AVD4" s="15"/>
      <c r="AVE4" s="15"/>
      <c r="AVF4" s="15"/>
      <c r="AVG4" s="15"/>
      <c r="AVH4" s="15"/>
      <c r="AVI4" s="15"/>
      <c r="AVJ4" s="15"/>
      <c r="AVK4" s="15"/>
      <c r="AVL4" s="15"/>
      <c r="AVM4" s="15"/>
      <c r="AVN4" s="15"/>
      <c r="AVO4" s="15"/>
      <c r="AVP4" s="15"/>
      <c r="AVQ4" s="15"/>
      <c r="AVR4" s="15"/>
      <c r="AVS4" s="15"/>
      <c r="AVT4" s="15"/>
      <c r="AVU4" s="15"/>
      <c r="AVV4" s="15"/>
      <c r="AVW4" s="15"/>
      <c r="AVX4" s="15"/>
      <c r="AVY4" s="15"/>
      <c r="AVZ4" s="15"/>
      <c r="AWA4" s="15"/>
      <c r="AWB4" s="15"/>
      <c r="AWC4" s="15"/>
      <c r="AWD4" s="15"/>
      <c r="AWE4" s="15"/>
      <c r="AWF4" s="15"/>
      <c r="AWG4" s="15"/>
      <c r="AWH4" s="15"/>
      <c r="AWI4" s="15"/>
      <c r="AWJ4" s="15"/>
      <c r="AWK4" s="15"/>
      <c r="AWL4" s="15"/>
      <c r="AWM4" s="15"/>
      <c r="AWN4" s="15"/>
      <c r="AWO4" s="15"/>
      <c r="AWP4" s="15"/>
      <c r="AWQ4" s="15"/>
      <c r="AWR4" s="15"/>
      <c r="AWS4" s="15"/>
      <c r="AWT4" s="15"/>
      <c r="AWU4" s="15"/>
      <c r="AWV4" s="15"/>
      <c r="AWW4" s="15"/>
      <c r="AWX4" s="15"/>
      <c r="AWY4" s="15"/>
      <c r="AWZ4" s="15"/>
      <c r="AXA4" s="15"/>
      <c r="AXB4" s="15"/>
      <c r="AXC4" s="15"/>
      <c r="AXD4" s="15"/>
      <c r="AXE4" s="15"/>
      <c r="AXF4" s="15"/>
      <c r="AXG4" s="15"/>
      <c r="AXH4" s="15"/>
      <c r="AXI4" s="15"/>
      <c r="AXJ4" s="15"/>
      <c r="AXK4" s="15"/>
      <c r="AXL4" s="15"/>
      <c r="AXM4" s="15"/>
      <c r="AXN4" s="15"/>
      <c r="AXO4" s="15"/>
      <c r="AXP4" s="15"/>
      <c r="AXQ4" s="15"/>
      <c r="AXR4" s="15"/>
      <c r="AXS4" s="15"/>
      <c r="AXT4" s="15"/>
      <c r="AXU4" s="15"/>
      <c r="AXV4" s="15"/>
      <c r="AXW4" s="15"/>
      <c r="AXX4" s="15"/>
      <c r="AXY4" s="15"/>
      <c r="AXZ4" s="15"/>
      <c r="AYA4" s="15"/>
      <c r="AYB4" s="15"/>
      <c r="AYC4" s="15"/>
      <c r="AYD4" s="15"/>
      <c r="AYE4" s="15"/>
      <c r="AYF4" s="15"/>
      <c r="AYG4" s="15"/>
      <c r="AYH4" s="15"/>
      <c r="AYI4" s="15"/>
      <c r="AYJ4" s="15"/>
      <c r="AYK4" s="15"/>
      <c r="AYL4" s="15"/>
      <c r="AYM4" s="15"/>
      <c r="AYN4" s="15"/>
      <c r="AYO4" s="15"/>
      <c r="AYP4" s="15"/>
      <c r="AYQ4" s="15"/>
      <c r="AYR4" s="15"/>
      <c r="AYS4" s="15"/>
      <c r="AYT4" s="15"/>
      <c r="AYU4" s="15"/>
      <c r="AYV4" s="15"/>
      <c r="AYW4" s="15"/>
      <c r="AYX4" s="15"/>
      <c r="AYY4" s="15"/>
      <c r="AYZ4" s="15"/>
      <c r="AZA4" s="15"/>
      <c r="AZB4" s="15"/>
      <c r="AZC4" s="15"/>
      <c r="AZD4" s="15"/>
      <c r="AZE4" s="15"/>
      <c r="AZF4" s="15"/>
      <c r="AZG4" s="15"/>
      <c r="AZH4" s="15"/>
      <c r="AZI4" s="15"/>
      <c r="AZJ4" s="15"/>
      <c r="AZK4" s="15"/>
      <c r="AZL4" s="15"/>
      <c r="AZM4" s="15"/>
      <c r="AZN4" s="15"/>
      <c r="AZO4" s="15"/>
      <c r="AZP4" s="15"/>
      <c r="AZQ4" s="15"/>
      <c r="AZR4" s="15"/>
      <c r="AZS4" s="15"/>
      <c r="AZT4" s="15"/>
      <c r="AZU4" s="15"/>
      <c r="AZV4" s="15"/>
      <c r="AZW4" s="15"/>
      <c r="AZX4" s="15"/>
      <c r="AZY4" s="15"/>
      <c r="AZZ4" s="15"/>
      <c r="BAA4" s="15"/>
      <c r="BAB4" s="15"/>
      <c r="BAC4" s="15"/>
      <c r="BAD4" s="15"/>
      <c r="BAE4" s="15"/>
      <c r="BAF4" s="15"/>
      <c r="BAG4" s="15"/>
      <c r="BAH4" s="15"/>
      <c r="BAI4" s="15"/>
      <c r="BAJ4" s="15"/>
      <c r="BAK4" s="15"/>
      <c r="BAL4" s="15"/>
      <c r="BAM4" s="15"/>
      <c r="BAN4" s="15"/>
      <c r="BAO4" s="15"/>
      <c r="BAP4" s="15"/>
      <c r="BAQ4" s="15"/>
      <c r="BAR4" s="15"/>
      <c r="BAS4" s="15"/>
      <c r="BAT4" s="15"/>
      <c r="BAU4" s="15"/>
      <c r="BAV4" s="15"/>
      <c r="BAW4" s="15"/>
      <c r="BAX4" s="15"/>
      <c r="BAY4" s="15"/>
      <c r="BAZ4" s="15"/>
      <c r="BBA4" s="15"/>
      <c r="BBB4" s="15"/>
      <c r="BBC4" s="15"/>
      <c r="BBD4" s="15"/>
      <c r="BBE4" s="15"/>
    </row>
    <row r="5" spans="1:1409" x14ac:dyDescent="0.25">
      <c r="B5" s="16" t="s">
        <v>59</v>
      </c>
      <c r="D5" s="1" t="s">
        <v>67</v>
      </c>
      <c r="F5" s="1" t="s">
        <v>48</v>
      </c>
      <c r="M5" s="1" t="s">
        <v>157</v>
      </c>
    </row>
    <row r="6" spans="1:1409" x14ac:dyDescent="0.25">
      <c r="B6" s="16" t="s">
        <v>60</v>
      </c>
      <c r="D6" s="1" t="s">
        <v>53</v>
      </c>
      <c r="F6" s="1" t="s">
        <v>49</v>
      </c>
      <c r="M6" s="1" t="s">
        <v>158</v>
      </c>
    </row>
    <row r="7" spans="1:1409" x14ac:dyDescent="0.25">
      <c r="B7" s="16" t="s">
        <v>61</v>
      </c>
      <c r="D7" s="1" t="s">
        <v>68</v>
      </c>
      <c r="F7" s="1" t="s">
        <v>50</v>
      </c>
      <c r="M7" s="1" t="s">
        <v>159</v>
      </c>
    </row>
    <row r="8" spans="1:1409" x14ac:dyDescent="0.25">
      <c r="B8" s="16" t="s">
        <v>62</v>
      </c>
      <c r="D8" s="1" t="s">
        <v>103</v>
      </c>
      <c r="F8" s="1" t="s">
        <v>43</v>
      </c>
    </row>
    <row r="9" spans="1:1409" x14ac:dyDescent="0.25">
      <c r="B9" s="16" t="s">
        <v>63</v>
      </c>
      <c r="F9" s="1" t="s">
        <v>44</v>
      </c>
    </row>
    <row r="10" spans="1:1409" x14ac:dyDescent="0.25">
      <c r="B10" s="16" t="s">
        <v>64</v>
      </c>
    </row>
    <row r="11" spans="1:1409" x14ac:dyDescent="0.25">
      <c r="B11" s="16" t="s">
        <v>65</v>
      </c>
    </row>
    <row r="12" spans="1:1409" x14ac:dyDescent="0.25">
      <c r="B12" s="16" t="s">
        <v>66</v>
      </c>
    </row>
    <row r="14" spans="1:1409" x14ac:dyDescent="0.25">
      <c r="X14" s="558" t="s">
        <v>101</v>
      </c>
      <c r="Y14" s="558"/>
      <c r="Z14" s="558"/>
      <c r="AA14" s="558"/>
      <c r="AB14" s="558"/>
      <c r="AC14" s="558"/>
      <c r="AD14" s="558"/>
      <c r="AE14" s="558"/>
      <c r="AF14" s="558"/>
    </row>
    <row r="15" spans="1:1409" x14ac:dyDescent="0.25">
      <c r="B15" s="558" t="s">
        <v>83</v>
      </c>
      <c r="C15" s="558"/>
      <c r="D15" s="558"/>
      <c r="E15" s="558"/>
      <c r="F15" s="558"/>
      <c r="G15" s="558"/>
      <c r="H15" s="558"/>
      <c r="I15" s="558"/>
      <c r="J15" s="558"/>
      <c r="M15" s="558" t="s">
        <v>84</v>
      </c>
      <c r="N15" s="558"/>
      <c r="O15" s="558"/>
      <c r="P15" s="558"/>
      <c r="Q15" s="558"/>
      <c r="R15" s="558"/>
      <c r="S15" s="558"/>
      <c r="T15" s="558"/>
      <c r="U15" s="558"/>
      <c r="AI15" s="558" t="s">
        <v>97</v>
      </c>
      <c r="AJ15" s="558"/>
      <c r="AK15" s="558"/>
      <c r="AL15" s="558"/>
      <c r="AM15" s="558"/>
      <c r="AN15" s="558"/>
      <c r="AO15" s="558"/>
      <c r="AP15" s="558"/>
      <c r="AQ15" s="558"/>
    </row>
    <row r="17" spans="1:1409" x14ac:dyDescent="0.25">
      <c r="B17" s="9" t="s">
        <v>20</v>
      </c>
      <c r="C17" s="9"/>
      <c r="D17" s="10"/>
      <c r="E17" s="10"/>
      <c r="F17" s="10"/>
      <c r="G17" s="10"/>
      <c r="H17" s="10"/>
      <c r="I17" s="10"/>
      <c r="J17" s="10"/>
      <c r="M17" s="9" t="s">
        <v>20</v>
      </c>
      <c r="N17" s="9"/>
      <c r="O17" s="10"/>
      <c r="P17" s="10"/>
      <c r="Q17" s="10"/>
      <c r="R17" s="10"/>
      <c r="S17" s="10"/>
      <c r="T17" s="10"/>
      <c r="U17" s="10"/>
      <c r="X17" s="9" t="s">
        <v>20</v>
      </c>
      <c r="Y17" s="9"/>
      <c r="Z17" s="10"/>
      <c r="AA17" s="10"/>
      <c r="AB17" s="10"/>
      <c r="AC17" s="10"/>
      <c r="AD17" s="10"/>
      <c r="AE17" s="10"/>
      <c r="AF17" s="10"/>
      <c r="AI17" s="9" t="s">
        <v>20</v>
      </c>
      <c r="AJ17" s="9"/>
      <c r="AK17" s="10"/>
      <c r="AL17" s="10"/>
      <c r="AM17" s="10"/>
      <c r="AN17" s="10"/>
      <c r="AO17" s="10"/>
      <c r="AP17" s="10"/>
      <c r="AQ17" s="10"/>
    </row>
    <row r="18" spans="1:1409" x14ac:dyDescent="0.25">
      <c r="B18" s="11" t="s">
        <v>21</v>
      </c>
      <c r="C18" s="12" t="s">
        <v>22</v>
      </c>
      <c r="D18" s="11" t="s">
        <v>2</v>
      </c>
      <c r="E18" s="11" t="s">
        <v>23</v>
      </c>
      <c r="F18" s="11" t="s">
        <v>24</v>
      </c>
      <c r="G18" s="11" t="s">
        <v>14</v>
      </c>
      <c r="H18" s="11" t="s">
        <v>75</v>
      </c>
      <c r="I18" s="11" t="s">
        <v>76</v>
      </c>
      <c r="J18" s="11" t="s">
        <v>77</v>
      </c>
      <c r="M18" s="11" t="s">
        <v>21</v>
      </c>
      <c r="N18" s="12" t="s">
        <v>22</v>
      </c>
      <c r="O18" s="11" t="s">
        <v>2</v>
      </c>
      <c r="P18" s="11" t="s">
        <v>23</v>
      </c>
      <c r="Q18" s="11" t="s">
        <v>24</v>
      </c>
      <c r="R18" s="11" t="s">
        <v>14</v>
      </c>
      <c r="S18" s="11" t="s">
        <v>75</v>
      </c>
      <c r="T18" s="11" t="s">
        <v>76</v>
      </c>
      <c r="U18" s="11" t="s">
        <v>77</v>
      </c>
      <c r="X18" s="11" t="s">
        <v>21</v>
      </c>
      <c r="Y18" s="12" t="s">
        <v>22</v>
      </c>
      <c r="Z18" s="11" t="s">
        <v>2</v>
      </c>
      <c r="AA18" s="11" t="s">
        <v>23</v>
      </c>
      <c r="AB18" s="11" t="s">
        <v>24</v>
      </c>
      <c r="AC18" s="11" t="s">
        <v>14</v>
      </c>
      <c r="AD18" s="11" t="s">
        <v>75</v>
      </c>
      <c r="AE18" s="11" t="s">
        <v>76</v>
      </c>
      <c r="AF18" s="11" t="s">
        <v>77</v>
      </c>
      <c r="AI18" s="11" t="s">
        <v>21</v>
      </c>
      <c r="AJ18" s="12" t="s">
        <v>22</v>
      </c>
      <c r="AK18" s="11" t="s">
        <v>2</v>
      </c>
      <c r="AL18" s="11" t="s">
        <v>23</v>
      </c>
      <c r="AM18" s="11" t="s">
        <v>24</v>
      </c>
      <c r="AN18" s="11" t="s">
        <v>14</v>
      </c>
      <c r="AO18" s="11" t="s">
        <v>75</v>
      </c>
      <c r="AP18" s="11" t="s">
        <v>76</v>
      </c>
      <c r="AQ18" s="11" t="s">
        <v>77</v>
      </c>
    </row>
    <row r="19" spans="1:1409" s="18" customFormat="1" ht="24" thickBot="1" x14ac:dyDescent="0.3">
      <c r="A19" s="15"/>
      <c r="B19" s="13" t="s">
        <v>25</v>
      </c>
      <c r="C19" s="13" t="s">
        <v>26</v>
      </c>
      <c r="D19" s="13" t="s">
        <v>27</v>
      </c>
      <c r="E19" s="13" t="s">
        <v>28</v>
      </c>
      <c r="F19" s="13" t="s">
        <v>24</v>
      </c>
      <c r="G19" s="13" t="s">
        <v>78</v>
      </c>
      <c r="H19" s="13" t="s">
        <v>79</v>
      </c>
      <c r="I19" s="13" t="s">
        <v>80</v>
      </c>
      <c r="J19" s="13" t="s">
        <v>81</v>
      </c>
      <c r="K19" s="15"/>
      <c r="L19" s="15"/>
      <c r="M19" s="13" t="s">
        <v>25</v>
      </c>
      <c r="N19" s="13" t="s">
        <v>26</v>
      </c>
      <c r="O19" s="13" t="s">
        <v>27</v>
      </c>
      <c r="P19" s="13" t="s">
        <v>28</v>
      </c>
      <c r="Q19" s="13" t="s">
        <v>24</v>
      </c>
      <c r="R19" s="13" t="s">
        <v>78</v>
      </c>
      <c r="S19" s="13" t="s">
        <v>79</v>
      </c>
      <c r="T19" s="13" t="s">
        <v>80</v>
      </c>
      <c r="U19" s="13" t="s">
        <v>81</v>
      </c>
      <c r="V19" s="15"/>
      <c r="W19" s="15"/>
      <c r="X19" s="13" t="s">
        <v>25</v>
      </c>
      <c r="Y19" s="13" t="s">
        <v>26</v>
      </c>
      <c r="Z19" s="13" t="s">
        <v>27</v>
      </c>
      <c r="AA19" s="13" t="s">
        <v>28</v>
      </c>
      <c r="AB19" s="13" t="s">
        <v>24</v>
      </c>
      <c r="AC19" s="13" t="s">
        <v>78</v>
      </c>
      <c r="AD19" s="13" t="s">
        <v>79</v>
      </c>
      <c r="AE19" s="13" t="s">
        <v>80</v>
      </c>
      <c r="AF19" s="13" t="s">
        <v>81</v>
      </c>
      <c r="AG19" s="15"/>
      <c r="AH19" s="15"/>
      <c r="AI19" s="13" t="s">
        <v>25</v>
      </c>
      <c r="AJ19" s="13" t="s">
        <v>26</v>
      </c>
      <c r="AK19" s="13" t="s">
        <v>27</v>
      </c>
      <c r="AL19" s="13" t="s">
        <v>28</v>
      </c>
      <c r="AM19" s="13" t="s">
        <v>24</v>
      </c>
      <c r="AN19" s="13" t="s">
        <v>78</v>
      </c>
      <c r="AO19" s="13" t="s">
        <v>79</v>
      </c>
      <c r="AP19" s="13" t="s">
        <v>80</v>
      </c>
      <c r="AQ19" s="13" t="s">
        <v>81</v>
      </c>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c r="IQ19" s="15"/>
      <c r="IR19" s="15"/>
      <c r="IS19" s="15"/>
      <c r="IT19" s="15"/>
      <c r="IU19" s="15"/>
      <c r="IV19" s="15"/>
      <c r="IW19" s="15"/>
      <c r="IX19" s="15"/>
      <c r="IY19" s="15"/>
      <c r="IZ19" s="15"/>
      <c r="JA19" s="15"/>
      <c r="JB19" s="15"/>
      <c r="JC19" s="15"/>
      <c r="JD19" s="15"/>
      <c r="JE19" s="15"/>
      <c r="JF19" s="15"/>
      <c r="JG19" s="15"/>
      <c r="JH19" s="15"/>
      <c r="JI19" s="15"/>
      <c r="JJ19" s="15"/>
      <c r="JK19" s="15"/>
      <c r="JL19" s="15"/>
      <c r="JM19" s="15"/>
      <c r="JN19" s="15"/>
      <c r="JO19" s="15"/>
      <c r="JP19" s="15"/>
      <c r="JQ19" s="15"/>
      <c r="JR19" s="15"/>
      <c r="JS19" s="15"/>
      <c r="JT19" s="15"/>
      <c r="JU19" s="15"/>
      <c r="JV19" s="15"/>
      <c r="JW19" s="15"/>
      <c r="JX19" s="15"/>
      <c r="JY19" s="15"/>
      <c r="JZ19" s="15"/>
      <c r="KA19" s="15"/>
      <c r="KB19" s="15"/>
      <c r="KC19" s="15"/>
      <c r="KD19" s="15"/>
      <c r="KE19" s="15"/>
      <c r="KF19" s="15"/>
      <c r="KG19" s="15"/>
      <c r="KH19" s="15"/>
      <c r="KI19" s="15"/>
      <c r="KJ19" s="15"/>
      <c r="KK19" s="15"/>
      <c r="KL19" s="15"/>
      <c r="KM19" s="15"/>
      <c r="KN19" s="15"/>
      <c r="KO19" s="15"/>
      <c r="KP19" s="15"/>
      <c r="KQ19" s="15"/>
      <c r="KR19" s="15"/>
      <c r="KS19" s="15"/>
      <c r="KT19" s="15"/>
      <c r="KU19" s="15"/>
      <c r="KV19" s="15"/>
      <c r="KW19" s="15"/>
      <c r="KX19" s="15"/>
      <c r="KY19" s="15"/>
      <c r="KZ19" s="15"/>
      <c r="LA19" s="15"/>
      <c r="LB19" s="15"/>
      <c r="LC19" s="15"/>
      <c r="LD19" s="15"/>
      <c r="LE19" s="15"/>
      <c r="LF19" s="15"/>
      <c r="LG19" s="15"/>
      <c r="LH19" s="15"/>
      <c r="LI19" s="15"/>
      <c r="LJ19" s="15"/>
      <c r="LK19" s="15"/>
      <c r="LL19" s="15"/>
      <c r="LM19" s="15"/>
      <c r="LN19" s="15"/>
      <c r="LO19" s="15"/>
      <c r="LP19" s="15"/>
      <c r="LQ19" s="15"/>
      <c r="LR19" s="15"/>
      <c r="LS19" s="15"/>
      <c r="LT19" s="15"/>
      <c r="LU19" s="15"/>
      <c r="LV19" s="15"/>
      <c r="LW19" s="15"/>
      <c r="LX19" s="15"/>
      <c r="LY19" s="15"/>
      <c r="LZ19" s="15"/>
      <c r="MA19" s="15"/>
      <c r="MB19" s="15"/>
      <c r="MC19" s="15"/>
      <c r="MD19" s="15"/>
      <c r="ME19" s="15"/>
      <c r="MF19" s="15"/>
      <c r="MG19" s="15"/>
      <c r="MH19" s="15"/>
      <c r="MI19" s="15"/>
      <c r="MJ19" s="15"/>
      <c r="MK19" s="15"/>
      <c r="ML19" s="15"/>
      <c r="MM19" s="15"/>
      <c r="MN19" s="15"/>
      <c r="MO19" s="15"/>
      <c r="MP19" s="15"/>
      <c r="MQ19" s="15"/>
      <c r="MR19" s="15"/>
      <c r="MS19" s="15"/>
      <c r="MT19" s="15"/>
      <c r="MU19" s="15"/>
      <c r="MV19" s="15"/>
      <c r="MW19" s="15"/>
      <c r="MX19" s="15"/>
      <c r="MY19" s="15"/>
      <c r="MZ19" s="15"/>
      <c r="NA19" s="15"/>
      <c r="NB19" s="15"/>
      <c r="NC19" s="15"/>
      <c r="ND19" s="15"/>
      <c r="NE19" s="15"/>
      <c r="NF19" s="15"/>
      <c r="NG19" s="15"/>
      <c r="NH19" s="15"/>
      <c r="NI19" s="15"/>
      <c r="NJ19" s="15"/>
      <c r="NK19" s="15"/>
      <c r="NL19" s="15"/>
      <c r="NM19" s="15"/>
      <c r="NN19" s="15"/>
      <c r="NO19" s="15"/>
      <c r="NP19" s="15"/>
      <c r="NQ19" s="15"/>
      <c r="NR19" s="15"/>
      <c r="NS19" s="15"/>
      <c r="NT19" s="15"/>
      <c r="NU19" s="15"/>
      <c r="NV19" s="15"/>
      <c r="NW19" s="15"/>
      <c r="NX19" s="15"/>
      <c r="NY19" s="15"/>
      <c r="NZ19" s="15"/>
      <c r="OA19" s="15"/>
      <c r="OB19" s="15"/>
      <c r="OC19" s="15"/>
      <c r="OD19" s="15"/>
      <c r="OE19" s="15"/>
      <c r="OF19" s="15"/>
      <c r="OG19" s="15"/>
      <c r="OH19" s="15"/>
      <c r="OI19" s="15"/>
      <c r="OJ19" s="15"/>
      <c r="OK19" s="15"/>
      <c r="OL19" s="15"/>
      <c r="OM19" s="15"/>
      <c r="ON19" s="15"/>
      <c r="OO19" s="15"/>
      <c r="OP19" s="15"/>
      <c r="OQ19" s="15"/>
      <c r="OR19" s="15"/>
      <c r="OS19" s="15"/>
      <c r="OT19" s="15"/>
      <c r="OU19" s="15"/>
      <c r="OV19" s="15"/>
      <c r="OW19" s="15"/>
      <c r="OX19" s="15"/>
      <c r="OY19" s="15"/>
      <c r="OZ19" s="15"/>
      <c r="PA19" s="15"/>
      <c r="PB19" s="15"/>
      <c r="PC19" s="15"/>
      <c r="PD19" s="15"/>
      <c r="PE19" s="15"/>
      <c r="PF19" s="15"/>
      <c r="PG19" s="15"/>
      <c r="PH19" s="15"/>
      <c r="PI19" s="15"/>
      <c r="PJ19" s="15"/>
      <c r="PK19" s="15"/>
      <c r="PL19" s="15"/>
      <c r="PM19" s="15"/>
      <c r="PN19" s="15"/>
      <c r="PO19" s="15"/>
      <c r="PP19" s="15"/>
      <c r="PQ19" s="15"/>
      <c r="PR19" s="15"/>
      <c r="PS19" s="15"/>
      <c r="PT19" s="15"/>
      <c r="PU19" s="15"/>
      <c r="PV19" s="15"/>
      <c r="PW19" s="15"/>
      <c r="PX19" s="15"/>
      <c r="PY19" s="15"/>
      <c r="PZ19" s="15"/>
      <c r="QA19" s="15"/>
      <c r="QB19" s="15"/>
      <c r="QC19" s="15"/>
      <c r="QD19" s="15"/>
      <c r="QE19" s="15"/>
      <c r="QF19" s="15"/>
      <c r="QG19" s="15"/>
      <c r="QH19" s="15"/>
      <c r="QI19" s="15"/>
      <c r="QJ19" s="15"/>
      <c r="QK19" s="15"/>
      <c r="QL19" s="15"/>
      <c r="QM19" s="15"/>
      <c r="QN19" s="15"/>
      <c r="QO19" s="15"/>
      <c r="QP19" s="15"/>
      <c r="QQ19" s="15"/>
      <c r="QR19" s="15"/>
      <c r="QS19" s="15"/>
      <c r="QT19" s="15"/>
      <c r="QU19" s="15"/>
      <c r="QV19" s="15"/>
      <c r="QW19" s="15"/>
      <c r="QX19" s="15"/>
      <c r="QY19" s="15"/>
      <c r="QZ19" s="15"/>
      <c r="RA19" s="15"/>
      <c r="RB19" s="15"/>
      <c r="RC19" s="15"/>
      <c r="RD19" s="15"/>
      <c r="RE19" s="15"/>
      <c r="RF19" s="15"/>
      <c r="RG19" s="15"/>
      <c r="RH19" s="15"/>
      <c r="RI19" s="15"/>
      <c r="RJ19" s="15"/>
      <c r="RK19" s="15"/>
      <c r="RL19" s="15"/>
      <c r="RM19" s="15"/>
      <c r="RN19" s="15"/>
      <c r="RO19" s="15"/>
      <c r="RP19" s="15"/>
      <c r="RQ19" s="15"/>
      <c r="RR19" s="15"/>
      <c r="RS19" s="15"/>
      <c r="RT19" s="15"/>
      <c r="RU19" s="15"/>
      <c r="RV19" s="15"/>
      <c r="RW19" s="15"/>
      <c r="RX19" s="15"/>
      <c r="RY19" s="15"/>
      <c r="RZ19" s="15"/>
      <c r="SA19" s="15"/>
      <c r="SB19" s="15"/>
      <c r="SC19" s="15"/>
      <c r="SD19" s="15"/>
      <c r="SE19" s="15"/>
      <c r="SF19" s="15"/>
      <c r="SG19" s="15"/>
      <c r="SH19" s="15"/>
      <c r="SI19" s="15"/>
      <c r="SJ19" s="15"/>
      <c r="SK19" s="15"/>
      <c r="SL19" s="15"/>
      <c r="SM19" s="15"/>
      <c r="SN19" s="15"/>
      <c r="SO19" s="15"/>
      <c r="SP19" s="15"/>
      <c r="SQ19" s="15"/>
      <c r="SR19" s="15"/>
      <c r="SS19" s="15"/>
      <c r="ST19" s="15"/>
      <c r="SU19" s="15"/>
      <c r="SV19" s="15"/>
      <c r="SW19" s="15"/>
      <c r="SX19" s="15"/>
      <c r="SY19" s="15"/>
      <c r="SZ19" s="15"/>
      <c r="TA19" s="15"/>
      <c r="TB19" s="15"/>
      <c r="TC19" s="15"/>
      <c r="TD19" s="15"/>
      <c r="TE19" s="15"/>
      <c r="TF19" s="15"/>
      <c r="TG19" s="15"/>
      <c r="TH19" s="15"/>
      <c r="TI19" s="15"/>
      <c r="TJ19" s="15"/>
      <c r="TK19" s="15"/>
      <c r="TL19" s="15"/>
      <c r="TM19" s="15"/>
      <c r="TN19" s="15"/>
      <c r="TO19" s="15"/>
      <c r="TP19" s="15"/>
      <c r="TQ19" s="15"/>
      <c r="TR19" s="15"/>
      <c r="TS19" s="15"/>
      <c r="TT19" s="15"/>
      <c r="TU19" s="15"/>
      <c r="TV19" s="15"/>
      <c r="TW19" s="15"/>
      <c r="TX19" s="15"/>
      <c r="TY19" s="15"/>
      <c r="TZ19" s="15"/>
      <c r="UA19" s="15"/>
      <c r="UB19" s="15"/>
      <c r="UC19" s="15"/>
      <c r="UD19" s="15"/>
      <c r="UE19" s="15"/>
      <c r="UF19" s="15"/>
      <c r="UG19" s="15"/>
      <c r="UH19" s="15"/>
      <c r="UI19" s="15"/>
      <c r="UJ19" s="15"/>
      <c r="UK19" s="15"/>
      <c r="UL19" s="15"/>
      <c r="UM19" s="15"/>
      <c r="UN19" s="15"/>
      <c r="UO19" s="15"/>
      <c r="UP19" s="15"/>
      <c r="UQ19" s="15"/>
      <c r="UR19" s="15"/>
      <c r="US19" s="15"/>
      <c r="UT19" s="15"/>
      <c r="UU19" s="15"/>
      <c r="UV19" s="15"/>
      <c r="UW19" s="15"/>
      <c r="UX19" s="15"/>
      <c r="UY19" s="15"/>
      <c r="UZ19" s="15"/>
      <c r="VA19" s="15"/>
      <c r="VB19" s="15"/>
      <c r="VC19" s="15"/>
      <c r="VD19" s="15"/>
      <c r="VE19" s="15"/>
      <c r="VF19" s="15"/>
      <c r="VG19" s="15"/>
      <c r="VH19" s="15"/>
      <c r="VI19" s="15"/>
      <c r="VJ19" s="15"/>
      <c r="VK19" s="15"/>
      <c r="VL19" s="15"/>
      <c r="VM19" s="15"/>
      <c r="VN19" s="15"/>
      <c r="VO19" s="15"/>
      <c r="VP19" s="15"/>
      <c r="VQ19" s="15"/>
      <c r="VR19" s="15"/>
      <c r="VS19" s="15"/>
      <c r="VT19" s="15"/>
      <c r="VU19" s="15"/>
      <c r="VV19" s="15"/>
      <c r="VW19" s="15"/>
      <c r="VX19" s="15"/>
      <c r="VY19" s="15"/>
      <c r="VZ19" s="15"/>
      <c r="WA19" s="15"/>
      <c r="WB19" s="15"/>
      <c r="WC19" s="15"/>
      <c r="WD19" s="15"/>
      <c r="WE19" s="15"/>
      <c r="WF19" s="15"/>
      <c r="WG19" s="15"/>
      <c r="WH19" s="15"/>
      <c r="WI19" s="15"/>
      <c r="WJ19" s="15"/>
      <c r="WK19" s="15"/>
      <c r="WL19" s="15"/>
      <c r="WM19" s="15"/>
      <c r="WN19" s="15"/>
      <c r="WO19" s="15"/>
      <c r="WP19" s="15"/>
      <c r="WQ19" s="15"/>
      <c r="WR19" s="15"/>
      <c r="WS19" s="15"/>
      <c r="WT19" s="15"/>
      <c r="WU19" s="15"/>
      <c r="WV19" s="15"/>
      <c r="WW19" s="15"/>
      <c r="WX19" s="15"/>
      <c r="WY19" s="15"/>
      <c r="WZ19" s="15"/>
      <c r="XA19" s="15"/>
      <c r="XB19" s="15"/>
      <c r="XC19" s="15"/>
      <c r="XD19" s="15"/>
      <c r="XE19" s="15"/>
      <c r="XF19" s="15"/>
      <c r="XG19" s="15"/>
      <c r="XH19" s="15"/>
      <c r="XI19" s="15"/>
      <c r="XJ19" s="15"/>
      <c r="XK19" s="15"/>
      <c r="XL19" s="15"/>
      <c r="XM19" s="15"/>
      <c r="XN19" s="15"/>
      <c r="XO19" s="15"/>
      <c r="XP19" s="15"/>
      <c r="XQ19" s="15"/>
      <c r="XR19" s="15"/>
      <c r="XS19" s="15"/>
      <c r="XT19" s="15"/>
      <c r="XU19" s="15"/>
      <c r="XV19" s="15"/>
      <c r="XW19" s="15"/>
      <c r="XX19" s="15"/>
      <c r="XY19" s="15"/>
      <c r="XZ19" s="15"/>
      <c r="YA19" s="15"/>
      <c r="YB19" s="15"/>
      <c r="YC19" s="15"/>
      <c r="YD19" s="15"/>
      <c r="YE19" s="15"/>
      <c r="YF19" s="15"/>
      <c r="YG19" s="15"/>
      <c r="YH19" s="15"/>
      <c r="YI19" s="15"/>
      <c r="YJ19" s="15"/>
      <c r="YK19" s="15"/>
      <c r="YL19" s="15"/>
      <c r="YM19" s="15"/>
      <c r="YN19" s="15"/>
      <c r="YO19" s="15"/>
      <c r="YP19" s="15"/>
      <c r="YQ19" s="15"/>
      <c r="YR19" s="15"/>
      <c r="YS19" s="15"/>
      <c r="YT19" s="15"/>
      <c r="YU19" s="15"/>
      <c r="YV19" s="15"/>
      <c r="YW19" s="15"/>
      <c r="YX19" s="15"/>
      <c r="YY19" s="15"/>
      <c r="YZ19" s="15"/>
      <c r="ZA19" s="15"/>
      <c r="ZB19" s="15"/>
      <c r="ZC19" s="15"/>
      <c r="ZD19" s="15"/>
      <c r="ZE19" s="15"/>
      <c r="ZF19" s="15"/>
      <c r="ZG19" s="15"/>
      <c r="ZH19" s="15"/>
      <c r="ZI19" s="15"/>
      <c r="ZJ19" s="15"/>
      <c r="ZK19" s="15"/>
      <c r="ZL19" s="15"/>
      <c r="ZM19" s="15"/>
      <c r="ZN19" s="15"/>
      <c r="ZO19" s="15"/>
      <c r="ZP19" s="15"/>
      <c r="ZQ19" s="15"/>
      <c r="ZR19" s="15"/>
      <c r="ZS19" s="15"/>
      <c r="ZT19" s="15"/>
      <c r="ZU19" s="15"/>
      <c r="ZV19" s="15"/>
      <c r="ZW19" s="15"/>
      <c r="ZX19" s="15"/>
      <c r="ZY19" s="15"/>
      <c r="ZZ19" s="15"/>
      <c r="AAA19" s="15"/>
      <c r="AAB19" s="15"/>
      <c r="AAC19" s="15"/>
      <c r="AAD19" s="15"/>
      <c r="AAE19" s="15"/>
      <c r="AAF19" s="15"/>
      <c r="AAG19" s="15"/>
      <c r="AAH19" s="15"/>
      <c r="AAI19" s="15"/>
      <c r="AAJ19" s="15"/>
      <c r="AAK19" s="15"/>
      <c r="AAL19" s="15"/>
      <c r="AAM19" s="15"/>
      <c r="AAN19" s="15"/>
      <c r="AAO19" s="15"/>
      <c r="AAP19" s="15"/>
      <c r="AAQ19" s="15"/>
      <c r="AAR19" s="15"/>
      <c r="AAS19" s="15"/>
      <c r="AAT19" s="15"/>
      <c r="AAU19" s="15"/>
      <c r="AAV19" s="15"/>
      <c r="AAW19" s="15"/>
      <c r="AAX19" s="15"/>
      <c r="AAY19" s="15"/>
      <c r="AAZ19" s="15"/>
      <c r="ABA19" s="15"/>
      <c r="ABB19" s="15"/>
      <c r="ABC19" s="15"/>
      <c r="ABD19" s="15"/>
      <c r="ABE19" s="15"/>
      <c r="ABF19" s="15"/>
      <c r="ABG19" s="15"/>
      <c r="ABH19" s="15"/>
      <c r="ABI19" s="15"/>
      <c r="ABJ19" s="15"/>
      <c r="ABK19" s="15"/>
      <c r="ABL19" s="15"/>
      <c r="ABM19" s="15"/>
      <c r="ABN19" s="15"/>
      <c r="ABO19" s="15"/>
      <c r="ABP19" s="15"/>
      <c r="ABQ19" s="15"/>
      <c r="ABR19" s="15"/>
      <c r="ABS19" s="15"/>
      <c r="ABT19" s="15"/>
      <c r="ABU19" s="15"/>
      <c r="ABV19" s="15"/>
      <c r="ABW19" s="15"/>
      <c r="ABX19" s="15"/>
      <c r="ABY19" s="15"/>
      <c r="ABZ19" s="15"/>
      <c r="ACA19" s="15"/>
      <c r="ACB19" s="15"/>
      <c r="ACC19" s="15"/>
      <c r="ACD19" s="15"/>
      <c r="ACE19" s="15"/>
      <c r="ACF19" s="15"/>
      <c r="ACG19" s="15"/>
      <c r="ACH19" s="15"/>
      <c r="ACI19" s="15"/>
      <c r="ACJ19" s="15"/>
      <c r="ACK19" s="15"/>
      <c r="ACL19" s="15"/>
      <c r="ACM19" s="15"/>
      <c r="ACN19" s="15"/>
      <c r="ACO19" s="15"/>
      <c r="ACP19" s="15"/>
      <c r="ACQ19" s="15"/>
      <c r="ACR19" s="15"/>
      <c r="ACS19" s="15"/>
      <c r="ACT19" s="15"/>
      <c r="ACU19" s="15"/>
      <c r="ACV19" s="15"/>
      <c r="ACW19" s="15"/>
      <c r="ACX19" s="15"/>
      <c r="ACY19" s="15"/>
      <c r="ACZ19" s="15"/>
      <c r="ADA19" s="15"/>
      <c r="ADB19" s="15"/>
      <c r="ADC19" s="15"/>
      <c r="ADD19" s="15"/>
      <c r="ADE19" s="15"/>
      <c r="ADF19" s="15"/>
      <c r="ADG19" s="15"/>
      <c r="ADH19" s="15"/>
      <c r="ADI19" s="15"/>
      <c r="ADJ19" s="15"/>
      <c r="ADK19" s="15"/>
      <c r="ADL19" s="15"/>
      <c r="ADM19" s="15"/>
      <c r="ADN19" s="15"/>
      <c r="ADO19" s="15"/>
      <c r="ADP19" s="15"/>
      <c r="ADQ19" s="15"/>
      <c r="ADR19" s="15"/>
      <c r="ADS19" s="15"/>
      <c r="ADT19" s="15"/>
      <c r="ADU19" s="15"/>
      <c r="ADV19" s="15"/>
      <c r="ADW19" s="15"/>
      <c r="ADX19" s="15"/>
      <c r="ADY19" s="15"/>
      <c r="ADZ19" s="15"/>
      <c r="AEA19" s="15"/>
      <c r="AEB19" s="15"/>
      <c r="AEC19" s="15"/>
      <c r="AED19" s="15"/>
      <c r="AEE19" s="15"/>
      <c r="AEF19" s="15"/>
      <c r="AEG19" s="15"/>
      <c r="AEH19" s="15"/>
      <c r="AEI19" s="15"/>
      <c r="AEJ19" s="15"/>
      <c r="AEK19" s="15"/>
      <c r="AEL19" s="15"/>
      <c r="AEM19" s="15"/>
      <c r="AEN19" s="15"/>
      <c r="AEO19" s="15"/>
      <c r="AEP19" s="15"/>
      <c r="AEQ19" s="15"/>
      <c r="AER19" s="15"/>
      <c r="AES19" s="15"/>
      <c r="AET19" s="15"/>
      <c r="AEU19" s="15"/>
      <c r="AEV19" s="15"/>
      <c r="AEW19" s="15"/>
      <c r="AEX19" s="15"/>
      <c r="AEY19" s="15"/>
      <c r="AEZ19" s="15"/>
      <c r="AFA19" s="15"/>
      <c r="AFB19" s="15"/>
      <c r="AFC19" s="15"/>
      <c r="AFD19" s="15"/>
      <c r="AFE19" s="15"/>
      <c r="AFF19" s="15"/>
      <c r="AFG19" s="15"/>
      <c r="AFH19" s="15"/>
      <c r="AFI19" s="15"/>
      <c r="AFJ19" s="15"/>
      <c r="AFK19" s="15"/>
      <c r="AFL19" s="15"/>
      <c r="AFM19" s="15"/>
      <c r="AFN19" s="15"/>
      <c r="AFO19" s="15"/>
      <c r="AFP19" s="15"/>
      <c r="AFQ19" s="15"/>
      <c r="AFR19" s="15"/>
      <c r="AFS19" s="15"/>
      <c r="AFT19" s="15"/>
      <c r="AFU19" s="15"/>
      <c r="AFV19" s="15"/>
      <c r="AFW19" s="15"/>
      <c r="AFX19" s="15"/>
      <c r="AFY19" s="15"/>
      <c r="AFZ19" s="15"/>
      <c r="AGA19" s="15"/>
      <c r="AGB19" s="15"/>
      <c r="AGC19" s="15"/>
      <c r="AGD19" s="15"/>
      <c r="AGE19" s="15"/>
      <c r="AGF19" s="15"/>
      <c r="AGG19" s="15"/>
      <c r="AGH19" s="15"/>
      <c r="AGI19" s="15"/>
      <c r="AGJ19" s="15"/>
      <c r="AGK19" s="15"/>
      <c r="AGL19" s="15"/>
      <c r="AGM19" s="15"/>
      <c r="AGN19" s="15"/>
      <c r="AGO19" s="15"/>
      <c r="AGP19" s="15"/>
      <c r="AGQ19" s="15"/>
      <c r="AGR19" s="15"/>
      <c r="AGS19" s="15"/>
      <c r="AGT19" s="15"/>
      <c r="AGU19" s="15"/>
      <c r="AGV19" s="15"/>
      <c r="AGW19" s="15"/>
      <c r="AGX19" s="15"/>
      <c r="AGY19" s="15"/>
      <c r="AGZ19" s="15"/>
      <c r="AHA19" s="15"/>
      <c r="AHB19" s="15"/>
      <c r="AHC19" s="15"/>
      <c r="AHD19" s="15"/>
      <c r="AHE19" s="15"/>
      <c r="AHF19" s="15"/>
      <c r="AHG19" s="15"/>
      <c r="AHH19" s="15"/>
      <c r="AHI19" s="15"/>
      <c r="AHJ19" s="15"/>
      <c r="AHK19" s="15"/>
      <c r="AHL19" s="15"/>
      <c r="AHM19" s="15"/>
      <c r="AHN19" s="15"/>
      <c r="AHO19" s="15"/>
      <c r="AHP19" s="15"/>
      <c r="AHQ19" s="15"/>
      <c r="AHR19" s="15"/>
      <c r="AHS19" s="15"/>
      <c r="AHT19" s="15"/>
      <c r="AHU19" s="15"/>
      <c r="AHV19" s="15"/>
      <c r="AHW19" s="15"/>
      <c r="AHX19" s="15"/>
      <c r="AHY19" s="15"/>
      <c r="AHZ19" s="15"/>
      <c r="AIA19" s="15"/>
      <c r="AIB19" s="15"/>
      <c r="AIC19" s="15"/>
      <c r="AID19" s="15"/>
      <c r="AIE19" s="15"/>
      <c r="AIF19" s="15"/>
      <c r="AIG19" s="15"/>
      <c r="AIH19" s="15"/>
      <c r="AII19" s="15"/>
      <c r="AIJ19" s="15"/>
      <c r="AIK19" s="15"/>
      <c r="AIL19" s="15"/>
      <c r="AIM19" s="15"/>
      <c r="AIN19" s="15"/>
      <c r="AIO19" s="15"/>
      <c r="AIP19" s="15"/>
      <c r="AIQ19" s="15"/>
      <c r="AIR19" s="15"/>
      <c r="AIS19" s="15"/>
      <c r="AIT19" s="15"/>
      <c r="AIU19" s="15"/>
      <c r="AIV19" s="15"/>
      <c r="AIW19" s="15"/>
      <c r="AIX19" s="15"/>
      <c r="AIY19" s="15"/>
      <c r="AIZ19" s="15"/>
      <c r="AJA19" s="15"/>
      <c r="AJB19" s="15"/>
      <c r="AJC19" s="15"/>
      <c r="AJD19" s="15"/>
      <c r="AJE19" s="15"/>
      <c r="AJF19" s="15"/>
      <c r="AJG19" s="15"/>
      <c r="AJH19" s="15"/>
      <c r="AJI19" s="15"/>
      <c r="AJJ19" s="15"/>
      <c r="AJK19" s="15"/>
      <c r="AJL19" s="15"/>
      <c r="AJM19" s="15"/>
      <c r="AJN19" s="15"/>
      <c r="AJO19" s="15"/>
      <c r="AJP19" s="15"/>
      <c r="AJQ19" s="15"/>
      <c r="AJR19" s="15"/>
      <c r="AJS19" s="15"/>
      <c r="AJT19" s="15"/>
      <c r="AJU19" s="15"/>
      <c r="AJV19" s="15"/>
      <c r="AJW19" s="15"/>
      <c r="AJX19" s="15"/>
      <c r="AJY19" s="15"/>
      <c r="AJZ19" s="15"/>
      <c r="AKA19" s="15"/>
      <c r="AKB19" s="15"/>
      <c r="AKC19" s="15"/>
      <c r="AKD19" s="15"/>
      <c r="AKE19" s="15"/>
      <c r="AKF19" s="15"/>
      <c r="AKG19" s="15"/>
      <c r="AKH19" s="15"/>
      <c r="AKI19" s="15"/>
      <c r="AKJ19" s="15"/>
      <c r="AKK19" s="15"/>
      <c r="AKL19" s="15"/>
      <c r="AKM19" s="15"/>
      <c r="AKN19" s="15"/>
      <c r="AKO19" s="15"/>
      <c r="AKP19" s="15"/>
      <c r="AKQ19" s="15"/>
      <c r="AKR19" s="15"/>
      <c r="AKS19" s="15"/>
      <c r="AKT19" s="15"/>
      <c r="AKU19" s="15"/>
      <c r="AKV19" s="15"/>
      <c r="AKW19" s="15"/>
      <c r="AKX19" s="15"/>
      <c r="AKY19" s="15"/>
      <c r="AKZ19" s="15"/>
      <c r="ALA19" s="15"/>
      <c r="ALB19" s="15"/>
      <c r="ALC19" s="15"/>
      <c r="ALD19" s="15"/>
      <c r="ALE19" s="15"/>
      <c r="ALF19" s="15"/>
      <c r="ALG19" s="15"/>
      <c r="ALH19" s="15"/>
      <c r="ALI19" s="15"/>
      <c r="ALJ19" s="15"/>
      <c r="ALK19" s="15"/>
      <c r="ALL19" s="15"/>
      <c r="ALM19" s="15"/>
      <c r="ALN19" s="15"/>
      <c r="ALO19" s="15"/>
      <c r="ALP19" s="15"/>
      <c r="ALQ19" s="15"/>
      <c r="ALR19" s="15"/>
      <c r="ALS19" s="15"/>
      <c r="ALT19" s="15"/>
      <c r="ALU19" s="15"/>
      <c r="ALV19" s="15"/>
      <c r="ALW19" s="15"/>
      <c r="ALX19" s="15"/>
      <c r="ALY19" s="15"/>
      <c r="ALZ19" s="15"/>
      <c r="AMA19" s="15"/>
      <c r="AMB19" s="15"/>
      <c r="AMC19" s="15"/>
      <c r="AMD19" s="15"/>
      <c r="AME19" s="15"/>
      <c r="AMF19" s="15"/>
      <c r="AMG19" s="15"/>
      <c r="AMH19" s="15"/>
      <c r="AMI19" s="15"/>
      <c r="AMJ19" s="15"/>
      <c r="AMK19" s="15"/>
      <c r="AML19" s="15"/>
      <c r="AMM19" s="15"/>
      <c r="AMN19" s="15"/>
      <c r="AMO19" s="15"/>
      <c r="AMP19" s="15"/>
      <c r="AMQ19" s="15"/>
      <c r="AMR19" s="15"/>
      <c r="AMS19" s="15"/>
      <c r="AMT19" s="15"/>
      <c r="AMU19" s="15"/>
      <c r="AMV19" s="15"/>
      <c r="AMW19" s="15"/>
      <c r="AMX19" s="15"/>
      <c r="AMY19" s="15"/>
      <c r="AMZ19" s="15"/>
      <c r="ANA19" s="15"/>
      <c r="ANB19" s="15"/>
      <c r="ANC19" s="15"/>
      <c r="AND19" s="15"/>
      <c r="ANE19" s="15"/>
      <c r="ANF19" s="15"/>
      <c r="ANG19" s="15"/>
      <c r="ANH19" s="15"/>
      <c r="ANI19" s="15"/>
      <c r="ANJ19" s="15"/>
      <c r="ANK19" s="15"/>
      <c r="ANL19" s="15"/>
      <c r="ANM19" s="15"/>
      <c r="ANN19" s="15"/>
      <c r="ANO19" s="15"/>
      <c r="ANP19" s="15"/>
      <c r="ANQ19" s="15"/>
      <c r="ANR19" s="15"/>
      <c r="ANS19" s="15"/>
      <c r="ANT19" s="15"/>
      <c r="ANU19" s="15"/>
      <c r="ANV19" s="15"/>
      <c r="ANW19" s="15"/>
      <c r="ANX19" s="15"/>
      <c r="ANY19" s="15"/>
      <c r="ANZ19" s="15"/>
      <c r="AOA19" s="15"/>
      <c r="AOB19" s="15"/>
      <c r="AOC19" s="15"/>
      <c r="AOD19" s="15"/>
      <c r="AOE19" s="15"/>
      <c r="AOF19" s="15"/>
      <c r="AOG19" s="15"/>
      <c r="AOH19" s="15"/>
      <c r="AOI19" s="15"/>
      <c r="AOJ19" s="15"/>
      <c r="AOK19" s="15"/>
      <c r="AOL19" s="15"/>
      <c r="AOM19" s="15"/>
      <c r="AON19" s="15"/>
      <c r="AOO19" s="15"/>
      <c r="AOP19" s="15"/>
      <c r="AOQ19" s="15"/>
      <c r="AOR19" s="15"/>
      <c r="AOS19" s="15"/>
      <c r="AOT19" s="15"/>
      <c r="AOU19" s="15"/>
      <c r="AOV19" s="15"/>
      <c r="AOW19" s="15"/>
      <c r="AOX19" s="15"/>
      <c r="AOY19" s="15"/>
      <c r="AOZ19" s="15"/>
      <c r="APA19" s="15"/>
      <c r="APB19" s="15"/>
      <c r="APC19" s="15"/>
      <c r="APD19" s="15"/>
      <c r="APE19" s="15"/>
      <c r="APF19" s="15"/>
      <c r="APG19" s="15"/>
      <c r="APH19" s="15"/>
      <c r="API19" s="15"/>
      <c r="APJ19" s="15"/>
      <c r="APK19" s="15"/>
      <c r="APL19" s="15"/>
      <c r="APM19" s="15"/>
      <c r="APN19" s="15"/>
      <c r="APO19" s="15"/>
      <c r="APP19" s="15"/>
      <c r="APQ19" s="15"/>
      <c r="APR19" s="15"/>
      <c r="APS19" s="15"/>
      <c r="APT19" s="15"/>
      <c r="APU19" s="15"/>
      <c r="APV19" s="15"/>
      <c r="APW19" s="15"/>
      <c r="APX19" s="15"/>
      <c r="APY19" s="15"/>
      <c r="APZ19" s="15"/>
      <c r="AQA19" s="15"/>
      <c r="AQB19" s="15"/>
      <c r="AQC19" s="15"/>
      <c r="AQD19" s="15"/>
      <c r="AQE19" s="15"/>
      <c r="AQF19" s="15"/>
      <c r="AQG19" s="15"/>
      <c r="AQH19" s="15"/>
      <c r="AQI19" s="15"/>
      <c r="AQJ19" s="15"/>
      <c r="AQK19" s="15"/>
      <c r="AQL19" s="15"/>
      <c r="AQM19" s="15"/>
      <c r="AQN19" s="15"/>
      <c r="AQO19" s="15"/>
      <c r="AQP19" s="15"/>
      <c r="AQQ19" s="15"/>
      <c r="AQR19" s="15"/>
      <c r="AQS19" s="15"/>
      <c r="AQT19" s="15"/>
      <c r="AQU19" s="15"/>
      <c r="AQV19" s="15"/>
      <c r="AQW19" s="15"/>
      <c r="AQX19" s="15"/>
      <c r="AQY19" s="15"/>
      <c r="AQZ19" s="15"/>
      <c r="ARA19" s="15"/>
      <c r="ARB19" s="15"/>
      <c r="ARC19" s="15"/>
      <c r="ARD19" s="15"/>
      <c r="ARE19" s="15"/>
      <c r="ARF19" s="15"/>
      <c r="ARG19" s="15"/>
      <c r="ARH19" s="15"/>
      <c r="ARI19" s="15"/>
      <c r="ARJ19" s="15"/>
      <c r="ARK19" s="15"/>
      <c r="ARL19" s="15"/>
      <c r="ARM19" s="15"/>
      <c r="ARN19" s="15"/>
      <c r="ARO19" s="15"/>
      <c r="ARP19" s="15"/>
      <c r="ARQ19" s="15"/>
      <c r="ARR19" s="15"/>
      <c r="ARS19" s="15"/>
      <c r="ART19" s="15"/>
      <c r="ARU19" s="15"/>
      <c r="ARV19" s="15"/>
      <c r="ARW19" s="15"/>
      <c r="ARX19" s="15"/>
      <c r="ARY19" s="15"/>
      <c r="ARZ19" s="15"/>
      <c r="ASA19" s="15"/>
      <c r="ASB19" s="15"/>
      <c r="ASC19" s="15"/>
      <c r="ASD19" s="15"/>
      <c r="ASE19" s="15"/>
      <c r="ASF19" s="15"/>
      <c r="ASG19" s="15"/>
      <c r="ASH19" s="15"/>
      <c r="ASI19" s="15"/>
      <c r="ASJ19" s="15"/>
      <c r="ASK19" s="15"/>
      <c r="ASL19" s="15"/>
      <c r="ASM19" s="15"/>
      <c r="ASN19" s="15"/>
      <c r="ASO19" s="15"/>
      <c r="ASP19" s="15"/>
      <c r="ASQ19" s="15"/>
      <c r="ASR19" s="15"/>
      <c r="ASS19" s="15"/>
      <c r="AST19" s="15"/>
      <c r="ASU19" s="15"/>
      <c r="ASV19" s="15"/>
      <c r="ASW19" s="15"/>
      <c r="ASX19" s="15"/>
      <c r="ASY19" s="15"/>
      <c r="ASZ19" s="15"/>
      <c r="ATA19" s="15"/>
      <c r="ATB19" s="15"/>
      <c r="ATC19" s="15"/>
      <c r="ATD19" s="15"/>
      <c r="ATE19" s="15"/>
      <c r="ATF19" s="15"/>
      <c r="ATG19" s="15"/>
      <c r="ATH19" s="15"/>
      <c r="ATI19" s="15"/>
      <c r="ATJ19" s="15"/>
      <c r="ATK19" s="15"/>
      <c r="ATL19" s="15"/>
      <c r="ATM19" s="15"/>
      <c r="ATN19" s="15"/>
      <c r="ATO19" s="15"/>
      <c r="ATP19" s="15"/>
      <c r="ATQ19" s="15"/>
      <c r="ATR19" s="15"/>
      <c r="ATS19" s="15"/>
      <c r="ATT19" s="15"/>
      <c r="ATU19" s="15"/>
      <c r="ATV19" s="15"/>
      <c r="ATW19" s="15"/>
      <c r="ATX19" s="15"/>
      <c r="ATY19" s="15"/>
      <c r="ATZ19" s="15"/>
      <c r="AUA19" s="15"/>
      <c r="AUB19" s="15"/>
      <c r="AUC19" s="15"/>
      <c r="AUD19" s="15"/>
      <c r="AUE19" s="15"/>
      <c r="AUF19" s="15"/>
      <c r="AUG19" s="15"/>
      <c r="AUH19" s="15"/>
      <c r="AUI19" s="15"/>
      <c r="AUJ19" s="15"/>
      <c r="AUK19" s="15"/>
      <c r="AUL19" s="15"/>
      <c r="AUM19" s="15"/>
      <c r="AUN19" s="15"/>
      <c r="AUO19" s="15"/>
      <c r="AUP19" s="15"/>
      <c r="AUQ19" s="15"/>
      <c r="AUR19" s="15"/>
      <c r="AUS19" s="15"/>
      <c r="AUT19" s="15"/>
      <c r="AUU19" s="15"/>
      <c r="AUV19" s="15"/>
      <c r="AUW19" s="15"/>
      <c r="AUX19" s="15"/>
      <c r="AUY19" s="15"/>
      <c r="AUZ19" s="15"/>
      <c r="AVA19" s="15"/>
      <c r="AVB19" s="15"/>
      <c r="AVC19" s="15"/>
      <c r="AVD19" s="15"/>
      <c r="AVE19" s="15"/>
      <c r="AVF19" s="15"/>
      <c r="AVG19" s="15"/>
      <c r="AVH19" s="15"/>
      <c r="AVI19" s="15"/>
      <c r="AVJ19" s="15"/>
      <c r="AVK19" s="15"/>
      <c r="AVL19" s="15"/>
      <c r="AVM19" s="15"/>
      <c r="AVN19" s="15"/>
      <c r="AVO19" s="15"/>
      <c r="AVP19" s="15"/>
      <c r="AVQ19" s="15"/>
      <c r="AVR19" s="15"/>
      <c r="AVS19" s="15"/>
      <c r="AVT19" s="15"/>
      <c r="AVU19" s="15"/>
      <c r="AVV19" s="15"/>
      <c r="AVW19" s="15"/>
      <c r="AVX19" s="15"/>
      <c r="AVY19" s="15"/>
      <c r="AVZ19" s="15"/>
      <c r="AWA19" s="15"/>
      <c r="AWB19" s="15"/>
      <c r="AWC19" s="15"/>
      <c r="AWD19" s="15"/>
      <c r="AWE19" s="15"/>
      <c r="AWF19" s="15"/>
      <c r="AWG19" s="15"/>
      <c r="AWH19" s="15"/>
      <c r="AWI19" s="15"/>
      <c r="AWJ19" s="15"/>
      <c r="AWK19" s="15"/>
      <c r="AWL19" s="15"/>
      <c r="AWM19" s="15"/>
      <c r="AWN19" s="15"/>
      <c r="AWO19" s="15"/>
      <c r="AWP19" s="15"/>
      <c r="AWQ19" s="15"/>
      <c r="AWR19" s="15"/>
      <c r="AWS19" s="15"/>
      <c r="AWT19" s="15"/>
      <c r="AWU19" s="15"/>
      <c r="AWV19" s="15"/>
      <c r="AWW19" s="15"/>
      <c r="AWX19" s="15"/>
      <c r="AWY19" s="15"/>
      <c r="AWZ19" s="15"/>
      <c r="AXA19" s="15"/>
      <c r="AXB19" s="15"/>
      <c r="AXC19" s="15"/>
      <c r="AXD19" s="15"/>
      <c r="AXE19" s="15"/>
      <c r="AXF19" s="15"/>
      <c r="AXG19" s="15"/>
      <c r="AXH19" s="15"/>
      <c r="AXI19" s="15"/>
      <c r="AXJ19" s="15"/>
      <c r="AXK19" s="15"/>
      <c r="AXL19" s="15"/>
      <c r="AXM19" s="15"/>
      <c r="AXN19" s="15"/>
      <c r="AXO19" s="15"/>
      <c r="AXP19" s="15"/>
      <c r="AXQ19" s="15"/>
      <c r="AXR19" s="15"/>
      <c r="AXS19" s="15"/>
      <c r="AXT19" s="15"/>
      <c r="AXU19" s="15"/>
      <c r="AXV19" s="15"/>
      <c r="AXW19" s="15"/>
      <c r="AXX19" s="15"/>
      <c r="AXY19" s="15"/>
      <c r="AXZ19" s="15"/>
      <c r="AYA19" s="15"/>
      <c r="AYB19" s="15"/>
      <c r="AYC19" s="15"/>
      <c r="AYD19" s="15"/>
      <c r="AYE19" s="15"/>
      <c r="AYF19" s="15"/>
      <c r="AYG19" s="15"/>
      <c r="AYH19" s="15"/>
      <c r="AYI19" s="15"/>
      <c r="AYJ19" s="15"/>
      <c r="AYK19" s="15"/>
      <c r="AYL19" s="15"/>
      <c r="AYM19" s="15"/>
      <c r="AYN19" s="15"/>
      <c r="AYO19" s="15"/>
      <c r="AYP19" s="15"/>
      <c r="AYQ19" s="15"/>
      <c r="AYR19" s="15"/>
      <c r="AYS19" s="15"/>
      <c r="AYT19" s="15"/>
      <c r="AYU19" s="15"/>
      <c r="AYV19" s="15"/>
      <c r="AYW19" s="15"/>
      <c r="AYX19" s="15"/>
      <c r="AYY19" s="15"/>
      <c r="AYZ19" s="15"/>
      <c r="AZA19" s="15"/>
      <c r="AZB19" s="15"/>
      <c r="AZC19" s="15"/>
      <c r="AZD19" s="15"/>
      <c r="AZE19" s="15"/>
      <c r="AZF19" s="15"/>
      <c r="AZG19" s="15"/>
      <c r="AZH19" s="15"/>
      <c r="AZI19" s="15"/>
      <c r="AZJ19" s="15"/>
      <c r="AZK19" s="15"/>
      <c r="AZL19" s="15"/>
      <c r="AZM19" s="15"/>
      <c r="AZN19" s="15"/>
      <c r="AZO19" s="15"/>
      <c r="AZP19" s="15"/>
      <c r="AZQ19" s="15"/>
      <c r="AZR19" s="15"/>
      <c r="AZS19" s="15"/>
      <c r="AZT19" s="15"/>
      <c r="AZU19" s="15"/>
      <c r="AZV19" s="15"/>
      <c r="AZW19" s="15"/>
      <c r="AZX19" s="15"/>
      <c r="AZY19" s="15"/>
      <c r="AZZ19" s="15"/>
      <c r="BAA19" s="15"/>
      <c r="BAB19" s="15"/>
      <c r="BAC19" s="15"/>
      <c r="BAD19" s="15"/>
      <c r="BAE19" s="15"/>
      <c r="BAF19" s="15"/>
      <c r="BAG19" s="15"/>
      <c r="BAH19" s="15"/>
      <c r="BAI19" s="15"/>
      <c r="BAJ19" s="15"/>
      <c r="BAK19" s="15"/>
      <c r="BAL19" s="15"/>
      <c r="BAM19" s="15"/>
      <c r="BAN19" s="15"/>
      <c r="BAO19" s="15"/>
      <c r="BAP19" s="15"/>
      <c r="BAQ19" s="15"/>
      <c r="BAR19" s="15"/>
      <c r="BAS19" s="15"/>
      <c r="BAT19" s="15"/>
      <c r="BAU19" s="15"/>
      <c r="BAV19" s="15"/>
      <c r="BAW19" s="15"/>
      <c r="BAX19" s="15"/>
      <c r="BAY19" s="15"/>
      <c r="BAZ19" s="15"/>
      <c r="BBA19" s="15"/>
      <c r="BBB19" s="15"/>
      <c r="BBC19" s="15"/>
      <c r="BBD19" s="15"/>
      <c r="BBE19" s="15"/>
    </row>
    <row r="20" spans="1:1409" x14ac:dyDescent="0.25">
      <c r="B20" s="1" t="s">
        <v>82</v>
      </c>
      <c r="D20" s="1" t="str" cm="1">
        <f t="array" ref="D20:D29">+"R-"&amp;B3:B12</f>
        <v>R-CAM1</v>
      </c>
      <c r="E20" s="1" t="str" cm="1">
        <f t="array" ref="E20:E29">+"Reservas de fluidos de "&amp;$B$3:$B$12</f>
        <v>Reservas de fluidos de CAM1</v>
      </c>
      <c r="F20" s="1" t="s">
        <v>9</v>
      </c>
      <c r="M20" s="1" t="s">
        <v>82</v>
      </c>
      <c r="O20" s="1" t="str" cm="1">
        <f t="array" ref="O20:O26">+F3:F9</f>
        <v>GSL</v>
      </c>
      <c r="P20" s="1" t="s">
        <v>85</v>
      </c>
      <c r="Q20" s="1" t="s">
        <v>9</v>
      </c>
      <c r="X20" s="1" t="s">
        <v>82</v>
      </c>
      <c r="Z20" s="1" t="str" cm="1">
        <f t="array" ref="Z20:Z24">+"D"&amp;F3:F7</f>
        <v>DGSL</v>
      </c>
      <c r="AA20" s="1" t="str" cm="1">
        <f t="array" ref="AA20:AA24">+"Demanda de "&amp;P20:P24</f>
        <v>Demanda de Gasolina</v>
      </c>
      <c r="AB20" s="1" t="s">
        <v>9</v>
      </c>
      <c r="AI20" s="1" t="s">
        <v>98</v>
      </c>
      <c r="AK20" s="1" t="str" cm="1">
        <f t="array" ref="AK20:AK29">+$K$3&amp;"-"&amp;B3:B12</f>
        <v>CO2e-CAM1</v>
      </c>
      <c r="AL20" s="1" t="str" cm="1">
        <f t="array" ref="AL20:AL29">+"CO2eq del "&amp;B3:B12</f>
        <v>CO2eq del CAM1</v>
      </c>
      <c r="AM20" s="1" t="s">
        <v>100</v>
      </c>
    </row>
    <row r="21" spans="1:1409" x14ac:dyDescent="0.25">
      <c r="D21" s="1" t="str">
        <v>R-CAM2</v>
      </c>
      <c r="E21" s="1" t="str">
        <v>Reservas de fluidos de CAM2</v>
      </c>
      <c r="F21" s="1" t="s">
        <v>9</v>
      </c>
      <c r="O21" s="1" t="str">
        <v>DSL</v>
      </c>
      <c r="P21" s="1" t="s">
        <v>86</v>
      </c>
      <c r="Q21" s="1" t="s">
        <v>9</v>
      </c>
      <c r="Z21" s="1" t="str">
        <v>DDSL</v>
      </c>
      <c r="AA21" s="1" t="str">
        <v>Demanda de Diesel</v>
      </c>
      <c r="AB21" s="1" t="s">
        <v>9</v>
      </c>
      <c r="AK21" s="1" t="str">
        <v>CO2e-CAM2</v>
      </c>
      <c r="AL21" s="1" t="str">
        <v>CO2eq del CAM2</v>
      </c>
      <c r="AM21" s="1" t="s">
        <v>100</v>
      </c>
    </row>
    <row r="22" spans="1:1409" x14ac:dyDescent="0.25">
      <c r="D22" s="1" t="str">
        <v>R-CAM3</v>
      </c>
      <c r="E22" s="1" t="str">
        <v>Reservas de fluidos de CAM3</v>
      </c>
      <c r="F22" s="1" t="s">
        <v>9</v>
      </c>
      <c r="O22" s="1" t="str">
        <v>KER</v>
      </c>
      <c r="P22" s="1" t="s">
        <v>87</v>
      </c>
      <c r="Q22" s="1" t="s">
        <v>9</v>
      </c>
      <c r="Z22" s="1" t="str">
        <v>DKER</v>
      </c>
      <c r="AA22" s="1" t="str">
        <v>Demanda de Keroseno-Jet</v>
      </c>
      <c r="AB22" s="1" t="s">
        <v>9</v>
      </c>
      <c r="AK22" s="1" t="str">
        <v>CO2e-CAM3</v>
      </c>
      <c r="AL22" s="1" t="str">
        <v>CO2eq del CAM3</v>
      </c>
      <c r="AM22" s="1" t="s">
        <v>100</v>
      </c>
    </row>
    <row r="23" spans="1:1409" x14ac:dyDescent="0.25">
      <c r="D23" s="1" t="str">
        <v>R-CAM4</v>
      </c>
      <c r="E23" s="1" t="str">
        <v>Reservas de fluidos de CAM4</v>
      </c>
      <c r="F23" s="1" t="s">
        <v>9</v>
      </c>
      <c r="O23" s="1" t="str">
        <v>LPG</v>
      </c>
      <c r="P23" s="1" t="s">
        <v>49</v>
      </c>
      <c r="Q23" s="1" t="s">
        <v>9</v>
      </c>
      <c r="Z23" s="1" t="str">
        <v>DLPG</v>
      </c>
      <c r="AA23" s="1" t="str">
        <v>Demanda de LPG</v>
      </c>
      <c r="AB23" s="1" t="s">
        <v>9</v>
      </c>
      <c r="AK23" s="1" t="str">
        <v>CO2e-CAM4</v>
      </c>
      <c r="AL23" s="1" t="str">
        <v>CO2eq del CAM4</v>
      </c>
      <c r="AM23" s="1" t="s">
        <v>100</v>
      </c>
    </row>
    <row r="24" spans="1:1409" x14ac:dyDescent="0.25">
      <c r="D24" s="1" t="str">
        <v>R-CAM5</v>
      </c>
      <c r="E24" s="1" t="str">
        <v>Reservas de fluidos de CAM5</v>
      </c>
      <c r="F24" s="1" t="s">
        <v>9</v>
      </c>
      <c r="O24" s="1" t="str">
        <v>HFO</v>
      </c>
      <c r="P24" s="1" t="s">
        <v>88</v>
      </c>
      <c r="Q24" s="1" t="s">
        <v>9</v>
      </c>
      <c r="Z24" s="1" t="str">
        <v>DHFO</v>
      </c>
      <c r="AA24" s="1" t="str">
        <v>Demanda de Combustoleo</v>
      </c>
      <c r="AB24" s="1" t="s">
        <v>9</v>
      </c>
      <c r="AK24" s="1" t="str">
        <v>CO2e-CAM5</v>
      </c>
      <c r="AL24" s="1" t="str">
        <v>CO2eq del CAM5</v>
      </c>
      <c r="AM24" s="1" t="s">
        <v>100</v>
      </c>
    </row>
    <row r="25" spans="1:1409" x14ac:dyDescent="0.25">
      <c r="D25" s="1" t="str">
        <v>R-CAM6</v>
      </c>
      <c r="E25" s="1" t="str">
        <v>Reservas de fluidos de CAM6</v>
      </c>
      <c r="F25" s="1" t="s">
        <v>9</v>
      </c>
      <c r="O25" s="1" t="str">
        <v>ETH</v>
      </c>
      <c r="P25" s="1" t="s">
        <v>89</v>
      </c>
      <c r="Q25" s="1" t="s">
        <v>9</v>
      </c>
      <c r="Z25" s="1" t="str" cm="1">
        <f t="array" ref="Z25:Z28">+"D"&amp;D3:D6</f>
        <v>DGAS</v>
      </c>
      <c r="AA25" s="1" t="str" cm="1">
        <f t="array" ref="AA25:AA28">+"Demanda de "&amp;P27:P30</f>
        <v>Demanda de Gasolina natural</v>
      </c>
      <c r="AB25" s="1" t="s">
        <v>9</v>
      </c>
      <c r="AK25" s="1" t="str">
        <v>CO2e-CAM6</v>
      </c>
      <c r="AL25" s="1" t="str">
        <v>CO2eq del CAM6</v>
      </c>
      <c r="AM25" s="1" t="s">
        <v>100</v>
      </c>
    </row>
    <row r="26" spans="1:1409" x14ac:dyDescent="0.25">
      <c r="D26" s="1" t="str">
        <v>R-CAM7</v>
      </c>
      <c r="E26" s="1" t="str">
        <v>Reservas de fluidos de CAM7</v>
      </c>
      <c r="F26" s="1" t="s">
        <v>9</v>
      </c>
      <c r="O26" s="1" t="str">
        <v>BDSL</v>
      </c>
      <c r="P26" s="1" t="s">
        <v>90</v>
      </c>
      <c r="Q26" s="1" t="s">
        <v>9</v>
      </c>
      <c r="Z26" s="1" t="str">
        <v>DLOIL</v>
      </c>
      <c r="AA26" s="1" t="str">
        <v>Demanda de Petroleo liviano</v>
      </c>
      <c r="AB26" s="1" t="s">
        <v>9</v>
      </c>
      <c r="AK26" s="1" t="str">
        <v>CO2e-CAM7</v>
      </c>
      <c r="AL26" s="1" t="str">
        <v>CO2eq del CAM7</v>
      </c>
      <c r="AM26" s="1" t="s">
        <v>100</v>
      </c>
    </row>
    <row r="27" spans="1:1409" x14ac:dyDescent="0.25">
      <c r="D27" s="1" t="str">
        <v>R-CAM8</v>
      </c>
      <c r="E27" s="1" t="str">
        <v>Reservas de fluidos de CAM8</v>
      </c>
      <c r="F27" s="1" t="s">
        <v>9</v>
      </c>
      <c r="O27" s="1" t="str" cm="1">
        <f t="array" ref="O27:O30">+D3:D6</f>
        <v>GAS</v>
      </c>
      <c r="P27" s="1" t="s">
        <v>91</v>
      </c>
      <c r="Q27" s="1" t="s">
        <v>9</v>
      </c>
      <c r="Z27" s="1" t="str">
        <v>DMOIL</v>
      </c>
      <c r="AA27" s="1" t="str">
        <v>Demanda de Petroleo mediano</v>
      </c>
      <c r="AB27" s="1" t="s">
        <v>9</v>
      </c>
      <c r="AK27" s="1" t="str">
        <v>CO2e-CAM8</v>
      </c>
      <c r="AL27" s="1" t="str">
        <v>CO2eq del CAM8</v>
      </c>
      <c r="AM27" s="1" t="s">
        <v>100</v>
      </c>
    </row>
    <row r="28" spans="1:1409" x14ac:dyDescent="0.25">
      <c r="D28" s="1" t="str">
        <v>R-CAM9</v>
      </c>
      <c r="E28" s="1" t="str">
        <v>Reservas de fluidos de CAM9</v>
      </c>
      <c r="F28" s="1" t="s">
        <v>9</v>
      </c>
      <c r="O28" s="1" t="str">
        <v>LOIL</v>
      </c>
      <c r="P28" s="1" t="s">
        <v>92</v>
      </c>
      <c r="Q28" s="1" t="s">
        <v>9</v>
      </c>
      <c r="Z28" s="1" t="str">
        <v>DHOIL</v>
      </c>
      <c r="AA28" s="1" t="str">
        <v>Demanda de Petroleo pesado</v>
      </c>
      <c r="AB28" s="1" t="s">
        <v>9</v>
      </c>
      <c r="AK28" s="1" t="str">
        <v>CO2e-CAM9</v>
      </c>
      <c r="AL28" s="1" t="str">
        <v>CO2eq del CAM9</v>
      </c>
      <c r="AM28" s="1" t="s">
        <v>100</v>
      </c>
    </row>
    <row r="29" spans="1:1409" x14ac:dyDescent="0.25">
      <c r="D29" s="1" t="str">
        <v>R-CAM10</v>
      </c>
      <c r="E29" s="1" t="str">
        <v>Reservas de fluidos de CAM10</v>
      </c>
      <c r="F29" s="1" t="s">
        <v>9</v>
      </c>
      <c r="O29" s="1" t="str">
        <v>MOIL</v>
      </c>
      <c r="P29" s="1" t="s">
        <v>93</v>
      </c>
      <c r="Q29" s="1" t="s">
        <v>9</v>
      </c>
      <c r="Z29" s="1" t="s">
        <v>173</v>
      </c>
      <c r="AA29" s="1" t="s">
        <v>174</v>
      </c>
      <c r="AB29" s="1" t="s">
        <v>9</v>
      </c>
      <c r="AK29" s="1" t="str">
        <v>CO2e-CAM10</v>
      </c>
      <c r="AL29" s="1" t="str">
        <v>CO2eq del CAM10</v>
      </c>
      <c r="AM29" s="1" t="s">
        <v>100</v>
      </c>
    </row>
    <row r="30" spans="1:1409" x14ac:dyDescent="0.25">
      <c r="D30" s="1" t="str" cm="1">
        <f t="array" ref="D30:D39">+$D$3&amp;"-"&amp;$B$3:$B$12</f>
        <v>GAS-CAM1</v>
      </c>
      <c r="E30" s="1" t="str" cm="1">
        <f t="array" ref="E30:E39">+"Gas natural producido de "&amp;$B$3:$B$12</f>
        <v>Gas natural producido de CAM1</v>
      </c>
      <c r="F30" s="1" t="s">
        <v>9</v>
      </c>
      <c r="O30" s="1" t="str">
        <v>HOIL</v>
      </c>
      <c r="P30" s="1" t="s">
        <v>94</v>
      </c>
      <c r="Q30" s="1" t="s">
        <v>9</v>
      </c>
      <c r="X30" s="1" t="s">
        <v>29</v>
      </c>
      <c r="Z30" s="1" t="str" cm="1">
        <f t="array" ref="Z30:Z34">+"D"&amp;M3:M7</f>
        <v>DAGR</v>
      </c>
      <c r="AA30" s="1" t="s">
        <v>160</v>
      </c>
      <c r="AB30" s="1" t="s">
        <v>9</v>
      </c>
      <c r="AK30" s="1" t="s">
        <v>99</v>
      </c>
      <c r="AL30" s="1" t="s">
        <v>102</v>
      </c>
      <c r="AM30" s="1" t="s">
        <v>100</v>
      </c>
    </row>
    <row r="31" spans="1:1409" x14ac:dyDescent="0.25">
      <c r="D31" s="1" t="str">
        <v>GAS-CAM2</v>
      </c>
      <c r="E31" s="1" t="str">
        <v>Gas natural producido de CAM2</v>
      </c>
      <c r="F31" s="1" t="s">
        <v>9</v>
      </c>
      <c r="O31" s="1" t="s">
        <v>54</v>
      </c>
      <c r="P31" s="1" t="s">
        <v>95</v>
      </c>
      <c r="Q31" s="1" t="s">
        <v>9</v>
      </c>
      <c r="Z31" s="1" t="str">
        <v>DTER</v>
      </c>
      <c r="AA31" s="1" t="s">
        <v>161</v>
      </c>
      <c r="AB31" s="1" t="s">
        <v>9</v>
      </c>
      <c r="AK31" s="1" t="str" cm="1">
        <f t="array" ref="AK31:AK39">+"CO2e-"&amp;Z20:Z28</f>
        <v>CO2e-DGSL</v>
      </c>
      <c r="AL31" s="1" t="str" cm="1">
        <f t="array" ref="AL31:AL39">+"CO2eq de "&amp;AA20:AA28</f>
        <v>CO2eq de Demanda de Gasolina</v>
      </c>
      <c r="AM31" s="1" t="s">
        <v>100</v>
      </c>
    </row>
    <row r="32" spans="1:1409" x14ac:dyDescent="0.25">
      <c r="D32" s="1" t="str">
        <v>GAS-CAM3</v>
      </c>
      <c r="E32" s="1" t="str">
        <v>Gas natural producido de CAM3</v>
      </c>
      <c r="F32" s="1" t="s">
        <v>9</v>
      </c>
      <c r="O32" s="1" t="s">
        <v>55</v>
      </c>
      <c r="P32" s="1" t="s">
        <v>96</v>
      </c>
      <c r="Q32" s="1" t="s">
        <v>9</v>
      </c>
      <c r="Z32" s="1" t="str">
        <v>DRSD</v>
      </c>
      <c r="AA32" s="1" t="s">
        <v>162</v>
      </c>
      <c r="AB32" s="1" t="s">
        <v>9</v>
      </c>
      <c r="AK32" s="1" t="str">
        <v>CO2e-DDSL</v>
      </c>
      <c r="AL32" s="1" t="str">
        <v>CO2eq de Demanda de Diesel</v>
      </c>
      <c r="AM32" s="1" t="s">
        <v>100</v>
      </c>
    </row>
    <row r="33" spans="4:39" x14ac:dyDescent="0.25">
      <c r="D33" s="1" t="str">
        <v>GAS-CAM4</v>
      </c>
      <c r="E33" s="1" t="str">
        <v>Gas natural producido de CAM4</v>
      </c>
      <c r="F33" s="1" t="s">
        <v>9</v>
      </c>
      <c r="O33" s="1" t="s">
        <v>519</v>
      </c>
      <c r="P33" s="1" t="s">
        <v>522</v>
      </c>
      <c r="Q33" s="1" t="s">
        <v>9</v>
      </c>
      <c r="Z33" s="1" t="str">
        <v>DIND</v>
      </c>
      <c r="AA33" s="1" t="s">
        <v>163</v>
      </c>
      <c r="AB33" s="1" t="s">
        <v>9</v>
      </c>
      <c r="AK33" s="1" t="str">
        <v>CO2e-DKER</v>
      </c>
      <c r="AL33" s="1" t="str">
        <v>CO2eq de Demanda de Keroseno-Jet</v>
      </c>
      <c r="AM33" s="1" t="s">
        <v>100</v>
      </c>
    </row>
    <row r="34" spans="4:39" x14ac:dyDescent="0.25">
      <c r="D34" s="1" t="str">
        <v>GAS-CAM5</v>
      </c>
      <c r="E34" s="1" t="str">
        <v>Gas natural producido de CAM5</v>
      </c>
      <c r="F34" s="1" t="s">
        <v>9</v>
      </c>
      <c r="O34" s="1" t="s">
        <v>516</v>
      </c>
      <c r="P34" s="1" t="s">
        <v>515</v>
      </c>
      <c r="Q34" s="1" t="s">
        <v>9</v>
      </c>
      <c r="Z34" s="1" t="str">
        <v>DTRA</v>
      </c>
      <c r="AA34" s="1" t="s">
        <v>164</v>
      </c>
      <c r="AB34" s="1" t="s">
        <v>9</v>
      </c>
      <c r="AK34" s="1" t="str">
        <v>CO2e-DLPG</v>
      </c>
      <c r="AL34" s="1" t="str">
        <v>CO2eq de Demanda de LPG</v>
      </c>
      <c r="AM34" s="1" t="s">
        <v>100</v>
      </c>
    </row>
    <row r="35" spans="4:39" x14ac:dyDescent="0.25">
      <c r="D35" s="1" t="str">
        <v>GAS-CAM6</v>
      </c>
      <c r="E35" s="1" t="str">
        <v>Gas natural producido de CAM6</v>
      </c>
      <c r="F35" s="1" t="s">
        <v>9</v>
      </c>
      <c r="O35" s="1" t="s">
        <v>539</v>
      </c>
      <c r="P35" s="1" t="s">
        <v>541</v>
      </c>
      <c r="Q35" s="1" t="s">
        <v>9</v>
      </c>
      <c r="X35" s="1" t="s">
        <v>82</v>
      </c>
      <c r="Z35" s="1" t="s">
        <v>520</v>
      </c>
      <c r="AA35" s="1" t="s">
        <v>527</v>
      </c>
      <c r="AB35" s="1" t="s">
        <v>9</v>
      </c>
      <c r="AK35" s="1" t="str">
        <v>CO2e-DHFO</v>
      </c>
      <c r="AL35" s="1" t="str">
        <v>CO2eq de Demanda de Combustoleo</v>
      </c>
      <c r="AM35" s="1" t="s">
        <v>100</v>
      </c>
    </row>
    <row r="36" spans="4:39" x14ac:dyDescent="0.25">
      <c r="D36" s="1" t="str">
        <v>GAS-CAM7</v>
      </c>
      <c r="E36" s="1" t="str">
        <v>Gas natural producido de CAM7</v>
      </c>
      <c r="F36" s="1" t="s">
        <v>9</v>
      </c>
      <c r="O36" s="1" t="s">
        <v>540</v>
      </c>
      <c r="P36" s="1" t="s">
        <v>542</v>
      </c>
      <c r="Q36" s="1" t="s">
        <v>9</v>
      </c>
      <c r="Z36" s="1" t="s">
        <v>550</v>
      </c>
      <c r="AA36" s="1" t="s">
        <v>554</v>
      </c>
      <c r="AB36" s="1" t="s">
        <v>9</v>
      </c>
      <c r="AK36" s="1" t="str">
        <v>CO2e-DGAS</v>
      </c>
      <c r="AL36" s="1" t="str">
        <v>CO2eq de Demanda de Gasolina natural</v>
      </c>
      <c r="AM36" s="1" t="s">
        <v>100</v>
      </c>
    </row>
    <row r="37" spans="4:39" x14ac:dyDescent="0.25">
      <c r="D37" s="1" t="str">
        <v>GAS-CAM8</v>
      </c>
      <c r="E37" s="1" t="str">
        <v>Gas natural producido de CAM8</v>
      </c>
      <c r="F37" s="1" t="s">
        <v>9</v>
      </c>
      <c r="O37" s="1" t="s">
        <v>742</v>
      </c>
      <c r="P37" s="1" t="s">
        <v>744</v>
      </c>
      <c r="Z37" s="1" t="s">
        <v>549</v>
      </c>
      <c r="AA37" s="1" t="s">
        <v>555</v>
      </c>
      <c r="AB37" s="1" t="s">
        <v>9</v>
      </c>
      <c r="AK37" s="1" t="str">
        <v>CO2e-DLOIL</v>
      </c>
      <c r="AL37" s="1" t="str">
        <v>CO2eq de Demanda de Petroleo liviano</v>
      </c>
      <c r="AM37" s="1" t="s">
        <v>100</v>
      </c>
    </row>
    <row r="38" spans="4:39" x14ac:dyDescent="0.25">
      <c r="D38" s="1" t="str">
        <v>GAS-CAM9</v>
      </c>
      <c r="E38" s="1" t="str">
        <v>Gas natural producido de CAM9</v>
      </c>
      <c r="F38" s="1" t="s">
        <v>9</v>
      </c>
      <c r="O38" s="1" t="s">
        <v>743</v>
      </c>
      <c r="P38" s="1" t="s">
        <v>745</v>
      </c>
      <c r="AK38" s="1" t="str">
        <v>CO2e-DMOIL</v>
      </c>
      <c r="AL38" s="1" t="str">
        <v>CO2eq de Demanda de Petroleo mediano</v>
      </c>
      <c r="AM38" s="1" t="s">
        <v>100</v>
      </c>
    </row>
    <row r="39" spans="4:39" x14ac:dyDescent="0.25">
      <c r="D39" s="1" t="str">
        <v>GAS-CAM10</v>
      </c>
      <c r="E39" s="1" t="str">
        <v>Gas natural producido de CAM10</v>
      </c>
      <c r="F39" s="1" t="s">
        <v>9</v>
      </c>
      <c r="AK39" s="1" t="str">
        <v>CO2e-DHOIL</v>
      </c>
      <c r="AL39" s="1" t="str">
        <v>CO2eq de Demanda de Petroleo pesado</v>
      </c>
      <c r="AM39" s="1" t="s">
        <v>100</v>
      </c>
    </row>
    <row r="40" spans="4:39" x14ac:dyDescent="0.25">
      <c r="D40" s="1" t="str" cm="1">
        <f t="array" ref="D40:D49">+$D$4&amp;"-"&amp;$B$3:$B$12</f>
        <v>LOIL-CAM1</v>
      </c>
      <c r="E40" s="1" t="str" cm="1">
        <f t="array" ref="E40:E49">+"Petroleo liviano producido de "&amp;$B$3:$B$12</f>
        <v>Petroleo liviano producido de CAM1</v>
      </c>
      <c r="F40" s="1" t="s">
        <v>9</v>
      </c>
      <c r="AK40" s="1" t="s">
        <v>531</v>
      </c>
      <c r="AL40" s="1" t="s">
        <v>533</v>
      </c>
      <c r="AM40" s="1" t="s">
        <v>100</v>
      </c>
    </row>
    <row r="41" spans="4:39" x14ac:dyDescent="0.25">
      <c r="D41" s="1" t="str">
        <v>LOIL-CAM2</v>
      </c>
      <c r="E41" s="1" t="str">
        <v>Petroleo liviano producido de CAM2</v>
      </c>
      <c r="F41" s="1" t="s">
        <v>9</v>
      </c>
      <c r="AK41" s="1" t="s">
        <v>532</v>
      </c>
      <c r="AL41" s="1" t="s">
        <v>534</v>
      </c>
      <c r="AM41" s="1" t="s">
        <v>100</v>
      </c>
    </row>
    <row r="42" spans="4:39" x14ac:dyDescent="0.25">
      <c r="D42" s="1" t="str">
        <v>LOIL-CAM3</v>
      </c>
      <c r="E42" s="1" t="str">
        <v>Petroleo liviano producido de CAM3</v>
      </c>
      <c r="F42" s="1" t="s">
        <v>9</v>
      </c>
      <c r="AK42" s="1" t="s">
        <v>535</v>
      </c>
      <c r="AL42" s="1" t="s">
        <v>536</v>
      </c>
      <c r="AM42" s="1" t="s">
        <v>100</v>
      </c>
    </row>
    <row r="43" spans="4:39" x14ac:dyDescent="0.25">
      <c r="D43" s="1" t="str">
        <v>LOIL-CAM4</v>
      </c>
      <c r="E43" s="1" t="str">
        <v>Petroleo liviano producido de CAM4</v>
      </c>
      <c r="F43" s="1" t="s">
        <v>9</v>
      </c>
      <c r="AK43" s="1" t="s">
        <v>769</v>
      </c>
      <c r="AL43" s="1" t="s">
        <v>768</v>
      </c>
      <c r="AM43" s="1" t="s">
        <v>100</v>
      </c>
    </row>
    <row r="44" spans="4:39" x14ac:dyDescent="0.25">
      <c r="D44" s="1" t="str">
        <v>LOIL-CAM5</v>
      </c>
      <c r="E44" s="1" t="str">
        <v>Petroleo liviano producido de CAM5</v>
      </c>
      <c r="F44" s="1" t="s">
        <v>9</v>
      </c>
      <c r="AK44" s="1" t="s">
        <v>770</v>
      </c>
      <c r="AL44" s="1" t="s">
        <v>768</v>
      </c>
      <c r="AM44" s="1" t="s">
        <v>100</v>
      </c>
    </row>
    <row r="45" spans="4:39" x14ac:dyDescent="0.25">
      <c r="D45" s="1" t="str">
        <v>LOIL-CAM6</v>
      </c>
      <c r="E45" s="1" t="str">
        <v>Petroleo liviano producido de CAM6</v>
      </c>
      <c r="F45" s="1" t="s">
        <v>9</v>
      </c>
    </row>
    <row r="46" spans="4:39" x14ac:dyDescent="0.25">
      <c r="D46" s="1" t="str">
        <v>LOIL-CAM7</v>
      </c>
      <c r="E46" s="1" t="str">
        <v>Petroleo liviano producido de CAM7</v>
      </c>
      <c r="F46" s="1" t="s">
        <v>9</v>
      </c>
    </row>
    <row r="47" spans="4:39" x14ac:dyDescent="0.25">
      <c r="D47" s="1" t="str">
        <v>LOIL-CAM8</v>
      </c>
      <c r="E47" s="1" t="str">
        <v>Petroleo liviano producido de CAM8</v>
      </c>
      <c r="F47" s="1" t="s">
        <v>9</v>
      </c>
    </row>
    <row r="48" spans="4:39" x14ac:dyDescent="0.25">
      <c r="D48" s="1" t="str">
        <v>LOIL-CAM9</v>
      </c>
      <c r="E48" s="1" t="str">
        <v>Petroleo liviano producido de CAM9</v>
      </c>
      <c r="F48" s="1" t="s">
        <v>9</v>
      </c>
    </row>
    <row r="49" spans="4:6" x14ac:dyDescent="0.25">
      <c r="D49" s="1" t="str">
        <v>LOIL-CAM10</v>
      </c>
      <c r="E49" s="1" t="str">
        <v>Petroleo liviano producido de CAM10</v>
      </c>
      <c r="F49" s="1" t="s">
        <v>9</v>
      </c>
    </row>
    <row r="50" spans="4:6" x14ac:dyDescent="0.25">
      <c r="D50" s="1" t="str" cm="1">
        <f t="array" ref="D50:D59">+$D$5&amp;"-"&amp;$B$3:$B$12</f>
        <v>MOIL-CAM1</v>
      </c>
      <c r="E50" s="1" t="str" cm="1">
        <f t="array" ref="E50:E59">+"Petroleo mediano producido de "&amp;$B$3:$B$12</f>
        <v>Petroleo mediano producido de CAM1</v>
      </c>
      <c r="F50" s="1" t="s">
        <v>9</v>
      </c>
    </row>
    <row r="51" spans="4:6" x14ac:dyDescent="0.25">
      <c r="D51" s="1" t="str">
        <v>MOIL-CAM2</v>
      </c>
      <c r="E51" s="1" t="str">
        <v>Petroleo mediano producido de CAM2</v>
      </c>
      <c r="F51" s="1" t="s">
        <v>9</v>
      </c>
    </row>
    <row r="52" spans="4:6" x14ac:dyDescent="0.25">
      <c r="D52" s="1" t="str">
        <v>MOIL-CAM3</v>
      </c>
      <c r="E52" s="1" t="str">
        <v>Petroleo mediano producido de CAM3</v>
      </c>
      <c r="F52" s="1" t="s">
        <v>9</v>
      </c>
    </row>
    <row r="53" spans="4:6" x14ac:dyDescent="0.25">
      <c r="D53" s="1" t="str">
        <v>MOIL-CAM4</v>
      </c>
      <c r="E53" s="1" t="str">
        <v>Petroleo mediano producido de CAM4</v>
      </c>
      <c r="F53" s="1" t="s">
        <v>9</v>
      </c>
    </row>
    <row r="54" spans="4:6" x14ac:dyDescent="0.25">
      <c r="D54" s="1" t="str">
        <v>MOIL-CAM5</v>
      </c>
      <c r="E54" s="1" t="str">
        <v>Petroleo mediano producido de CAM5</v>
      </c>
      <c r="F54" s="1" t="s">
        <v>9</v>
      </c>
    </row>
    <row r="55" spans="4:6" x14ac:dyDescent="0.25">
      <c r="D55" s="1" t="str">
        <v>MOIL-CAM6</v>
      </c>
      <c r="E55" s="1" t="str">
        <v>Petroleo mediano producido de CAM6</v>
      </c>
      <c r="F55" s="1" t="s">
        <v>9</v>
      </c>
    </row>
    <row r="56" spans="4:6" x14ac:dyDescent="0.25">
      <c r="D56" s="1" t="str">
        <v>MOIL-CAM7</v>
      </c>
      <c r="E56" s="1" t="str">
        <v>Petroleo mediano producido de CAM7</v>
      </c>
      <c r="F56" s="1" t="s">
        <v>9</v>
      </c>
    </row>
    <row r="57" spans="4:6" x14ac:dyDescent="0.25">
      <c r="D57" s="1" t="str">
        <v>MOIL-CAM8</v>
      </c>
      <c r="E57" s="1" t="str">
        <v>Petroleo mediano producido de CAM8</v>
      </c>
      <c r="F57" s="1" t="s">
        <v>9</v>
      </c>
    </row>
    <row r="58" spans="4:6" x14ac:dyDescent="0.25">
      <c r="D58" s="1" t="str">
        <v>MOIL-CAM9</v>
      </c>
      <c r="E58" s="1" t="str">
        <v>Petroleo mediano producido de CAM9</v>
      </c>
      <c r="F58" s="1" t="s">
        <v>9</v>
      </c>
    </row>
    <row r="59" spans="4:6" x14ac:dyDescent="0.25">
      <c r="D59" s="1" t="str">
        <v>MOIL-CAM10</v>
      </c>
      <c r="E59" s="1" t="str">
        <v>Petroleo mediano producido de CAM10</v>
      </c>
      <c r="F59" s="1" t="s">
        <v>9</v>
      </c>
    </row>
    <row r="60" spans="4:6" x14ac:dyDescent="0.25">
      <c r="D60" s="1" t="str" cm="1">
        <f t="array" ref="D60:D69">+$D$6&amp;"-"&amp;$B$3:$B$12</f>
        <v>HOIL-CAM1</v>
      </c>
      <c r="E60" s="1" t="str" cm="1">
        <f t="array" ref="E60:E69">+"Petroleo pesado producido de "&amp;$B$3:$B$12</f>
        <v>Petroleo pesado producido de CAM1</v>
      </c>
      <c r="F60" s="1" t="s">
        <v>9</v>
      </c>
    </row>
    <row r="61" spans="4:6" x14ac:dyDescent="0.25">
      <c r="D61" s="1" t="str">
        <v>HOIL-CAM2</v>
      </c>
      <c r="E61" s="1" t="str">
        <v>Petroleo pesado producido de CAM2</v>
      </c>
      <c r="F61" s="1" t="s">
        <v>9</v>
      </c>
    </row>
    <row r="62" spans="4:6" x14ac:dyDescent="0.25">
      <c r="D62" s="1" t="str">
        <v>HOIL-CAM3</v>
      </c>
      <c r="E62" s="1" t="str">
        <v>Petroleo pesado producido de CAM3</v>
      </c>
      <c r="F62" s="1" t="s">
        <v>9</v>
      </c>
    </row>
    <row r="63" spans="4:6" x14ac:dyDescent="0.25">
      <c r="D63" s="1" t="str">
        <v>HOIL-CAM4</v>
      </c>
      <c r="E63" s="1" t="str">
        <v>Petroleo pesado producido de CAM4</v>
      </c>
      <c r="F63" s="1" t="s">
        <v>9</v>
      </c>
    </row>
    <row r="64" spans="4:6" x14ac:dyDescent="0.25">
      <c r="D64" s="1" t="str">
        <v>HOIL-CAM5</v>
      </c>
      <c r="E64" s="1" t="str">
        <v>Petroleo pesado producido de CAM5</v>
      </c>
      <c r="F64" s="1" t="s">
        <v>9</v>
      </c>
    </row>
    <row r="65" spans="4:6" x14ac:dyDescent="0.25">
      <c r="D65" s="1" t="str">
        <v>HOIL-CAM6</v>
      </c>
      <c r="E65" s="1" t="str">
        <v>Petroleo pesado producido de CAM6</v>
      </c>
      <c r="F65" s="1" t="s">
        <v>9</v>
      </c>
    </row>
    <row r="66" spans="4:6" x14ac:dyDescent="0.25">
      <c r="D66" s="1" t="str">
        <v>HOIL-CAM7</v>
      </c>
      <c r="E66" s="1" t="str">
        <v>Petroleo pesado producido de CAM7</v>
      </c>
      <c r="F66" s="1" t="s">
        <v>9</v>
      </c>
    </row>
    <row r="67" spans="4:6" x14ac:dyDescent="0.25">
      <c r="D67" s="1" t="str">
        <v>HOIL-CAM8</v>
      </c>
      <c r="E67" s="1" t="str">
        <v>Petroleo pesado producido de CAM8</v>
      </c>
      <c r="F67" s="1" t="s">
        <v>9</v>
      </c>
    </row>
    <row r="68" spans="4:6" x14ac:dyDescent="0.25">
      <c r="D68" s="1" t="str">
        <v>HOIL-CAM9</v>
      </c>
      <c r="E68" s="1" t="str">
        <v>Petroleo pesado producido de CAM9</v>
      </c>
      <c r="F68" s="1" t="s">
        <v>9</v>
      </c>
    </row>
    <row r="69" spans="4:6" x14ac:dyDescent="0.25">
      <c r="D69" s="1" t="str">
        <v>HOIL-CAM10</v>
      </c>
      <c r="E69" s="1" t="str">
        <v>Petroleo pesado producido de CAM10</v>
      </c>
      <c r="F69" s="1" t="s">
        <v>9</v>
      </c>
    </row>
    <row r="70" spans="4:6" x14ac:dyDescent="0.25">
      <c r="D70" s="1" t="str" cm="1">
        <f t="array" ref="D70:D79">+$D$8&amp;"-"&amp;$B$3:$B$12</f>
        <v>GAS-plt-CAM1</v>
      </c>
      <c r="E70" s="1" t="str" cm="1">
        <f t="array" ref="E70:E79">+"Gas natural rementen de planta de "&amp;$B$3:$B$12</f>
        <v>Gas natural rementen de planta de CAM1</v>
      </c>
      <c r="F70" s="1" t="s">
        <v>9</v>
      </c>
    </row>
    <row r="71" spans="4:6" x14ac:dyDescent="0.25">
      <c r="D71" s="1" t="str">
        <v>GAS-plt-CAM2</v>
      </c>
      <c r="E71" s="1" t="str">
        <v>Gas natural rementen de planta de CAM2</v>
      </c>
      <c r="F71" s="1" t="s">
        <v>9</v>
      </c>
    </row>
    <row r="72" spans="4:6" x14ac:dyDescent="0.25">
      <c r="D72" s="1" t="str">
        <v>GAS-plt-CAM3</v>
      </c>
      <c r="E72" s="1" t="str">
        <v>Gas natural rementen de planta de CAM3</v>
      </c>
      <c r="F72" s="1" t="s">
        <v>9</v>
      </c>
    </row>
    <row r="73" spans="4:6" x14ac:dyDescent="0.25">
      <c r="D73" s="1" t="str">
        <v>GAS-plt-CAM4</v>
      </c>
      <c r="E73" s="1" t="str">
        <v>Gas natural rementen de planta de CAM4</v>
      </c>
      <c r="F73" s="1" t="s">
        <v>9</v>
      </c>
    </row>
    <row r="74" spans="4:6" x14ac:dyDescent="0.25">
      <c r="D74" s="1" t="str">
        <v>GAS-plt-CAM5</v>
      </c>
      <c r="E74" s="1" t="str">
        <v>Gas natural rementen de planta de CAM5</v>
      </c>
      <c r="F74" s="1" t="s">
        <v>9</v>
      </c>
    </row>
    <row r="75" spans="4:6" x14ac:dyDescent="0.25">
      <c r="D75" s="1" t="str">
        <v>GAS-plt-CAM6</v>
      </c>
      <c r="E75" s="1" t="str">
        <v>Gas natural rementen de planta de CAM6</v>
      </c>
      <c r="F75" s="1" t="s">
        <v>9</v>
      </c>
    </row>
    <row r="76" spans="4:6" x14ac:dyDescent="0.25">
      <c r="D76" s="1" t="str">
        <v>GAS-plt-CAM7</v>
      </c>
      <c r="E76" s="1" t="str">
        <v>Gas natural rementen de planta de CAM7</v>
      </c>
      <c r="F76" s="1" t="s">
        <v>9</v>
      </c>
    </row>
    <row r="77" spans="4:6" x14ac:dyDescent="0.25">
      <c r="D77" s="1" t="str">
        <v>GAS-plt-CAM8</v>
      </c>
      <c r="E77" s="1" t="str">
        <v>Gas natural rementen de planta de CAM8</v>
      </c>
      <c r="F77" s="1" t="s">
        <v>9</v>
      </c>
    </row>
    <row r="78" spans="4:6" x14ac:dyDescent="0.25">
      <c r="D78" s="1" t="str">
        <v>GAS-plt-CAM9</v>
      </c>
      <c r="E78" s="1" t="str">
        <v>Gas natural rementen de planta de CAM9</v>
      </c>
      <c r="F78" s="1" t="s">
        <v>9</v>
      </c>
    </row>
    <row r="79" spans="4:6" x14ac:dyDescent="0.25">
      <c r="D79" s="1" t="str">
        <v>GAS-plt-CAM10</v>
      </c>
      <c r="E79" s="1" t="str">
        <v>Gas natural rementen de planta de CAM10</v>
      </c>
      <c r="F79" s="1" t="s">
        <v>9</v>
      </c>
    </row>
    <row r="80" spans="4:6" x14ac:dyDescent="0.25">
      <c r="D80" s="1" t="str" cm="1">
        <f t="array" ref="D80:D85">+"FLU-"&amp;B3:B8</f>
        <v>FLU-CAM1</v>
      </c>
      <c r="E80" s="1" t="s">
        <v>940</v>
      </c>
      <c r="F80" s="1" t="s">
        <v>9</v>
      </c>
    </row>
    <row r="81" spans="4:6" x14ac:dyDescent="0.25">
      <c r="D81" s="1" t="str">
        <v>FLU-CAM2</v>
      </c>
      <c r="E81" s="1" t="s">
        <v>941</v>
      </c>
      <c r="F81" s="1" t="s">
        <v>9</v>
      </c>
    </row>
    <row r="82" spans="4:6" x14ac:dyDescent="0.25">
      <c r="D82" s="1" t="str">
        <v>FLU-CAM3</v>
      </c>
      <c r="E82" s="1" t="s">
        <v>942</v>
      </c>
      <c r="F82" s="1" t="s">
        <v>9</v>
      </c>
    </row>
    <row r="83" spans="4:6" x14ac:dyDescent="0.25">
      <c r="D83" s="1" t="str">
        <v>FLU-CAM4</v>
      </c>
      <c r="E83" s="1" t="s">
        <v>943</v>
      </c>
      <c r="F83" s="1" t="s">
        <v>9</v>
      </c>
    </row>
    <row r="84" spans="4:6" x14ac:dyDescent="0.25">
      <c r="D84" s="1" t="str">
        <v>FLU-CAM5</v>
      </c>
      <c r="E84" s="1" t="s">
        <v>944</v>
      </c>
      <c r="F84" s="1" t="s">
        <v>9</v>
      </c>
    </row>
    <row r="85" spans="4:6" x14ac:dyDescent="0.25">
      <c r="D85" s="1" t="str">
        <v>FLU-CAM6</v>
      </c>
      <c r="E85" s="1" t="s">
        <v>945</v>
      </c>
      <c r="F85" s="1" t="s">
        <v>9</v>
      </c>
    </row>
  </sheetData>
  <mergeCells count="4">
    <mergeCell ref="B15:J15"/>
    <mergeCell ref="M15:U15"/>
    <mergeCell ref="X14:AF14"/>
    <mergeCell ref="AI15:AQ15"/>
  </mergeCells>
  <phoneticPr fontId="8"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C13F-5027-431F-8210-AC6A0A4D336D}">
  <dimension ref="B3:AD89"/>
  <sheetViews>
    <sheetView showGridLines="0" topLeftCell="A53" zoomScale="85" zoomScaleNormal="85" workbookViewId="0">
      <selection activeCell="Q83" sqref="P83:Q89"/>
    </sheetView>
  </sheetViews>
  <sheetFormatPr baseColWidth="10" defaultRowHeight="15" x14ac:dyDescent="0.25"/>
  <cols>
    <col min="3" max="3" width="7.140625" customWidth="1"/>
    <col min="4" max="4" width="16.85546875" customWidth="1"/>
    <col min="5" max="5" width="42.85546875" customWidth="1"/>
    <col min="8" max="8" width="15.28515625" customWidth="1"/>
    <col min="9" max="9" width="14.85546875" customWidth="1"/>
    <col min="13" max="13" width="7.140625" customWidth="1"/>
    <col min="14" max="14" width="16.85546875" customWidth="1"/>
    <col min="15" max="15" width="42.85546875" customWidth="1"/>
    <col min="18" max="18" width="15.28515625" customWidth="1"/>
    <col min="19" max="19" width="14.85546875" customWidth="1"/>
    <col min="23" max="23" width="7.140625" customWidth="1"/>
    <col min="24" max="24" width="16.85546875" customWidth="1"/>
    <col min="25" max="25" width="42.85546875" customWidth="1"/>
    <col min="28" max="28" width="15.28515625" customWidth="1"/>
    <col min="29" max="29" width="14.85546875" customWidth="1"/>
  </cols>
  <sheetData>
    <row r="3" spans="2:6" x14ac:dyDescent="0.25">
      <c r="B3" t="s">
        <v>56</v>
      </c>
      <c r="D3" t="s">
        <v>104</v>
      </c>
      <c r="E3" t="s">
        <v>117</v>
      </c>
      <c r="F3" s="20" t="s">
        <v>118</v>
      </c>
    </row>
    <row r="4" spans="2:6" x14ac:dyDescent="0.25">
      <c r="B4" t="s">
        <v>57</v>
      </c>
      <c r="D4" t="s">
        <v>111</v>
      </c>
      <c r="E4" s="1" t="s">
        <v>45</v>
      </c>
      <c r="F4" s="19" t="s">
        <v>115</v>
      </c>
    </row>
    <row r="5" spans="2:6" x14ac:dyDescent="0.25">
      <c r="B5" t="s">
        <v>58</v>
      </c>
      <c r="D5" t="s">
        <v>112</v>
      </c>
      <c r="E5" s="15" t="s">
        <v>47</v>
      </c>
      <c r="F5" s="19" t="s">
        <v>116</v>
      </c>
    </row>
    <row r="6" spans="2:6" x14ac:dyDescent="0.25">
      <c r="B6" t="s">
        <v>59</v>
      </c>
      <c r="D6" t="s">
        <v>113</v>
      </c>
      <c r="E6" s="1" t="s">
        <v>48</v>
      </c>
    </row>
    <row r="7" spans="2:6" x14ac:dyDescent="0.25">
      <c r="B7" t="s">
        <v>60</v>
      </c>
      <c r="D7" t="s">
        <v>114</v>
      </c>
      <c r="E7" s="1" t="s">
        <v>49</v>
      </c>
    </row>
    <row r="8" spans="2:6" x14ac:dyDescent="0.25">
      <c r="B8" t="s">
        <v>61</v>
      </c>
      <c r="D8" t="s">
        <v>122</v>
      </c>
      <c r="E8" s="1" t="s">
        <v>50</v>
      </c>
    </row>
    <row r="9" spans="2:6" x14ac:dyDescent="0.25">
      <c r="B9" t="s">
        <v>62</v>
      </c>
      <c r="D9" t="s">
        <v>120</v>
      </c>
      <c r="E9" s="1" t="s">
        <v>43</v>
      </c>
    </row>
    <row r="10" spans="2:6" x14ac:dyDescent="0.25">
      <c r="B10" t="s">
        <v>63</v>
      </c>
      <c r="D10" t="s">
        <v>123</v>
      </c>
      <c r="E10" s="1" t="s">
        <v>44</v>
      </c>
    </row>
    <row r="11" spans="2:6" x14ac:dyDescent="0.25">
      <c r="B11" t="s">
        <v>64</v>
      </c>
      <c r="E11" s="1" t="s">
        <v>51</v>
      </c>
    </row>
    <row r="12" spans="2:6" x14ac:dyDescent="0.25">
      <c r="B12" t="s">
        <v>65</v>
      </c>
      <c r="E12" s="15" t="s">
        <v>52</v>
      </c>
    </row>
    <row r="13" spans="2:6" x14ac:dyDescent="0.25">
      <c r="B13" t="s">
        <v>66</v>
      </c>
      <c r="E13" s="1" t="s">
        <v>67</v>
      </c>
    </row>
    <row r="14" spans="2:6" x14ac:dyDescent="0.25">
      <c r="E14" s="1" t="s">
        <v>53</v>
      </c>
    </row>
    <row r="15" spans="2:6" x14ac:dyDescent="0.25">
      <c r="E15" s="1"/>
    </row>
    <row r="16" spans="2:6" x14ac:dyDescent="0.25">
      <c r="E16" s="1"/>
    </row>
    <row r="17" spans="2:30" x14ac:dyDescent="0.25">
      <c r="E17" s="1"/>
    </row>
    <row r="18" spans="2:30" x14ac:dyDescent="0.25">
      <c r="B18" s="559" t="s">
        <v>119</v>
      </c>
      <c r="C18" s="559"/>
      <c r="D18" s="559"/>
      <c r="E18" s="559"/>
      <c r="F18" s="559"/>
      <c r="G18" s="559"/>
      <c r="H18" s="559"/>
      <c r="I18" s="559"/>
      <c r="J18" s="559"/>
      <c r="L18" s="559" t="s">
        <v>124</v>
      </c>
      <c r="M18" s="559"/>
      <c r="N18" s="559"/>
      <c r="O18" s="559"/>
      <c r="P18" s="559"/>
      <c r="Q18" s="559"/>
      <c r="R18" s="559"/>
      <c r="S18" s="559"/>
      <c r="T18" s="559"/>
      <c r="V18" s="559" t="s">
        <v>121</v>
      </c>
      <c r="W18" s="559"/>
      <c r="X18" s="559"/>
      <c r="Y18" s="559"/>
      <c r="Z18" s="559"/>
      <c r="AA18" s="559"/>
      <c r="AB18" s="559"/>
      <c r="AC18" s="559"/>
      <c r="AD18" s="559"/>
    </row>
    <row r="20" spans="2:30" x14ac:dyDescent="0.25">
      <c r="B20" s="14" t="s">
        <v>30</v>
      </c>
      <c r="C20" s="1"/>
      <c r="D20" s="1"/>
      <c r="E20" s="1"/>
      <c r="F20" s="1"/>
      <c r="G20" s="1"/>
      <c r="H20" s="1"/>
      <c r="I20" s="1"/>
      <c r="J20" s="1"/>
      <c r="L20" s="14" t="s">
        <v>30</v>
      </c>
      <c r="M20" s="1"/>
      <c r="N20" s="1"/>
      <c r="O20" s="1"/>
      <c r="P20" s="1"/>
      <c r="Q20" s="1"/>
      <c r="R20" s="1"/>
      <c r="S20" s="1"/>
      <c r="T20" s="1"/>
      <c r="V20" s="14" t="s">
        <v>30</v>
      </c>
      <c r="W20" s="1"/>
      <c r="X20" s="1"/>
      <c r="Y20" s="1"/>
      <c r="Z20" s="1"/>
      <c r="AA20" s="1"/>
      <c r="AB20" s="1"/>
      <c r="AC20" s="1"/>
      <c r="AD20" s="1"/>
    </row>
    <row r="21" spans="2:30" x14ac:dyDescent="0.25">
      <c r="B21" s="11" t="s">
        <v>32</v>
      </c>
      <c r="C21" s="12" t="s">
        <v>22</v>
      </c>
      <c r="D21" s="11" t="s">
        <v>11</v>
      </c>
      <c r="E21" s="11" t="s">
        <v>33</v>
      </c>
      <c r="F21" s="11" t="s">
        <v>34</v>
      </c>
      <c r="G21" s="11" t="s">
        <v>35</v>
      </c>
      <c r="H21" s="11" t="s">
        <v>105</v>
      </c>
      <c r="I21" s="11" t="s">
        <v>106</v>
      </c>
      <c r="J21" s="11" t="s">
        <v>107</v>
      </c>
      <c r="L21" s="11" t="s">
        <v>32</v>
      </c>
      <c r="M21" s="12" t="s">
        <v>22</v>
      </c>
      <c r="N21" s="11" t="s">
        <v>11</v>
      </c>
      <c r="O21" s="11" t="s">
        <v>33</v>
      </c>
      <c r="P21" s="11" t="s">
        <v>34</v>
      </c>
      <c r="Q21" s="11" t="s">
        <v>35</v>
      </c>
      <c r="R21" s="11" t="s">
        <v>105</v>
      </c>
      <c r="S21" s="11" t="s">
        <v>106</v>
      </c>
      <c r="T21" s="11" t="s">
        <v>107</v>
      </c>
      <c r="V21" s="11" t="s">
        <v>32</v>
      </c>
      <c r="W21" s="12" t="s">
        <v>22</v>
      </c>
      <c r="X21" s="11" t="s">
        <v>11</v>
      </c>
      <c r="Y21" s="11" t="s">
        <v>33</v>
      </c>
      <c r="Z21" s="11" t="s">
        <v>34</v>
      </c>
      <c r="AA21" s="11" t="s">
        <v>35</v>
      </c>
      <c r="AB21" s="11" t="s">
        <v>105</v>
      </c>
      <c r="AC21" s="11" t="s">
        <v>106</v>
      </c>
      <c r="AD21" s="11" t="s">
        <v>107</v>
      </c>
    </row>
    <row r="22" spans="2:30" s="18" customFormat="1" ht="24" thickBot="1" x14ac:dyDescent="0.3">
      <c r="B22" s="13" t="s">
        <v>36</v>
      </c>
      <c r="C22" s="13" t="s">
        <v>26</v>
      </c>
      <c r="D22" s="13" t="s">
        <v>37</v>
      </c>
      <c r="E22" s="13" t="s">
        <v>38</v>
      </c>
      <c r="F22" s="13" t="s">
        <v>39</v>
      </c>
      <c r="G22" s="13" t="s">
        <v>40</v>
      </c>
      <c r="H22" s="13" t="s">
        <v>108</v>
      </c>
      <c r="I22" s="13" t="s">
        <v>109</v>
      </c>
      <c r="J22" s="13" t="s">
        <v>110</v>
      </c>
      <c r="L22" s="13" t="s">
        <v>36</v>
      </c>
      <c r="M22" s="13" t="s">
        <v>26</v>
      </c>
      <c r="N22" s="13" t="s">
        <v>37</v>
      </c>
      <c r="O22" s="13" t="s">
        <v>38</v>
      </c>
      <c r="P22" s="13" t="s">
        <v>39</v>
      </c>
      <c r="Q22" s="13" t="s">
        <v>40</v>
      </c>
      <c r="R22" s="13" t="s">
        <v>108</v>
      </c>
      <c r="S22" s="13" t="s">
        <v>109</v>
      </c>
      <c r="T22" s="13" t="s">
        <v>110</v>
      </c>
      <c r="V22" s="13" t="s">
        <v>36</v>
      </c>
      <c r="W22" s="13" t="s">
        <v>26</v>
      </c>
      <c r="X22" s="13" t="s">
        <v>37</v>
      </c>
      <c r="Y22" s="13" t="s">
        <v>38</v>
      </c>
      <c r="Z22" s="13" t="s">
        <v>39</v>
      </c>
      <c r="AA22" s="13" t="s">
        <v>40</v>
      </c>
      <c r="AB22" s="13" t="s">
        <v>108</v>
      </c>
      <c r="AC22" s="13" t="s">
        <v>109</v>
      </c>
      <c r="AD22" s="13" t="s">
        <v>110</v>
      </c>
    </row>
    <row r="23" spans="2:30" ht="15.75" thickBot="1" x14ac:dyDescent="0.3">
      <c r="B23" s="13" t="s">
        <v>4</v>
      </c>
      <c r="C23" s="13"/>
      <c r="D23" s="13"/>
      <c r="E23" s="13"/>
      <c r="F23" s="13"/>
      <c r="G23" s="13"/>
      <c r="H23" s="13"/>
      <c r="I23" s="13"/>
      <c r="J23" s="13"/>
      <c r="L23" s="13" t="s">
        <v>4</v>
      </c>
      <c r="M23" s="13"/>
      <c r="N23" s="13"/>
      <c r="O23" s="13"/>
      <c r="P23" s="13"/>
      <c r="Q23" s="13"/>
      <c r="R23" s="13"/>
      <c r="S23" s="13"/>
      <c r="T23" s="13"/>
      <c r="V23" s="13" t="s">
        <v>4</v>
      </c>
      <c r="W23" s="13"/>
      <c r="X23" s="13"/>
      <c r="Y23" s="13"/>
      <c r="Z23" s="13"/>
      <c r="AA23" s="13"/>
      <c r="AB23" s="13"/>
      <c r="AC23" s="13"/>
      <c r="AD23" s="13"/>
    </row>
    <row r="24" spans="2:30" x14ac:dyDescent="0.25">
      <c r="B24" t="s">
        <v>111</v>
      </c>
      <c r="D24" t="str" cm="1">
        <f t="array" ref="D24:D33">+$D$4&amp;"-"&amp;$B$4:$B$13</f>
        <v>MIN-CAM1</v>
      </c>
      <c r="E24" t="str" cm="1">
        <f t="array" ref="E24:E33">+"Mina de reservas de fluidos de "&amp;B4:B13</f>
        <v>Mina de reservas de fluidos de CAM1</v>
      </c>
      <c r="F24" t="s">
        <v>9</v>
      </c>
      <c r="G24" t="s">
        <v>42</v>
      </c>
      <c r="L24" t="s">
        <v>46</v>
      </c>
      <c r="N24" t="str" cm="1">
        <f t="array" ref="N24:N33">+$D$5&amp;"-"&amp;B4:B13</f>
        <v>PROF-CAM1</v>
      </c>
      <c r="O24" t="str" cm="1">
        <f t="array" ref="O24:O33">+"Produccion con flaring de "&amp;B4:B13</f>
        <v>Produccion con flaring de CAM1</v>
      </c>
      <c r="P24" t="s">
        <v>9</v>
      </c>
      <c r="Q24" t="s">
        <v>42</v>
      </c>
    </row>
    <row r="25" spans="2:30" x14ac:dyDescent="0.25">
      <c r="D25" t="str">
        <v>MIN-CAM2</v>
      </c>
      <c r="E25" t="str">
        <v>Mina de reservas de fluidos de CAM2</v>
      </c>
      <c r="F25" t="s">
        <v>9</v>
      </c>
      <c r="G25" t="s">
        <v>42</v>
      </c>
      <c r="N25" t="str">
        <v>PROF-CAM2</v>
      </c>
      <c r="O25" t="str">
        <v>Produccion con flaring de CAM2</v>
      </c>
      <c r="P25" t="s">
        <v>9</v>
      </c>
      <c r="Q25" t="s">
        <v>42</v>
      </c>
    </row>
    <row r="26" spans="2:30" x14ac:dyDescent="0.25">
      <c r="D26" t="str">
        <v>MIN-CAM3</v>
      </c>
      <c r="E26" t="str">
        <v>Mina de reservas de fluidos de CAM3</v>
      </c>
      <c r="F26" t="s">
        <v>9</v>
      </c>
      <c r="G26" t="s">
        <v>42</v>
      </c>
      <c r="N26" t="str">
        <v>PROF-CAM3</v>
      </c>
      <c r="O26" t="str">
        <v>Produccion con flaring de CAM3</v>
      </c>
      <c r="P26" t="s">
        <v>9</v>
      </c>
      <c r="Q26" t="s">
        <v>42</v>
      </c>
    </row>
    <row r="27" spans="2:30" x14ac:dyDescent="0.25">
      <c r="D27" t="str">
        <v>MIN-CAM4</v>
      </c>
      <c r="E27" t="str">
        <v>Mina de reservas de fluidos de CAM4</v>
      </c>
      <c r="F27" t="s">
        <v>9</v>
      </c>
      <c r="G27" t="s">
        <v>42</v>
      </c>
      <c r="N27" t="str">
        <v>PROF-CAM4</v>
      </c>
      <c r="O27" t="str">
        <v>Produccion con flaring de CAM4</v>
      </c>
      <c r="P27" t="s">
        <v>9</v>
      </c>
      <c r="Q27" t="s">
        <v>42</v>
      </c>
    </row>
    <row r="28" spans="2:30" x14ac:dyDescent="0.25">
      <c r="D28" t="str">
        <v>MIN-CAM5</v>
      </c>
      <c r="E28" t="str">
        <v>Mina de reservas de fluidos de CAM5</v>
      </c>
      <c r="F28" t="s">
        <v>9</v>
      </c>
      <c r="G28" t="s">
        <v>42</v>
      </c>
      <c r="N28" t="str">
        <v>PROF-CAM5</v>
      </c>
      <c r="O28" t="str">
        <v>Produccion con flaring de CAM5</v>
      </c>
      <c r="P28" t="s">
        <v>9</v>
      </c>
      <c r="Q28" t="s">
        <v>42</v>
      </c>
    </row>
    <row r="29" spans="2:30" x14ac:dyDescent="0.25">
      <c r="D29" t="str">
        <v>MIN-CAM6</v>
      </c>
      <c r="E29" t="str">
        <v>Mina de reservas de fluidos de CAM6</v>
      </c>
      <c r="F29" t="s">
        <v>9</v>
      </c>
      <c r="G29" t="s">
        <v>42</v>
      </c>
      <c r="N29" t="str">
        <v>PROF-CAM6</v>
      </c>
      <c r="O29" t="str">
        <v>Produccion con flaring de CAM6</v>
      </c>
      <c r="P29" t="s">
        <v>9</v>
      </c>
      <c r="Q29" t="s">
        <v>42</v>
      </c>
    </row>
    <row r="30" spans="2:30" x14ac:dyDescent="0.25">
      <c r="D30" t="str">
        <v>MIN-CAM7</v>
      </c>
      <c r="E30" t="str">
        <v>Mina de reservas de fluidos de CAM7</v>
      </c>
      <c r="F30" t="s">
        <v>9</v>
      </c>
      <c r="G30" t="s">
        <v>42</v>
      </c>
      <c r="N30" t="str">
        <v>PROF-CAM7</v>
      </c>
      <c r="O30" t="str">
        <v>Produccion con flaring de CAM7</v>
      </c>
      <c r="P30" t="s">
        <v>9</v>
      </c>
      <c r="Q30" t="s">
        <v>42</v>
      </c>
    </row>
    <row r="31" spans="2:30" x14ac:dyDescent="0.25">
      <c r="D31" t="str">
        <v>MIN-CAM8</v>
      </c>
      <c r="E31" t="str">
        <v>Mina de reservas de fluidos de CAM8</v>
      </c>
      <c r="F31" t="s">
        <v>9</v>
      </c>
      <c r="G31" t="s">
        <v>42</v>
      </c>
      <c r="N31" t="str">
        <v>PROF-CAM8</v>
      </c>
      <c r="O31" t="str">
        <v>Produccion con flaring de CAM8</v>
      </c>
      <c r="P31" t="s">
        <v>9</v>
      </c>
      <c r="Q31" t="s">
        <v>42</v>
      </c>
    </row>
    <row r="32" spans="2:30" x14ac:dyDescent="0.25">
      <c r="D32" t="str">
        <v>MIN-CAM9</v>
      </c>
      <c r="E32" t="str">
        <v>Mina de reservas de fluidos de CAM9</v>
      </c>
      <c r="F32" t="s">
        <v>9</v>
      </c>
      <c r="G32" t="s">
        <v>42</v>
      </c>
      <c r="N32" t="str">
        <v>PROF-CAM9</v>
      </c>
      <c r="O32" t="str">
        <v>Produccion con flaring de CAM9</v>
      </c>
      <c r="P32" t="s">
        <v>9</v>
      </c>
      <c r="Q32" t="s">
        <v>42</v>
      </c>
    </row>
    <row r="33" spans="4:17" x14ac:dyDescent="0.25">
      <c r="D33" t="str">
        <v>MIN-CAM10</v>
      </c>
      <c r="E33" t="str">
        <v>Mina de reservas de fluidos de CAM10</v>
      </c>
      <c r="F33" t="s">
        <v>9</v>
      </c>
      <c r="G33" t="s">
        <v>42</v>
      </c>
      <c r="N33" t="str">
        <v>PROF-CAM10</v>
      </c>
      <c r="O33" t="str">
        <v>Produccion con flaring de CAM10</v>
      </c>
      <c r="P33" t="s">
        <v>9</v>
      </c>
      <c r="Q33" t="s">
        <v>42</v>
      </c>
    </row>
    <row r="34" spans="4:17" x14ac:dyDescent="0.25">
      <c r="N34" t="str" cm="1">
        <f t="array" ref="N34:N43">+$D$9&amp;"-"&amp;B4:B13</f>
        <v>PROSF-CAM1</v>
      </c>
      <c r="O34" t="str" cm="1">
        <f t="array" ref="O34:O43">+"Produccion sin flaring de "&amp;$B$4:$B$13</f>
        <v>Produccion sin flaring de CAM1</v>
      </c>
      <c r="P34" t="s">
        <v>9</v>
      </c>
      <c r="Q34" t="s">
        <v>42</v>
      </c>
    </row>
    <row r="35" spans="4:17" x14ac:dyDescent="0.25">
      <c r="N35" t="str">
        <v>PROSF-CAM2</v>
      </c>
      <c r="O35" t="str">
        <v>Produccion sin flaring de CAM2</v>
      </c>
      <c r="P35" t="s">
        <v>9</v>
      </c>
      <c r="Q35" t="s">
        <v>42</v>
      </c>
    </row>
    <row r="36" spans="4:17" x14ac:dyDescent="0.25">
      <c r="N36" t="str">
        <v>PROSF-CAM3</v>
      </c>
      <c r="O36" t="str">
        <v>Produccion sin flaring de CAM3</v>
      </c>
      <c r="P36" t="s">
        <v>9</v>
      </c>
      <c r="Q36" t="s">
        <v>42</v>
      </c>
    </row>
    <row r="37" spans="4:17" x14ac:dyDescent="0.25">
      <c r="N37" t="str">
        <v>PROSF-CAM4</v>
      </c>
      <c r="O37" t="str">
        <v>Produccion sin flaring de CAM4</v>
      </c>
      <c r="P37" t="s">
        <v>9</v>
      </c>
      <c r="Q37" t="s">
        <v>42</v>
      </c>
    </row>
    <row r="38" spans="4:17" x14ac:dyDescent="0.25">
      <c r="N38" t="str">
        <v>PROSF-CAM5</v>
      </c>
      <c r="O38" t="str">
        <v>Produccion sin flaring de CAM5</v>
      </c>
      <c r="P38" t="s">
        <v>9</v>
      </c>
      <c r="Q38" t="s">
        <v>42</v>
      </c>
    </row>
    <row r="39" spans="4:17" x14ac:dyDescent="0.25">
      <c r="N39" t="str">
        <v>PROSF-CAM6</v>
      </c>
      <c r="O39" t="str">
        <v>Produccion sin flaring de CAM6</v>
      </c>
      <c r="P39" t="s">
        <v>9</v>
      </c>
      <c r="Q39" t="s">
        <v>42</v>
      </c>
    </row>
    <row r="40" spans="4:17" x14ac:dyDescent="0.25">
      <c r="N40" t="str">
        <v>PROSF-CAM7</v>
      </c>
      <c r="O40" t="str">
        <v>Produccion sin flaring de CAM7</v>
      </c>
      <c r="P40" t="s">
        <v>9</v>
      </c>
      <c r="Q40" t="s">
        <v>42</v>
      </c>
    </row>
    <row r="41" spans="4:17" x14ac:dyDescent="0.25">
      <c r="N41" t="str">
        <v>PROSF-CAM8</v>
      </c>
      <c r="O41" t="str">
        <v>Produccion sin flaring de CAM8</v>
      </c>
      <c r="P41" t="s">
        <v>9</v>
      </c>
      <c r="Q41" t="s">
        <v>42</v>
      </c>
    </row>
    <row r="42" spans="4:17" x14ac:dyDescent="0.25">
      <c r="N42" t="str">
        <v>PROSF-CAM9</v>
      </c>
      <c r="O42" t="str">
        <v>Produccion sin flaring de CAM9</v>
      </c>
      <c r="P42" t="s">
        <v>9</v>
      </c>
      <c r="Q42" t="s">
        <v>42</v>
      </c>
    </row>
    <row r="43" spans="4:17" x14ac:dyDescent="0.25">
      <c r="N43" t="str">
        <v>PROSF-CAM10</v>
      </c>
      <c r="O43" t="str">
        <v>Produccion sin flaring de CAM10</v>
      </c>
      <c r="P43" t="s">
        <v>9</v>
      </c>
      <c r="Q43" t="s">
        <v>42</v>
      </c>
    </row>
    <row r="44" spans="4:17" x14ac:dyDescent="0.25">
      <c r="N44" t="str" cm="1">
        <f t="array" ref="N44:N53">+$D$6&amp;"-"&amp;B4:B13</f>
        <v>COL-CAM1</v>
      </c>
      <c r="O44" t="str" cm="1">
        <f t="array" ref="O44:O53">+"Colectores de "&amp;B4:B13</f>
        <v>Colectores de CAM1</v>
      </c>
      <c r="P44" t="s">
        <v>9</v>
      </c>
      <c r="Q44" t="s">
        <v>42</v>
      </c>
    </row>
    <row r="45" spans="4:17" x14ac:dyDescent="0.25">
      <c r="N45" t="str">
        <v>COL-CAM2</v>
      </c>
      <c r="O45" t="str">
        <v>Colectores de CAM2</v>
      </c>
      <c r="P45" t="s">
        <v>9</v>
      </c>
      <c r="Q45" t="s">
        <v>42</v>
      </c>
    </row>
    <row r="46" spans="4:17" x14ac:dyDescent="0.25">
      <c r="N46" t="str">
        <v>COL-CAM3</v>
      </c>
      <c r="O46" t="str">
        <v>Colectores de CAM3</v>
      </c>
      <c r="P46" t="s">
        <v>9</v>
      </c>
      <c r="Q46" t="s">
        <v>42</v>
      </c>
    </row>
    <row r="47" spans="4:17" x14ac:dyDescent="0.25">
      <c r="N47" t="str">
        <v>COL-CAM4</v>
      </c>
      <c r="O47" t="str">
        <v>Colectores de CAM4</v>
      </c>
      <c r="P47" t="s">
        <v>9</v>
      </c>
      <c r="Q47" t="s">
        <v>42</v>
      </c>
    </row>
    <row r="48" spans="4:17" x14ac:dyDescent="0.25">
      <c r="N48" t="str">
        <v>COL-CAM5</v>
      </c>
      <c r="O48" t="str">
        <v>Colectores de CAM5</v>
      </c>
      <c r="P48" t="s">
        <v>9</v>
      </c>
      <c r="Q48" t="s">
        <v>42</v>
      </c>
    </row>
    <row r="49" spans="14:17" x14ac:dyDescent="0.25">
      <c r="N49" t="str">
        <v>COL-CAM6</v>
      </c>
      <c r="O49" t="str">
        <v>Colectores de CAM6</v>
      </c>
      <c r="P49" t="s">
        <v>9</v>
      </c>
      <c r="Q49" t="s">
        <v>42</v>
      </c>
    </row>
    <row r="50" spans="14:17" x14ac:dyDescent="0.25">
      <c r="N50" t="str">
        <v>COL-CAM7</v>
      </c>
      <c r="O50" t="str">
        <v>Colectores de CAM7</v>
      </c>
      <c r="P50" t="s">
        <v>9</v>
      </c>
      <c r="Q50" t="s">
        <v>42</v>
      </c>
    </row>
    <row r="51" spans="14:17" x14ac:dyDescent="0.25">
      <c r="N51" t="str">
        <v>COL-CAM8</v>
      </c>
      <c r="O51" t="str">
        <v>Colectores de CAM8</v>
      </c>
      <c r="P51" t="s">
        <v>9</v>
      </c>
      <c r="Q51" t="s">
        <v>42</v>
      </c>
    </row>
    <row r="52" spans="14:17" x14ac:dyDescent="0.25">
      <c r="N52" t="str">
        <v>COL-CAM9</v>
      </c>
      <c r="O52" t="str">
        <v>Colectores de CAM9</v>
      </c>
      <c r="P52" t="s">
        <v>9</v>
      </c>
      <c r="Q52" t="s">
        <v>42</v>
      </c>
    </row>
    <row r="53" spans="14:17" x14ac:dyDescent="0.25">
      <c r="N53" t="str">
        <v>COL-CAM10</v>
      </c>
      <c r="O53" t="str">
        <v>Colectores de CAM10</v>
      </c>
      <c r="P53" t="s">
        <v>9</v>
      </c>
      <c r="Q53" t="s">
        <v>42</v>
      </c>
    </row>
    <row r="54" spans="14:17" x14ac:dyDescent="0.25">
      <c r="N54" t="str" cm="1">
        <f t="array" ref="N54:N63">+$D$8&amp;"-"&amp;$B$4:$B$13</f>
        <v>AUTO-G-CAM1</v>
      </c>
      <c r="O54" t="str" cm="1">
        <f t="array" ref="O54:O63">+"Autogeneracion con gas natural de "&amp;$B$4:$B$13</f>
        <v>Autogeneracion con gas natural de CAM1</v>
      </c>
      <c r="P54" t="s">
        <v>9</v>
      </c>
      <c r="Q54" t="s">
        <v>42</v>
      </c>
    </row>
    <row r="55" spans="14:17" x14ac:dyDescent="0.25">
      <c r="N55" t="str">
        <v>AUTO-G-CAM2</v>
      </c>
      <c r="O55" t="str">
        <v>Autogeneracion con gas natural de CAM2</v>
      </c>
      <c r="P55" t="s">
        <v>9</v>
      </c>
      <c r="Q55" t="s">
        <v>42</v>
      </c>
    </row>
    <row r="56" spans="14:17" x14ac:dyDescent="0.25">
      <c r="N56" t="str">
        <v>AUTO-G-CAM3</v>
      </c>
      <c r="O56" t="str">
        <v>Autogeneracion con gas natural de CAM3</v>
      </c>
      <c r="P56" t="s">
        <v>9</v>
      </c>
      <c r="Q56" t="s">
        <v>42</v>
      </c>
    </row>
    <row r="57" spans="14:17" x14ac:dyDescent="0.25">
      <c r="N57" t="str">
        <v>AUTO-G-CAM4</v>
      </c>
      <c r="O57" t="str">
        <v>Autogeneracion con gas natural de CAM4</v>
      </c>
      <c r="P57" t="s">
        <v>9</v>
      </c>
      <c r="Q57" t="s">
        <v>42</v>
      </c>
    </row>
    <row r="58" spans="14:17" x14ac:dyDescent="0.25">
      <c r="N58" t="str">
        <v>AUTO-G-CAM5</v>
      </c>
      <c r="O58" t="str">
        <v>Autogeneracion con gas natural de CAM5</v>
      </c>
      <c r="P58" t="s">
        <v>9</v>
      </c>
      <c r="Q58" t="s">
        <v>42</v>
      </c>
    </row>
    <row r="59" spans="14:17" x14ac:dyDescent="0.25">
      <c r="N59" t="str">
        <v>AUTO-G-CAM6</v>
      </c>
      <c r="O59" t="str">
        <v>Autogeneracion con gas natural de CAM6</v>
      </c>
      <c r="P59" t="s">
        <v>9</v>
      </c>
      <c r="Q59" t="s">
        <v>42</v>
      </c>
    </row>
    <row r="60" spans="14:17" x14ac:dyDescent="0.25">
      <c r="N60" t="str">
        <v>AUTO-G-CAM7</v>
      </c>
      <c r="O60" t="str">
        <v>Autogeneracion con gas natural de CAM7</v>
      </c>
      <c r="P60" t="s">
        <v>9</v>
      </c>
      <c r="Q60" t="s">
        <v>42</v>
      </c>
    </row>
    <row r="61" spans="14:17" x14ac:dyDescent="0.25">
      <c r="N61" t="str">
        <v>AUTO-G-CAM8</v>
      </c>
      <c r="O61" t="str">
        <v>Autogeneracion con gas natural de CAM8</v>
      </c>
      <c r="P61" t="s">
        <v>9</v>
      </c>
      <c r="Q61" t="s">
        <v>42</v>
      </c>
    </row>
    <row r="62" spans="14:17" x14ac:dyDescent="0.25">
      <c r="N62" t="str">
        <v>AUTO-G-CAM9</v>
      </c>
      <c r="O62" t="str">
        <v>Autogeneracion con gas natural de CAM9</v>
      </c>
      <c r="P62" t="s">
        <v>9</v>
      </c>
      <c r="Q62" t="s">
        <v>42</v>
      </c>
    </row>
    <row r="63" spans="14:17" x14ac:dyDescent="0.25">
      <c r="N63" t="str">
        <v>AUTO-G-CAM10</v>
      </c>
      <c r="O63" t="str">
        <v>Autogeneracion con gas natural de CAM10</v>
      </c>
      <c r="P63" t="s">
        <v>9</v>
      </c>
      <c r="Q63" t="s">
        <v>42</v>
      </c>
    </row>
    <row r="64" spans="14:17" x14ac:dyDescent="0.25">
      <c r="N64" t="str" cm="1">
        <f t="array" ref="N64:N73">+$D$10&amp;"-"&amp;$B$4:$B$13</f>
        <v>AUTO-O-CAM1</v>
      </c>
      <c r="O64" t="str" cm="1">
        <f t="array" ref="O64:O73">+"Autogeneracion con petroleo de "&amp;$B$4:$B$13</f>
        <v>Autogeneracion con petroleo de CAM1</v>
      </c>
      <c r="P64" t="s">
        <v>9</v>
      </c>
      <c r="Q64" t="s">
        <v>42</v>
      </c>
    </row>
    <row r="65" spans="14:17" x14ac:dyDescent="0.25">
      <c r="N65" t="str">
        <v>AUTO-O-CAM2</v>
      </c>
      <c r="O65" t="str">
        <v>Autogeneracion con petroleo de CAM2</v>
      </c>
      <c r="P65" t="s">
        <v>9</v>
      </c>
      <c r="Q65" t="s">
        <v>42</v>
      </c>
    </row>
    <row r="66" spans="14:17" x14ac:dyDescent="0.25">
      <c r="N66" t="str">
        <v>AUTO-O-CAM3</v>
      </c>
      <c r="O66" t="str">
        <v>Autogeneracion con petroleo de CAM3</v>
      </c>
      <c r="P66" t="s">
        <v>9</v>
      </c>
      <c r="Q66" t="s">
        <v>42</v>
      </c>
    </row>
    <row r="67" spans="14:17" x14ac:dyDescent="0.25">
      <c r="N67" t="str">
        <v>AUTO-O-CAM4</v>
      </c>
      <c r="O67" t="str">
        <v>Autogeneracion con petroleo de CAM4</v>
      </c>
      <c r="P67" t="s">
        <v>9</v>
      </c>
      <c r="Q67" t="s">
        <v>42</v>
      </c>
    </row>
    <row r="68" spans="14:17" x14ac:dyDescent="0.25">
      <c r="N68" t="str">
        <v>AUTO-O-CAM5</v>
      </c>
      <c r="O68" t="str">
        <v>Autogeneracion con petroleo de CAM5</v>
      </c>
      <c r="P68" t="s">
        <v>9</v>
      </c>
      <c r="Q68" t="s">
        <v>42</v>
      </c>
    </row>
    <row r="69" spans="14:17" x14ac:dyDescent="0.25">
      <c r="N69" t="str">
        <v>AUTO-O-CAM6</v>
      </c>
      <c r="O69" t="str">
        <v>Autogeneracion con petroleo de CAM6</v>
      </c>
      <c r="P69" t="s">
        <v>9</v>
      </c>
      <c r="Q69" t="s">
        <v>42</v>
      </c>
    </row>
    <row r="70" spans="14:17" x14ac:dyDescent="0.25">
      <c r="N70" t="str">
        <v>AUTO-O-CAM7</v>
      </c>
      <c r="O70" t="str">
        <v>Autogeneracion con petroleo de CAM7</v>
      </c>
      <c r="P70" t="s">
        <v>9</v>
      </c>
      <c r="Q70" t="s">
        <v>42</v>
      </c>
    </row>
    <row r="71" spans="14:17" x14ac:dyDescent="0.25">
      <c r="N71" t="str">
        <v>AUTO-O-CAM8</v>
      </c>
      <c r="O71" t="str">
        <v>Autogeneracion con petroleo de CAM8</v>
      </c>
      <c r="P71" t="s">
        <v>9</v>
      </c>
      <c r="Q71" t="s">
        <v>42</v>
      </c>
    </row>
    <row r="72" spans="14:17" x14ac:dyDescent="0.25">
      <c r="N72" t="str">
        <v>AUTO-O-CAM9</v>
      </c>
      <c r="O72" t="str">
        <v>Autogeneracion con petroleo de CAM9</v>
      </c>
      <c r="P72" t="s">
        <v>9</v>
      </c>
      <c r="Q72" t="s">
        <v>42</v>
      </c>
    </row>
    <row r="73" spans="14:17" x14ac:dyDescent="0.25">
      <c r="N73" t="str">
        <v>AUTO-O-CAM10</v>
      </c>
      <c r="O73" t="str">
        <v>Autogeneracion con petroleo de CAM10</v>
      </c>
      <c r="P73" t="s">
        <v>9</v>
      </c>
      <c r="Q73" t="s">
        <v>42</v>
      </c>
    </row>
    <row r="74" spans="14:17" x14ac:dyDescent="0.25">
      <c r="N74" t="str" cm="1">
        <f t="array" ref="N74:N79">+"SEP-"&amp;B4:B9</f>
        <v>SEP-CAM1</v>
      </c>
      <c r="O74" t="s">
        <v>947</v>
      </c>
      <c r="P74" t="s">
        <v>9</v>
      </c>
      <c r="Q74" t="s">
        <v>42</v>
      </c>
    </row>
    <row r="75" spans="14:17" x14ac:dyDescent="0.25">
      <c r="N75" t="str">
        <v>SEP-CAM2</v>
      </c>
      <c r="O75" t="s">
        <v>948</v>
      </c>
      <c r="P75" t="s">
        <v>9</v>
      </c>
      <c r="Q75" t="s">
        <v>42</v>
      </c>
    </row>
    <row r="76" spans="14:17" x14ac:dyDescent="0.25">
      <c r="N76" t="str">
        <v>SEP-CAM3</v>
      </c>
      <c r="O76" t="s">
        <v>949</v>
      </c>
      <c r="P76" t="s">
        <v>9</v>
      </c>
      <c r="Q76" t="s">
        <v>42</v>
      </c>
    </row>
    <row r="77" spans="14:17" x14ac:dyDescent="0.25">
      <c r="N77" t="str">
        <v>SEP-CAM4</v>
      </c>
      <c r="O77" t="s">
        <v>950</v>
      </c>
      <c r="P77" t="s">
        <v>9</v>
      </c>
      <c r="Q77" t="s">
        <v>42</v>
      </c>
    </row>
    <row r="78" spans="14:17" x14ac:dyDescent="0.25">
      <c r="N78" t="str">
        <v>SEP-CAM5</v>
      </c>
      <c r="O78" t="s">
        <v>951</v>
      </c>
      <c r="P78" t="s">
        <v>9</v>
      </c>
      <c r="Q78" t="s">
        <v>42</v>
      </c>
    </row>
    <row r="79" spans="14:17" x14ac:dyDescent="0.25">
      <c r="N79" t="str">
        <v>SEP-CAM6</v>
      </c>
      <c r="O79" t="s">
        <v>952</v>
      </c>
      <c r="P79" t="s">
        <v>9</v>
      </c>
      <c r="Q79" t="s">
        <v>42</v>
      </c>
    </row>
    <row r="80" spans="14:17" x14ac:dyDescent="0.25">
      <c r="N80" t="s">
        <v>954</v>
      </c>
      <c r="O80" t="s">
        <v>958</v>
      </c>
      <c r="P80" t="s">
        <v>9</v>
      </c>
      <c r="Q80" t="s">
        <v>42</v>
      </c>
    </row>
    <row r="81" spans="14:17" x14ac:dyDescent="0.25">
      <c r="N81" t="s">
        <v>955</v>
      </c>
      <c r="O81" t="s">
        <v>959</v>
      </c>
      <c r="P81" t="s">
        <v>9</v>
      </c>
      <c r="Q81" t="s">
        <v>42</v>
      </c>
    </row>
    <row r="82" spans="14:17" x14ac:dyDescent="0.25">
      <c r="N82" t="s">
        <v>956</v>
      </c>
      <c r="O82" t="s">
        <v>960</v>
      </c>
      <c r="P82" t="s">
        <v>9</v>
      </c>
      <c r="Q82" t="s">
        <v>42</v>
      </c>
    </row>
    <row r="83" spans="14:17" x14ac:dyDescent="0.25">
      <c r="N83" t="s">
        <v>957</v>
      </c>
      <c r="O83" t="s">
        <v>961</v>
      </c>
      <c r="P83" t="s">
        <v>9</v>
      </c>
      <c r="Q83" t="s">
        <v>42</v>
      </c>
    </row>
    <row r="84" spans="14:17" x14ac:dyDescent="0.25">
      <c r="N84" t="str" cm="1">
        <f t="array" ref="N84:N89">+"PLT-"&amp;B4:B9</f>
        <v>PLT-CAM1</v>
      </c>
      <c r="O84" t="s">
        <v>964</v>
      </c>
      <c r="P84" t="s">
        <v>9</v>
      </c>
      <c r="Q84" t="s">
        <v>42</v>
      </c>
    </row>
    <row r="85" spans="14:17" x14ac:dyDescent="0.25">
      <c r="N85" t="str">
        <v>PLT-CAM2</v>
      </c>
      <c r="O85" t="s">
        <v>965</v>
      </c>
      <c r="P85" t="s">
        <v>9</v>
      </c>
      <c r="Q85" t="s">
        <v>42</v>
      </c>
    </row>
    <row r="86" spans="14:17" x14ac:dyDescent="0.25">
      <c r="N86" t="str">
        <v>PLT-CAM3</v>
      </c>
      <c r="O86" t="s">
        <v>966</v>
      </c>
      <c r="P86" t="s">
        <v>9</v>
      </c>
      <c r="Q86" t="s">
        <v>42</v>
      </c>
    </row>
    <row r="87" spans="14:17" x14ac:dyDescent="0.25">
      <c r="N87" t="str">
        <v>PLT-CAM4</v>
      </c>
      <c r="O87" t="s">
        <v>967</v>
      </c>
      <c r="P87" t="s">
        <v>9</v>
      </c>
      <c r="Q87" t="s">
        <v>42</v>
      </c>
    </row>
    <row r="88" spans="14:17" x14ac:dyDescent="0.25">
      <c r="N88" t="str">
        <v>PLT-CAM5</v>
      </c>
      <c r="O88" t="s">
        <v>968</v>
      </c>
      <c r="P88" t="s">
        <v>9</v>
      </c>
      <c r="Q88" t="s">
        <v>42</v>
      </c>
    </row>
    <row r="89" spans="14:17" x14ac:dyDescent="0.25">
      <c r="N89" t="str">
        <v>PLT-CAM6</v>
      </c>
      <c r="O89" t="s">
        <v>969</v>
      </c>
      <c r="P89" t="s">
        <v>9</v>
      </c>
      <c r="Q89" t="s">
        <v>42</v>
      </c>
    </row>
  </sheetData>
  <mergeCells count="3">
    <mergeCell ref="B18:J18"/>
    <mergeCell ref="L18:T18"/>
    <mergeCell ref="V18:AD18"/>
  </mergeCells>
  <phoneticPr fontId="8"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3B481-B784-44EB-B851-520B7BFBE4D5}">
  <sheetPr>
    <tabColor theme="7" tint="-0.249977111117893"/>
  </sheetPr>
  <dimension ref="B2:AS265"/>
  <sheetViews>
    <sheetView showGridLines="0" topLeftCell="A39" zoomScale="145" zoomScaleNormal="145" workbookViewId="0">
      <selection activeCell="D98" sqref="D98"/>
    </sheetView>
  </sheetViews>
  <sheetFormatPr baseColWidth="10" defaultColWidth="9.140625" defaultRowHeight="12.75" x14ac:dyDescent="0.2"/>
  <cols>
    <col min="1" max="1" width="2.7109375" style="38" customWidth="1"/>
    <col min="2" max="2" width="28.7109375" style="38" customWidth="1"/>
    <col min="3" max="3" width="24.28515625" style="38" customWidth="1"/>
    <col min="4" max="4" width="20.42578125" style="38" customWidth="1"/>
    <col min="5" max="5" width="11.5703125" style="38" customWidth="1"/>
    <col min="6" max="6" width="13.85546875" style="38" customWidth="1"/>
    <col min="7" max="7" width="13.5703125" style="38" customWidth="1"/>
    <col min="8" max="9" width="7.85546875" style="38" customWidth="1"/>
    <col min="10" max="10" width="26.5703125" style="124" customWidth="1"/>
    <col min="11" max="11" width="11.140625" style="124" customWidth="1"/>
    <col min="12" max="12" width="7.85546875" style="124" customWidth="1"/>
    <col min="13" max="13" width="11.42578125" style="124" customWidth="1"/>
    <col min="14" max="14" width="11.140625" style="125" bestFit="1" customWidth="1"/>
    <col min="15" max="15" width="10.42578125" style="38" bestFit="1" customWidth="1"/>
    <col min="16" max="16" width="12.42578125" style="38" bestFit="1" customWidth="1"/>
    <col min="17" max="18" width="9.140625" style="38"/>
    <col min="19" max="19" width="11.85546875" style="38" bestFit="1" customWidth="1"/>
    <col min="20" max="16384" width="9.140625" style="38"/>
  </cols>
  <sheetData>
    <row r="2" spans="2:41" ht="23.25" customHeight="1" x14ac:dyDescent="0.25">
      <c r="B2" s="202"/>
      <c r="F2" s="560" t="s">
        <v>278</v>
      </c>
      <c r="G2" s="561"/>
    </row>
    <row r="3" spans="2:41" ht="15" x14ac:dyDescent="0.25">
      <c r="F3" s="212" t="s">
        <v>404</v>
      </c>
      <c r="G3" s="207" t="s">
        <v>405</v>
      </c>
    </row>
    <row r="4" spans="2:41" ht="15" x14ac:dyDescent="0.25">
      <c r="F4" s="213" t="s">
        <v>460</v>
      </c>
      <c r="G4" s="187" t="s">
        <v>282</v>
      </c>
    </row>
    <row r="5" spans="2:41" ht="15" x14ac:dyDescent="0.25">
      <c r="B5" s="243" t="s">
        <v>247</v>
      </c>
      <c r="C5" s="244" t="s">
        <v>489</v>
      </c>
      <c r="D5" s="244" t="s">
        <v>490</v>
      </c>
      <c r="E5" s="245" t="s">
        <v>491</v>
      </c>
      <c r="F5" s="213" t="s">
        <v>471</v>
      </c>
      <c r="G5" s="187" t="s">
        <v>473</v>
      </c>
    </row>
    <row r="6" spans="2:41" ht="15" x14ac:dyDescent="0.25">
      <c r="B6" s="208" t="s">
        <v>406</v>
      </c>
      <c r="C6" s="227" t="s">
        <v>492</v>
      </c>
      <c r="D6" s="222" t="s">
        <v>503</v>
      </c>
      <c r="E6" s="156" t="s">
        <v>51</v>
      </c>
      <c r="F6" s="214">
        <f>E45</f>
        <v>1.0095573442026637</v>
      </c>
      <c r="G6" s="203">
        <f>F45</f>
        <v>55.539114956987063</v>
      </c>
    </row>
    <row r="7" spans="2:41" ht="15" x14ac:dyDescent="0.25">
      <c r="B7" s="209" t="s">
        <v>407</v>
      </c>
      <c r="C7" s="228" t="s">
        <v>493</v>
      </c>
      <c r="D7" s="562" t="s">
        <v>504</v>
      </c>
      <c r="E7" s="145" t="s">
        <v>52</v>
      </c>
      <c r="F7" s="215">
        <f>E46</f>
        <v>6.0871741676095334</v>
      </c>
      <c r="G7" s="204">
        <f>F46</f>
        <v>77.841777688967127</v>
      </c>
      <c r="J7" s="124">
        <f>IF(E62&lt;$S$49,D44*(100%-$Q$49),D44*(100%-$Q$49))</f>
        <v>0</v>
      </c>
    </row>
    <row r="8" spans="2:41" ht="15" x14ac:dyDescent="0.25">
      <c r="B8" s="210" t="s">
        <v>412</v>
      </c>
      <c r="C8" s="229" t="s">
        <v>494</v>
      </c>
      <c r="D8" s="563"/>
      <c r="E8" s="19" t="s">
        <v>67</v>
      </c>
      <c r="F8" s="220"/>
      <c r="G8" s="218"/>
    </row>
    <row r="9" spans="2:41" ht="15" x14ac:dyDescent="0.25">
      <c r="B9" s="211" t="s">
        <v>408</v>
      </c>
      <c r="C9" s="230" t="s">
        <v>494</v>
      </c>
      <c r="D9" s="564"/>
      <c r="E9" s="153" t="s">
        <v>53</v>
      </c>
      <c r="F9" s="221"/>
      <c r="G9" s="219"/>
    </row>
    <row r="10" spans="2:41" ht="15" x14ac:dyDescent="0.25">
      <c r="B10" s="209" t="s">
        <v>409</v>
      </c>
      <c r="C10" s="228" t="s">
        <v>495</v>
      </c>
      <c r="D10" s="223" t="s">
        <v>505</v>
      </c>
      <c r="E10" s="145" t="s">
        <v>45</v>
      </c>
      <c r="F10" s="215">
        <f t="shared" ref="F10:G16" si="0">E49</f>
        <v>5.3308987344700309</v>
      </c>
      <c r="G10" s="204">
        <f t="shared" si="0"/>
        <v>69.193827140333724</v>
      </c>
    </row>
    <row r="11" spans="2:41" ht="15" x14ac:dyDescent="0.25">
      <c r="B11" s="210" t="s">
        <v>410</v>
      </c>
      <c r="C11" s="229" t="s">
        <v>496</v>
      </c>
      <c r="D11" s="226" t="s">
        <v>506</v>
      </c>
      <c r="E11" s="19" t="s">
        <v>47</v>
      </c>
      <c r="F11" s="216">
        <f t="shared" si="0"/>
        <v>5.6708498400612823</v>
      </c>
      <c r="G11" s="205">
        <f t="shared" si="0"/>
        <v>75.166375708662926</v>
      </c>
      <c r="AK11" s="124"/>
      <c r="AL11" s="124"/>
      <c r="AM11" s="124"/>
      <c r="AN11" s="124"/>
      <c r="AO11" s="125"/>
    </row>
    <row r="12" spans="2:41" ht="15" x14ac:dyDescent="0.25">
      <c r="B12" s="210" t="s">
        <v>87</v>
      </c>
      <c r="C12" s="229" t="s">
        <v>497</v>
      </c>
      <c r="D12" s="226" t="s">
        <v>507</v>
      </c>
      <c r="E12" s="19" t="s">
        <v>48</v>
      </c>
      <c r="F12" s="216">
        <f t="shared" si="0"/>
        <v>4.7117947967516214</v>
      </c>
      <c r="G12" s="205">
        <f t="shared" si="0"/>
        <v>87.735056011523966</v>
      </c>
      <c r="AK12" s="124"/>
      <c r="AL12" s="124"/>
      <c r="AM12" s="124"/>
      <c r="AN12" s="124"/>
      <c r="AO12" s="125"/>
    </row>
    <row r="13" spans="2:41" ht="15" x14ac:dyDescent="0.25">
      <c r="B13" s="210" t="s">
        <v>411</v>
      </c>
      <c r="C13" s="229" t="s">
        <v>498</v>
      </c>
      <c r="D13" s="224" t="s">
        <v>508</v>
      </c>
      <c r="E13" s="19" t="s">
        <v>49</v>
      </c>
      <c r="F13" s="216">
        <f t="shared" si="0"/>
        <v>4.0562660463586173</v>
      </c>
      <c r="G13" s="205">
        <f t="shared" si="0"/>
        <v>47.28933824683137</v>
      </c>
      <c r="AK13" s="124" t="s">
        <v>556</v>
      </c>
      <c r="AL13" s="124">
        <v>450000</v>
      </c>
      <c r="AM13" s="124" t="s">
        <v>557</v>
      </c>
      <c r="AN13" s="124"/>
      <c r="AO13" s="125"/>
    </row>
    <row r="14" spans="2:41" ht="15" x14ac:dyDescent="0.25">
      <c r="B14" s="211" t="s">
        <v>413</v>
      </c>
      <c r="C14" s="230" t="s">
        <v>499</v>
      </c>
      <c r="D14" s="225" t="s">
        <v>509</v>
      </c>
      <c r="E14" s="153" t="s">
        <v>50</v>
      </c>
      <c r="F14" s="217">
        <f t="shared" si="0"/>
        <v>5.4608206169323079</v>
      </c>
      <c r="G14" s="206">
        <f t="shared" si="0"/>
        <v>78.281203343664757</v>
      </c>
      <c r="AK14" s="124"/>
      <c r="AL14" s="124">
        <f>+AL13*365/1000</f>
        <v>164250</v>
      </c>
      <c r="AM14" s="124" t="s">
        <v>558</v>
      </c>
      <c r="AN14" s="124"/>
      <c r="AO14" s="125"/>
    </row>
    <row r="15" spans="2:41" ht="15" x14ac:dyDescent="0.25">
      <c r="B15" s="209" t="s">
        <v>89</v>
      </c>
      <c r="C15" s="228" t="s">
        <v>500</v>
      </c>
      <c r="D15" s="223" t="s">
        <v>510</v>
      </c>
      <c r="E15" s="145" t="s">
        <v>43</v>
      </c>
      <c r="F15" s="215">
        <f t="shared" si="0"/>
        <v>2.9335934898501512</v>
      </c>
      <c r="G15" s="204">
        <f t="shared" si="0"/>
        <v>84.75811612074672</v>
      </c>
      <c r="AK15" s="124"/>
      <c r="AL15" s="273">
        <f>+AL14*F7/1000</f>
        <v>999.81835702986587</v>
      </c>
      <c r="AM15" s="124" t="s">
        <v>9</v>
      </c>
      <c r="AN15" s="124"/>
      <c r="AO15" s="125"/>
    </row>
    <row r="16" spans="2:41" ht="15" x14ac:dyDescent="0.25">
      <c r="B16" s="211" t="s">
        <v>90</v>
      </c>
      <c r="C16" s="230" t="s">
        <v>501</v>
      </c>
      <c r="D16" s="225" t="s">
        <v>511</v>
      </c>
      <c r="E16" s="153" t="s">
        <v>44</v>
      </c>
      <c r="F16" s="217">
        <f t="shared" si="0"/>
        <v>5.274111587340502</v>
      </c>
      <c r="G16" s="206">
        <f t="shared" si="0"/>
        <v>54.806487022879928</v>
      </c>
      <c r="AK16" s="124"/>
      <c r="AL16" s="124"/>
      <c r="AM16" s="124"/>
      <c r="AN16" s="124"/>
      <c r="AO16" s="125"/>
    </row>
    <row r="17" spans="2:45" ht="15" x14ac:dyDescent="0.25">
      <c r="B17" s="209" t="s">
        <v>487</v>
      </c>
      <c r="C17" s="239" t="s">
        <v>502</v>
      </c>
      <c r="D17" s="231" t="s">
        <v>513</v>
      </c>
      <c r="E17" s="232" t="s">
        <v>54</v>
      </c>
      <c r="F17" s="192">
        <f>+F15*C22+F10*(1-C22)</f>
        <v>5.1927630695557223</v>
      </c>
      <c r="G17" s="234">
        <f>+G15*C21+G10*(1-C21)</f>
        <v>70.750256038375028</v>
      </c>
      <c r="AK17" s="124"/>
      <c r="AL17" s="124"/>
      <c r="AM17" s="124"/>
      <c r="AN17" s="124"/>
      <c r="AO17" s="125"/>
    </row>
    <row r="18" spans="2:45" ht="15" x14ac:dyDescent="0.25">
      <c r="B18" s="211" t="s">
        <v>414</v>
      </c>
      <c r="C18" s="238" t="s">
        <v>502</v>
      </c>
      <c r="D18" s="238" t="s">
        <v>513</v>
      </c>
      <c r="E18" s="233" t="s">
        <v>55</v>
      </c>
      <c r="F18" s="195">
        <f>+F16*D22+F11*(1-D22)</f>
        <v>5.6336916725609152</v>
      </c>
      <c r="G18" s="235">
        <f>+G16*C22+G11*(1-C22)</f>
        <v>73.993213981551321</v>
      </c>
      <c r="AK18" s="124" t="s">
        <v>559</v>
      </c>
      <c r="AL18" s="124">
        <v>5119</v>
      </c>
      <c r="AM18" s="124" t="s">
        <v>560</v>
      </c>
      <c r="AN18" s="276">
        <f>+AL18*0.0036</f>
        <v>18.4284</v>
      </c>
      <c r="AO18" s="125" t="s">
        <v>9</v>
      </c>
    </row>
    <row r="19" spans="2:45" x14ac:dyDescent="0.2">
      <c r="B19" s="142" t="s">
        <v>482</v>
      </c>
      <c r="AK19" s="124"/>
      <c r="AL19" s="124">
        <v>2300</v>
      </c>
      <c r="AM19" s="124" t="s">
        <v>560</v>
      </c>
      <c r="AN19" s="276">
        <f t="shared" ref="AN19:AN23" si="1">+AL19*0.0036</f>
        <v>8.2799999999999994</v>
      </c>
      <c r="AO19" s="125" t="s">
        <v>9</v>
      </c>
    </row>
    <row r="20" spans="2:45" ht="10.5" customHeight="1" x14ac:dyDescent="0.2">
      <c r="B20" s="236"/>
      <c r="C20" s="236" t="s">
        <v>89</v>
      </c>
      <c r="D20" s="236" t="s">
        <v>90</v>
      </c>
      <c r="AK20" s="124"/>
      <c r="AL20" s="124">
        <f>+AL19+AL18</f>
        <v>7419</v>
      </c>
      <c r="AM20" s="124" t="s">
        <v>560</v>
      </c>
      <c r="AN20" s="276">
        <f t="shared" si="1"/>
        <v>26.708400000000001</v>
      </c>
      <c r="AO20" s="125" t="s">
        <v>9</v>
      </c>
    </row>
    <row r="21" spans="2:45" ht="10.5" customHeight="1" x14ac:dyDescent="0.2">
      <c r="B21" s="236" t="s">
        <v>486</v>
      </c>
      <c r="C21" s="237">
        <v>0.1</v>
      </c>
      <c r="D21" s="237">
        <v>0.1</v>
      </c>
      <c r="AK21" s="124"/>
      <c r="AL21" s="124"/>
      <c r="AM21" s="124"/>
      <c r="AN21" s="276"/>
      <c r="AO21" s="125"/>
    </row>
    <row r="22" spans="2:45" ht="9.75" customHeight="1" x14ac:dyDescent="0.2">
      <c r="B22" s="166" t="s">
        <v>488</v>
      </c>
      <c r="C22" s="168">
        <f>+C21*F15/(C21*F15+(1-C21)*F10)</f>
        <v>5.7621225008503835E-2</v>
      </c>
      <c r="D22" s="168">
        <f>+D21*F16/(D21*F16+(1-D21)*F11)</f>
        <v>9.3659149944684009E-2</v>
      </c>
      <c r="AK22" s="124" t="s">
        <v>561</v>
      </c>
      <c r="AL22" s="124">
        <v>3031</v>
      </c>
      <c r="AM22" s="124" t="s">
        <v>560</v>
      </c>
      <c r="AN22" s="276">
        <f t="shared" si="1"/>
        <v>10.9116</v>
      </c>
      <c r="AO22" s="125" t="s">
        <v>9</v>
      </c>
    </row>
    <row r="23" spans="2:45" x14ac:dyDescent="0.2">
      <c r="AK23" s="124"/>
      <c r="AL23" s="124">
        <v>1646</v>
      </c>
      <c r="AM23" s="124" t="s">
        <v>560</v>
      </c>
      <c r="AN23" s="276">
        <f t="shared" si="1"/>
        <v>5.9256000000000002</v>
      </c>
      <c r="AO23" s="125" t="s">
        <v>9</v>
      </c>
    </row>
    <row r="24" spans="2:45" x14ac:dyDescent="0.2">
      <c r="B24" s="241" t="s">
        <v>514</v>
      </c>
      <c r="C24" s="158" t="s">
        <v>517</v>
      </c>
      <c r="D24" s="158" t="s">
        <v>517</v>
      </c>
      <c r="E24" s="241" t="s">
        <v>519</v>
      </c>
      <c r="F24" s="246">
        <v>4.7615165047769556</v>
      </c>
      <c r="G24" s="247">
        <f>56337.8123815025/1000</f>
        <v>56.337812381502502</v>
      </c>
      <c r="AK24" s="124"/>
      <c r="AL24" s="124"/>
      <c r="AM24" s="124"/>
      <c r="AN24" s="276">
        <f>+AN22+AN23</f>
        <v>16.837199999999999</v>
      </c>
      <c r="AO24" s="125" t="s">
        <v>9</v>
      </c>
    </row>
    <row r="25" spans="2:45" x14ac:dyDescent="0.2">
      <c r="B25" s="242" t="s">
        <v>515</v>
      </c>
      <c r="C25" s="159" t="s">
        <v>518</v>
      </c>
      <c r="D25" s="159" t="s">
        <v>512</v>
      </c>
      <c r="E25" s="242" t="s">
        <v>516</v>
      </c>
      <c r="F25" s="242">
        <v>4.1867999999999999</v>
      </c>
      <c r="G25" s="240">
        <f>0.0407840415743265*1000</f>
        <v>40.784041574326501</v>
      </c>
      <c r="AK25" s="124"/>
      <c r="AL25" s="124"/>
      <c r="AM25" s="124"/>
      <c r="AN25" s="124"/>
      <c r="AO25" s="125"/>
    </row>
    <row r="26" spans="2:45" x14ac:dyDescent="0.2">
      <c r="AK26" s="124"/>
      <c r="AL26" s="124"/>
      <c r="AM26" s="124"/>
      <c r="AN26" s="124"/>
      <c r="AO26" s="125"/>
    </row>
    <row r="27" spans="2:45" x14ac:dyDescent="0.2">
      <c r="AK27" s="124" t="s">
        <v>562</v>
      </c>
      <c r="AL27" s="277">
        <f>+AN24/AL15</f>
        <v>1.6840258914647084E-2</v>
      </c>
      <c r="AM27" s="124" t="s">
        <v>563</v>
      </c>
      <c r="AN27" s="124"/>
      <c r="AO27" s="125"/>
    </row>
    <row r="28" spans="2:45" ht="15" x14ac:dyDescent="0.25">
      <c r="B28" s="38" t="s">
        <v>537</v>
      </c>
      <c r="E28" s="38" t="s">
        <v>539</v>
      </c>
      <c r="F28" s="190">
        <f>+F15*C32+F10*(1-C32)</f>
        <v>5.1186992628422185</v>
      </c>
      <c r="G28" s="234">
        <f>+G15*C32+G10*(1-C32)</f>
        <v>70.571513150623119</v>
      </c>
      <c r="AK28" s="124"/>
      <c r="AL28" s="124"/>
      <c r="AM28" s="124"/>
      <c r="AN28" s="124"/>
      <c r="AO28" s="125"/>
    </row>
    <row r="29" spans="2:45" ht="15" x14ac:dyDescent="0.25">
      <c r="B29" s="38" t="s">
        <v>538</v>
      </c>
      <c r="E29" s="38" t="s">
        <v>540</v>
      </c>
      <c r="F29" s="195">
        <f>+F16*D32+F11*(1-D32)</f>
        <v>5.6149155493940253</v>
      </c>
      <c r="G29" s="235">
        <f>+G16*D32+G11*(1-D32)</f>
        <v>72.295929201693298</v>
      </c>
      <c r="AK29" s="124"/>
      <c r="AL29" s="124"/>
      <c r="AM29" s="124"/>
      <c r="AN29" s="124"/>
      <c r="AO29" s="125"/>
      <c r="AP29" s="38" t="s">
        <v>567</v>
      </c>
    </row>
    <row r="30" spans="2:45" x14ac:dyDescent="0.2">
      <c r="B30" s="236"/>
      <c r="C30" s="236" t="s">
        <v>89</v>
      </c>
      <c r="D30" s="236" t="s">
        <v>90</v>
      </c>
      <c r="AK30" s="124" t="s">
        <v>564</v>
      </c>
      <c r="AL30" s="275">
        <f>3400/31</f>
        <v>109.6774193548387</v>
      </c>
      <c r="AM30" s="124" t="s">
        <v>565</v>
      </c>
      <c r="AN30" s="278">
        <f>+AL30*$F$6/1000</f>
        <v>0.11072564420287279</v>
      </c>
      <c r="AO30" s="125" t="s">
        <v>9</v>
      </c>
      <c r="AP30" s="279">
        <f>+AN30*$G$6</f>
        <v>6.1496042820697996</v>
      </c>
      <c r="AQ30" s="38" t="s">
        <v>100</v>
      </c>
    </row>
    <row r="31" spans="2:45" x14ac:dyDescent="0.2">
      <c r="B31" s="236" t="s">
        <v>486</v>
      </c>
      <c r="C31" s="237">
        <v>0.15</v>
      </c>
      <c r="D31" s="237">
        <v>0.15</v>
      </c>
      <c r="AK31" s="124"/>
      <c r="AL31" s="275">
        <f>+AL30*365</f>
        <v>40032.258064516129</v>
      </c>
      <c r="AM31" s="124" t="s">
        <v>265</v>
      </c>
      <c r="AN31" s="278">
        <f>+AL31*$F$6/1000</f>
        <v>40.414860134048567</v>
      </c>
      <c r="AO31" s="125" t="s">
        <v>9</v>
      </c>
      <c r="AP31" s="279">
        <f>+AN31*$G$6</f>
        <v>2244.6055629554771</v>
      </c>
      <c r="AQ31" s="38" t="s">
        <v>100</v>
      </c>
      <c r="AR31" s="280">
        <f>+AN31*0.35/0.0036</f>
        <v>3929.2225130324991</v>
      </c>
      <c r="AS31" s="38" t="s">
        <v>560</v>
      </c>
    </row>
    <row r="32" spans="2:45" x14ac:dyDescent="0.2">
      <c r="B32" s="166" t="s">
        <v>488</v>
      </c>
      <c r="C32" s="168">
        <f>+C31*F15/(C31*F15+(1-C31)*F10)</f>
        <v>8.8515833394198815E-2</v>
      </c>
      <c r="D32" s="168">
        <f>+D31*F16/(D31*F16+(1-D31)*F11)</f>
        <v>0.14098537331267513</v>
      </c>
      <c r="AK32" s="124"/>
      <c r="AL32" s="124"/>
      <c r="AM32" s="124"/>
      <c r="AN32" s="124"/>
      <c r="AO32" s="125"/>
      <c r="AP32" s="279"/>
    </row>
    <row r="33" spans="2:43" x14ac:dyDescent="0.2">
      <c r="AK33" s="124"/>
      <c r="AL33" s="124"/>
      <c r="AM33" s="124"/>
      <c r="AN33" s="124"/>
      <c r="AO33" s="125"/>
      <c r="AP33" s="279"/>
    </row>
    <row r="34" spans="2:43" x14ac:dyDescent="0.2">
      <c r="B34" s="38">
        <v>8.9880000000000002E-2</v>
      </c>
      <c r="C34" s="38" t="s">
        <v>650</v>
      </c>
      <c r="AK34" s="124" t="s">
        <v>566</v>
      </c>
      <c r="AL34" s="274">
        <f>825/31</f>
        <v>26.612903225806452</v>
      </c>
      <c r="AM34" s="124" t="s">
        <v>565</v>
      </c>
      <c r="AN34" s="278">
        <f>+AL34*$F$6/1000</f>
        <v>2.6867251902167662E-2</v>
      </c>
      <c r="AO34" s="125" t="s">
        <v>9</v>
      </c>
      <c r="AP34" s="279">
        <f>+AN34*$G$6</f>
        <v>1.4921833919728191</v>
      </c>
      <c r="AQ34" s="38" t="s">
        <v>100</v>
      </c>
    </row>
    <row r="35" spans="2:43" x14ac:dyDescent="0.2">
      <c r="AK35" s="124"/>
      <c r="AL35" s="274">
        <f>+AL34/365</f>
        <v>7.2912063632346438E-2</v>
      </c>
      <c r="AM35" s="124" t="s">
        <v>265</v>
      </c>
      <c r="AN35" s="278">
        <f>+AL35*$F$6/1000</f>
        <v>7.360890932100729E-5</v>
      </c>
      <c r="AO35" s="125" t="s">
        <v>9</v>
      </c>
      <c r="AP35" s="279">
        <f>+AN35*$G$6</f>
        <v>4.0881736766378608E-3</v>
      </c>
      <c r="AQ35" s="38" t="s">
        <v>100</v>
      </c>
    </row>
    <row r="36" spans="2:43" x14ac:dyDescent="0.2">
      <c r="AK36" s="124"/>
      <c r="AL36" s="124"/>
      <c r="AM36" s="124"/>
      <c r="AN36" s="124"/>
      <c r="AO36" s="125"/>
    </row>
    <row r="37" spans="2:43" x14ac:dyDescent="0.2">
      <c r="AK37" s="124"/>
      <c r="AL37" s="124"/>
      <c r="AM37" s="124"/>
      <c r="AN37" s="124"/>
      <c r="AO37" s="125"/>
      <c r="AP37" s="279">
        <f>+AP35+AP31</f>
        <v>2244.6096511291539</v>
      </c>
      <c r="AQ37" s="38" t="s">
        <v>100</v>
      </c>
    </row>
    <row r="38" spans="2:43" x14ac:dyDescent="0.2">
      <c r="AK38" s="124"/>
      <c r="AL38" s="124"/>
      <c r="AM38" s="124"/>
      <c r="AN38" s="124"/>
      <c r="AO38" s="125"/>
    </row>
    <row r="40" spans="2:43" x14ac:dyDescent="0.2">
      <c r="E40" s="199"/>
      <c r="F40" s="200"/>
      <c r="G40" s="169"/>
      <c r="H40" s="158"/>
      <c r="I40" s="158"/>
      <c r="J40" s="170"/>
      <c r="K40" s="170"/>
      <c r="L40" s="170"/>
      <c r="M40" s="170"/>
      <c r="N40" s="171"/>
    </row>
    <row r="41" spans="2:43" ht="15" x14ac:dyDescent="0.25">
      <c r="C41"/>
      <c r="D41"/>
      <c r="E41" s="588" t="s">
        <v>278</v>
      </c>
      <c r="F41" s="589"/>
      <c r="G41" s="588" t="s">
        <v>484</v>
      </c>
      <c r="H41" s="591"/>
      <c r="I41" s="591"/>
      <c r="J41" s="591"/>
      <c r="K41" s="591"/>
      <c r="L41" s="591"/>
      <c r="M41" s="591"/>
      <c r="N41" s="589"/>
    </row>
    <row r="42" spans="2:43" ht="15" x14ac:dyDescent="0.25">
      <c r="B42"/>
      <c r="C42"/>
      <c r="D42"/>
      <c r="E42" s="175" t="s">
        <v>404</v>
      </c>
      <c r="F42" s="186" t="s">
        <v>405</v>
      </c>
      <c r="G42" s="172"/>
      <c r="K42" s="590" t="s">
        <v>331</v>
      </c>
      <c r="L42" s="590"/>
      <c r="M42" s="590"/>
      <c r="N42" s="174"/>
    </row>
    <row r="43" spans="2:43" ht="15" x14ac:dyDescent="0.25">
      <c r="D43" s="20"/>
      <c r="E43" s="175" t="s">
        <v>460</v>
      </c>
      <c r="F43" s="187" t="s">
        <v>282</v>
      </c>
      <c r="G43" s="172"/>
      <c r="K43" s="124">
        <v>1</v>
      </c>
      <c r="L43" s="124">
        <v>28</v>
      </c>
      <c r="M43" s="124">
        <v>265</v>
      </c>
      <c r="N43" s="174"/>
    </row>
    <row r="44" spans="2:43" ht="15" x14ac:dyDescent="0.25">
      <c r="B44" s="121" t="s">
        <v>247</v>
      </c>
      <c r="C44" s="121" t="s">
        <v>403</v>
      </c>
      <c r="D44" s="20"/>
      <c r="E44" s="175" t="s">
        <v>471</v>
      </c>
      <c r="F44" s="187" t="s">
        <v>473</v>
      </c>
      <c r="G44" s="175" t="s">
        <v>471</v>
      </c>
      <c r="I44" s="38" t="s">
        <v>351</v>
      </c>
      <c r="J44" s="176" t="s">
        <v>485</v>
      </c>
      <c r="K44" s="173" t="s">
        <v>399</v>
      </c>
      <c r="L44" s="173" t="s">
        <v>400</v>
      </c>
      <c r="M44" s="173" t="s">
        <v>401</v>
      </c>
      <c r="N44" s="177" t="s">
        <v>472</v>
      </c>
    </row>
    <row r="45" spans="2:43" ht="15" x14ac:dyDescent="0.25">
      <c r="B45" s="102" t="s">
        <v>406</v>
      </c>
      <c r="C45" s="155" t="s">
        <v>465</v>
      </c>
      <c r="D45" s="156" t="s">
        <v>51</v>
      </c>
      <c r="E45" s="188">
        <f>+G111</f>
        <v>1.0095573442026637</v>
      </c>
      <c r="F45" s="189">
        <f>+L111*1000</f>
        <v>55.539114956987063</v>
      </c>
      <c r="G45" s="178">
        <v>1.0095573442026637</v>
      </c>
      <c r="H45" s="161" t="s">
        <v>474</v>
      </c>
      <c r="I45" s="157">
        <f>47.6420911660953*1000</f>
        <v>47642.091166095299</v>
      </c>
      <c r="J45" s="165" t="s">
        <v>483</v>
      </c>
      <c r="K45" s="124">
        <v>55539.086900000002</v>
      </c>
      <c r="L45" s="124">
        <v>1</v>
      </c>
      <c r="M45" s="124">
        <v>0.1</v>
      </c>
      <c r="N45" s="179">
        <f>+SUMPRODUCT($K$43:$M$43,K45:M45)/1000</f>
        <v>55.593586900000005</v>
      </c>
    </row>
    <row r="46" spans="2:43" ht="15" x14ac:dyDescent="0.25">
      <c r="B46" s="143" t="s">
        <v>407</v>
      </c>
      <c r="C46" s="144" t="s">
        <v>464</v>
      </c>
      <c r="D46" s="145" t="s">
        <v>52</v>
      </c>
      <c r="E46" s="579">
        <f>+G114</f>
        <v>6.0871741676095334</v>
      </c>
      <c r="F46" s="582">
        <f>+L114*1000</f>
        <v>77.841777688967127</v>
      </c>
      <c r="G46" s="573">
        <v>6.0871741676095334</v>
      </c>
      <c r="H46" s="576" t="s">
        <v>474</v>
      </c>
      <c r="I46" s="576">
        <v>40670.462586675276</v>
      </c>
      <c r="J46" s="585" t="s">
        <v>480</v>
      </c>
      <c r="K46" s="124">
        <v>77841.778000000006</v>
      </c>
      <c r="L46" s="124">
        <v>3</v>
      </c>
      <c r="M46" s="124">
        <v>0.6</v>
      </c>
      <c r="N46" s="179">
        <f>+SUMPRODUCT($K$43:$M$43,K46:M46)/1000</f>
        <v>78.084778</v>
      </c>
    </row>
    <row r="47" spans="2:43" ht="15" x14ac:dyDescent="0.25">
      <c r="B47" s="148" t="s">
        <v>412</v>
      </c>
      <c r="C47" t="s">
        <v>464</v>
      </c>
      <c r="D47" s="19" t="s">
        <v>67</v>
      </c>
      <c r="E47" s="580"/>
      <c r="F47" s="583"/>
      <c r="G47" s="574"/>
      <c r="H47" s="577"/>
      <c r="I47" s="577"/>
      <c r="J47" s="586"/>
      <c r="N47" s="179"/>
    </row>
    <row r="48" spans="2:43" ht="15" x14ac:dyDescent="0.25">
      <c r="B48" s="151" t="s">
        <v>408</v>
      </c>
      <c r="C48" s="152" t="s">
        <v>464</v>
      </c>
      <c r="D48" s="153" t="s">
        <v>53</v>
      </c>
      <c r="E48" s="581"/>
      <c r="F48" s="584"/>
      <c r="G48" s="575"/>
      <c r="H48" s="578"/>
      <c r="I48" s="578"/>
      <c r="J48" s="587"/>
      <c r="N48" s="179"/>
    </row>
    <row r="49" spans="2:14" ht="15" x14ac:dyDescent="0.25">
      <c r="B49" s="143" t="s">
        <v>409</v>
      </c>
      <c r="C49" s="144" t="s">
        <v>463</v>
      </c>
      <c r="D49" s="145" t="s">
        <v>45</v>
      </c>
      <c r="E49" s="190">
        <f>+G134</f>
        <v>5.3308987344700309</v>
      </c>
      <c r="F49" s="191">
        <f>+L134*1000</f>
        <v>69.193827140333724</v>
      </c>
      <c r="G49" s="180">
        <v>5.336650070123496</v>
      </c>
      <c r="H49" s="162" t="s">
        <v>474</v>
      </c>
      <c r="I49" s="158">
        <v>45329.53267685703</v>
      </c>
      <c r="J49" s="147" t="s">
        <v>478</v>
      </c>
      <c r="K49" s="124">
        <v>69323.686000000002</v>
      </c>
      <c r="L49" s="124">
        <v>3</v>
      </c>
      <c r="M49" s="124">
        <v>0.6</v>
      </c>
      <c r="N49" s="179">
        <f t="shared" ref="N49:N55" si="2">+SUMPRODUCT($K$43:$M$43,K49:M49)/1000</f>
        <v>69.566686000000004</v>
      </c>
    </row>
    <row r="50" spans="2:14" ht="15" x14ac:dyDescent="0.25">
      <c r="B50" s="148" t="s">
        <v>410</v>
      </c>
      <c r="C50" t="s">
        <v>462</v>
      </c>
      <c r="D50" s="19" t="s">
        <v>47</v>
      </c>
      <c r="E50" s="192">
        <f>+G128</f>
        <v>5.6708498400612823</v>
      </c>
      <c r="F50" s="193">
        <f>+L128*1000</f>
        <v>75.166375708662926</v>
      </c>
      <c r="G50" s="181">
        <v>5.7452112402404705</v>
      </c>
      <c r="H50" s="163" t="s">
        <v>475</v>
      </c>
      <c r="I50" s="38">
        <v>42418.466233751533</v>
      </c>
      <c r="J50" s="150" t="s">
        <v>479</v>
      </c>
      <c r="K50" s="124">
        <v>74193.482999999993</v>
      </c>
      <c r="L50" s="124">
        <v>1</v>
      </c>
      <c r="M50" s="124">
        <v>0.6</v>
      </c>
      <c r="N50" s="179">
        <f t="shared" si="2"/>
        <v>74.380482999999998</v>
      </c>
    </row>
    <row r="51" spans="2:14" ht="15" x14ac:dyDescent="0.25">
      <c r="B51" s="148" t="s">
        <v>87</v>
      </c>
      <c r="C51" t="s">
        <v>461</v>
      </c>
      <c r="D51" s="19" t="s">
        <v>48</v>
      </c>
      <c r="E51" s="194">
        <f>+G136</f>
        <v>4.7117947967516214</v>
      </c>
      <c r="F51" s="193">
        <f>+L136*1000</f>
        <v>87.735056011523966</v>
      </c>
      <c r="G51" s="181">
        <v>4.672084636568222</v>
      </c>
      <c r="H51" s="163" t="s">
        <v>475</v>
      </c>
      <c r="I51" s="38">
        <v>35576.910585045494</v>
      </c>
      <c r="J51" s="150" t="s">
        <v>359</v>
      </c>
      <c r="K51" s="124">
        <v>88461.130999999994</v>
      </c>
      <c r="L51" s="124">
        <v>3</v>
      </c>
      <c r="M51" s="124">
        <v>0.6</v>
      </c>
      <c r="N51" s="179">
        <f t="shared" si="2"/>
        <v>88.70413099999999</v>
      </c>
    </row>
    <row r="52" spans="2:14" ht="15" x14ac:dyDescent="0.25">
      <c r="B52" s="148" t="s">
        <v>411</v>
      </c>
      <c r="C52" t="s">
        <v>467</v>
      </c>
      <c r="D52" s="19" t="s">
        <v>49</v>
      </c>
      <c r="E52" s="192">
        <f>+G133</f>
        <v>4.0562660463586173</v>
      </c>
      <c r="F52" s="193">
        <f>+L133*1000</f>
        <v>47.28933824683137</v>
      </c>
      <c r="G52" s="181">
        <v>4.0562660463586173</v>
      </c>
      <c r="H52" s="163" t="s">
        <v>474</v>
      </c>
      <c r="I52" s="38">
        <v>45989.410956446904</v>
      </c>
      <c r="J52" s="150" t="s">
        <v>481</v>
      </c>
      <c r="K52" s="124">
        <v>67185.115000000005</v>
      </c>
      <c r="L52" s="124">
        <v>1</v>
      </c>
      <c r="M52" s="124">
        <v>0.1</v>
      </c>
      <c r="N52" s="179">
        <f t="shared" si="2"/>
        <v>67.239615000000001</v>
      </c>
    </row>
    <row r="53" spans="2:14" ht="15" x14ac:dyDescent="0.25">
      <c r="B53" s="148" t="s">
        <v>413</v>
      </c>
      <c r="C53" t="s">
        <v>466</v>
      </c>
      <c r="D53" s="19" t="s">
        <v>50</v>
      </c>
      <c r="E53" s="192">
        <f>+G131</f>
        <v>5.4608206169323079</v>
      </c>
      <c r="F53" s="193">
        <f>+L131*1000</f>
        <v>78.281203343664757</v>
      </c>
      <c r="G53" s="181">
        <v>5.4608206169323079</v>
      </c>
      <c r="H53" s="163" t="s">
        <v>474</v>
      </c>
      <c r="I53" s="38">
        <v>40442.162000000004</v>
      </c>
      <c r="J53" s="150" t="s">
        <v>476</v>
      </c>
      <c r="K53" s="124">
        <v>78281.202999999994</v>
      </c>
      <c r="L53" s="124">
        <v>3</v>
      </c>
      <c r="M53" s="124">
        <v>0.6</v>
      </c>
      <c r="N53" s="179">
        <f t="shared" si="2"/>
        <v>78.524203</v>
      </c>
    </row>
    <row r="54" spans="2:14" ht="15" x14ac:dyDescent="0.25">
      <c r="B54" s="143" t="s">
        <v>89</v>
      </c>
      <c r="C54" s="144" t="s">
        <v>468</v>
      </c>
      <c r="D54" s="145" t="s">
        <v>43</v>
      </c>
      <c r="E54" s="190">
        <f>+G124</f>
        <v>2.9335934898501512</v>
      </c>
      <c r="F54" s="191">
        <f>+L124*1000</f>
        <v>84.75811612074672</v>
      </c>
      <c r="G54" s="180">
        <v>2.9335934898501512</v>
      </c>
      <c r="H54" s="162" t="s">
        <v>474</v>
      </c>
      <c r="I54" s="158">
        <v>22480.19962297516</v>
      </c>
      <c r="J54" s="147" t="s">
        <v>402</v>
      </c>
      <c r="K54" s="124">
        <v>84758.115999999995</v>
      </c>
      <c r="L54" s="124">
        <v>3</v>
      </c>
      <c r="M54" s="124">
        <v>0.6</v>
      </c>
      <c r="N54" s="179">
        <f t="shared" si="2"/>
        <v>85.001115999999996</v>
      </c>
    </row>
    <row r="55" spans="2:14" ht="15" x14ac:dyDescent="0.25">
      <c r="B55" s="151" t="s">
        <v>90</v>
      </c>
      <c r="C55" s="152" t="s">
        <v>469</v>
      </c>
      <c r="D55" s="153" t="s">
        <v>44</v>
      </c>
      <c r="E55" s="195">
        <f>+G125</f>
        <v>5.274111587340502</v>
      </c>
      <c r="F55" s="196">
        <f>+L125*1000</f>
        <v>54.806487022879928</v>
      </c>
      <c r="G55" s="182">
        <v>5.274111587340502</v>
      </c>
      <c r="H55" s="164" t="s">
        <v>474</v>
      </c>
      <c r="I55" s="159">
        <v>37907.854789510107</v>
      </c>
      <c r="J55" s="154" t="s">
        <v>477</v>
      </c>
      <c r="K55" s="124">
        <v>54806.487000000001</v>
      </c>
      <c r="L55" s="124">
        <v>3</v>
      </c>
      <c r="M55" s="124">
        <v>0.6</v>
      </c>
      <c r="N55" s="179">
        <f t="shared" si="2"/>
        <v>55.049486999999999</v>
      </c>
    </row>
    <row r="56" spans="2:14" ht="15" x14ac:dyDescent="0.25">
      <c r="B56" t="s">
        <v>487</v>
      </c>
      <c r="C56" t="s">
        <v>470</v>
      </c>
      <c r="D56" s="68" t="s">
        <v>54</v>
      </c>
      <c r="E56" s="192">
        <f>+E54*C61+E49*(1-C61)</f>
        <v>5.1927630695557223</v>
      </c>
      <c r="F56" s="197">
        <f>+F54*D60+F49*(1-D60)</f>
        <v>70.750256038375028</v>
      </c>
      <c r="G56" s="201">
        <v>4.7913520938098202</v>
      </c>
      <c r="H56" s="146" t="s">
        <v>475</v>
      </c>
      <c r="I56" s="146">
        <v>40659.333347540545</v>
      </c>
      <c r="J56" s="147" t="s">
        <v>367</v>
      </c>
      <c r="N56" s="174"/>
    </row>
    <row r="57" spans="2:14" ht="15" x14ac:dyDescent="0.25">
      <c r="B57" t="s">
        <v>414</v>
      </c>
      <c r="C57" t="s">
        <v>470</v>
      </c>
      <c r="D57" s="68" t="s">
        <v>55</v>
      </c>
      <c r="E57" s="195">
        <f>+E55*D61+E50*(1-D61)</f>
        <v>5.6336916725609152</v>
      </c>
      <c r="F57" s="198">
        <f>+F55*D61+F50*(1-D61)</f>
        <v>73.259485841384091</v>
      </c>
      <c r="G57" s="183"/>
      <c r="H57" s="159"/>
      <c r="I57" s="159"/>
      <c r="J57" s="160"/>
      <c r="K57" s="184"/>
      <c r="L57" s="184"/>
      <c r="M57" s="184"/>
      <c r="N57" s="185"/>
    </row>
    <row r="58" spans="2:14" x14ac:dyDescent="0.2">
      <c r="B58" s="142" t="s">
        <v>482</v>
      </c>
    </row>
    <row r="59" spans="2:14" x14ac:dyDescent="0.2">
      <c r="B59" s="166"/>
      <c r="C59" s="166" t="s">
        <v>89</v>
      </c>
      <c r="D59" s="166" t="s">
        <v>90</v>
      </c>
    </row>
    <row r="60" spans="2:14" x14ac:dyDescent="0.2">
      <c r="B60" s="166" t="s">
        <v>486</v>
      </c>
      <c r="C60" s="167">
        <v>0.1</v>
      </c>
      <c r="D60" s="167">
        <v>0.1</v>
      </c>
    </row>
    <row r="61" spans="2:14" x14ac:dyDescent="0.2">
      <c r="B61" s="166" t="s">
        <v>488</v>
      </c>
      <c r="C61" s="168">
        <f>+C60*E54/(C60*E54+(1-C60)*E49)</f>
        <v>5.7621225008503835E-2</v>
      </c>
      <c r="D61" s="168">
        <f>+D60*E55/(D60*E55+(1-D60)*E50)</f>
        <v>9.3659149944684009E-2</v>
      </c>
    </row>
    <row r="97" spans="2:23" x14ac:dyDescent="0.2">
      <c r="D97" s="456"/>
    </row>
    <row r="98" spans="2:23" ht="15" x14ac:dyDescent="0.25">
      <c r="N98" s="1">
        <v>24843</v>
      </c>
      <c r="O98" s="1" t="s">
        <v>703</v>
      </c>
    </row>
    <row r="99" spans="2:23" x14ac:dyDescent="0.2">
      <c r="K99" s="124" t="s">
        <v>702</v>
      </c>
      <c r="N99" s="125">
        <f>+N98*12000</f>
        <v>298116000</v>
      </c>
      <c r="O99" s="38" t="s">
        <v>453</v>
      </c>
    </row>
    <row r="100" spans="2:23" x14ac:dyDescent="0.2">
      <c r="H100" s="38" t="s">
        <v>704</v>
      </c>
      <c r="I100" s="38">
        <f>27934768*1000</f>
        <v>27934768000</v>
      </c>
      <c r="J100" s="124" t="s">
        <v>701</v>
      </c>
      <c r="N100" s="125">
        <f>+N99/(1000000000)</f>
        <v>0.29811599999999999</v>
      </c>
      <c r="O100" s="38" t="s">
        <v>255</v>
      </c>
    </row>
    <row r="101" spans="2:23" x14ac:dyDescent="0.2">
      <c r="I101" s="38">
        <f>+I100*1000</f>
        <v>27934768000000</v>
      </c>
      <c r="J101" s="124" t="s">
        <v>453</v>
      </c>
      <c r="N101" s="125">
        <f>+N100*G109/J109</f>
        <v>0.31452907449600004</v>
      </c>
      <c r="O101" s="38" t="s">
        <v>252</v>
      </c>
    </row>
    <row r="102" spans="2:23" ht="15" x14ac:dyDescent="0.25">
      <c r="B102" s="123" t="s">
        <v>415</v>
      </c>
      <c r="I102" s="38">
        <f>+I101/(1000000000)</f>
        <v>27934.768</v>
      </c>
      <c r="J102" s="124" t="s">
        <v>255</v>
      </c>
      <c r="N102" s="125">
        <f>+N101/1000</f>
        <v>3.1452907449600005E-4</v>
      </c>
      <c r="O102" s="38" t="s">
        <v>9</v>
      </c>
    </row>
    <row r="103" spans="2:23" x14ac:dyDescent="0.2">
      <c r="I103" s="38">
        <f>+I102*G109/J109</f>
        <v>29472.744587008008</v>
      </c>
      <c r="J103" s="124" t="s">
        <v>252</v>
      </c>
      <c r="P103" s="38">
        <v>186633</v>
      </c>
    </row>
    <row r="104" spans="2:23" x14ac:dyDescent="0.2">
      <c r="B104" s="126" t="s">
        <v>416</v>
      </c>
      <c r="D104" s="127"/>
      <c r="E104" s="127"/>
      <c r="F104" s="128"/>
      <c r="I104" s="38">
        <f>+I103/1000</f>
        <v>29.472744587008009</v>
      </c>
      <c r="J104" s="124" t="s">
        <v>9</v>
      </c>
      <c r="P104" s="129">
        <f>+P103/G134</f>
        <v>35009.668968801758</v>
      </c>
      <c r="W104" s="130">
        <v>947817100000</v>
      </c>
    </row>
    <row r="105" spans="2:23" x14ac:dyDescent="0.2">
      <c r="D105" s="131"/>
      <c r="E105" s="131"/>
      <c r="F105" s="132"/>
      <c r="P105" s="38">
        <f>+P104*1000</f>
        <v>35009668.968801759</v>
      </c>
      <c r="W105" s="38">
        <f>+W104/1000000000</f>
        <v>947.81709999999998</v>
      </c>
    </row>
    <row r="106" spans="2:23" x14ac:dyDescent="0.2">
      <c r="B106" s="568" t="s">
        <v>245</v>
      </c>
      <c r="C106" s="569"/>
      <c r="D106" s="569"/>
      <c r="E106" s="569"/>
      <c r="F106" s="569"/>
      <c r="G106" s="569"/>
      <c r="H106" s="569"/>
      <c r="I106" s="569"/>
      <c r="J106" s="569"/>
      <c r="K106" s="569"/>
      <c r="L106" s="570"/>
      <c r="M106" s="133"/>
      <c r="N106" s="133"/>
      <c r="P106" s="38">
        <f>+P105/42</f>
        <v>833563.54687623237</v>
      </c>
    </row>
    <row r="107" spans="2:23" ht="12.75" customHeight="1" x14ac:dyDescent="0.2">
      <c r="B107" s="76" t="s">
        <v>246</v>
      </c>
      <c r="C107" s="77" t="s">
        <v>247</v>
      </c>
      <c r="D107" s="565" t="s">
        <v>248</v>
      </c>
      <c r="E107" s="566"/>
      <c r="F107" s="566"/>
      <c r="G107" s="566"/>
      <c r="H107" s="566"/>
      <c r="I107" s="566"/>
      <c r="J107" s="567"/>
      <c r="K107" s="80" t="s">
        <v>249</v>
      </c>
      <c r="L107" s="81"/>
      <c r="M107" s="134"/>
      <c r="N107" s="134"/>
    </row>
    <row r="108" spans="2:23" ht="24" x14ac:dyDescent="0.2">
      <c r="B108" s="76"/>
      <c r="C108" s="76"/>
      <c r="D108" s="82" t="s">
        <v>250</v>
      </c>
      <c r="E108" s="82" t="s">
        <v>250</v>
      </c>
      <c r="F108" s="82" t="s">
        <v>251</v>
      </c>
      <c r="G108" s="82" t="s">
        <v>252</v>
      </c>
      <c r="H108" s="82" t="s">
        <v>253</v>
      </c>
      <c r="I108" s="82" t="s">
        <v>254</v>
      </c>
      <c r="J108" s="82" t="s">
        <v>255</v>
      </c>
      <c r="K108" s="82" t="s">
        <v>256</v>
      </c>
      <c r="L108" s="82" t="s">
        <v>257</v>
      </c>
      <c r="M108" s="134"/>
      <c r="N108" s="134"/>
      <c r="S108" s="38" t="s">
        <v>417</v>
      </c>
      <c r="T108" s="38" t="s">
        <v>418</v>
      </c>
    </row>
    <row r="109" spans="2:23" x14ac:dyDescent="0.2">
      <c r="B109" s="83" t="s">
        <v>258</v>
      </c>
      <c r="C109" s="84" t="s">
        <v>259</v>
      </c>
      <c r="D109" s="85" t="s">
        <v>260</v>
      </c>
      <c r="E109" s="85">
        <v>1</v>
      </c>
      <c r="F109" s="86">
        <f>G109/4.1868</f>
        <v>3.5212923829401559</v>
      </c>
      <c r="G109" s="86">
        <f>G203</f>
        <v>14.742946948893843</v>
      </c>
      <c r="H109" s="86">
        <f t="shared" ref="H109:H120" si="3">F109*4.1868/3.6</f>
        <v>4.0952630413594004</v>
      </c>
      <c r="I109" s="86">
        <f t="shared" ref="I109:I120" si="4">F109*0.1</f>
        <v>0.3521292382940156</v>
      </c>
      <c r="J109" s="86">
        <f t="shared" ref="J109:J115" si="5">H109*$H$151/$H$150</f>
        <v>13.973615570068167</v>
      </c>
      <c r="K109" s="87">
        <f>G109*L109</f>
        <v>1.6649168293688128</v>
      </c>
      <c r="L109" s="87">
        <f>L203/1000000</f>
        <v>0.11292971718206792</v>
      </c>
      <c r="M109" s="86" t="s">
        <v>419</v>
      </c>
      <c r="N109" s="86" t="s">
        <v>420</v>
      </c>
      <c r="O109" s="435">
        <f>+G109/J109</f>
        <v>1.0550560000000002</v>
      </c>
      <c r="R109" s="83" t="s">
        <v>258</v>
      </c>
      <c r="S109" s="38">
        <f>N203</f>
        <v>750</v>
      </c>
      <c r="T109" s="38">
        <v>1240</v>
      </c>
    </row>
    <row r="110" spans="2:23" x14ac:dyDescent="0.2">
      <c r="B110" s="88" t="s">
        <v>261</v>
      </c>
      <c r="C110" s="89" t="s">
        <v>262</v>
      </c>
      <c r="D110" s="90" t="s">
        <v>260</v>
      </c>
      <c r="E110" s="90">
        <v>1</v>
      </c>
      <c r="F110" s="91">
        <f t="shared" ref="F110:F120" si="6">G110/4.1868</f>
        <v>6.8692647535293689</v>
      </c>
      <c r="G110" s="91">
        <f>G192</f>
        <v>28.760237670076762</v>
      </c>
      <c r="H110" s="91">
        <f t="shared" si="3"/>
        <v>7.988954908354656</v>
      </c>
      <c r="I110" s="91">
        <f t="shared" si="4"/>
        <v>0.68692647535293694</v>
      </c>
      <c r="J110" s="91">
        <f t="shared" si="5"/>
        <v>27.25944184012674</v>
      </c>
      <c r="K110" s="92">
        <f>G110*L110</f>
        <v>2.5348128434012014</v>
      </c>
      <c r="L110" s="92">
        <f>L192/1000000</f>
        <v>8.8136018640712299E-2</v>
      </c>
      <c r="M110" s="91" t="s">
        <v>419</v>
      </c>
      <c r="N110" s="91" t="s">
        <v>421</v>
      </c>
      <c r="R110" s="88" t="s">
        <v>261</v>
      </c>
      <c r="S110" s="38">
        <f>N192</f>
        <v>25</v>
      </c>
      <c r="T110" s="38">
        <v>465</v>
      </c>
    </row>
    <row r="111" spans="2:23" x14ac:dyDescent="0.2">
      <c r="B111" s="83" t="s">
        <v>263</v>
      </c>
      <c r="C111" s="84" t="s">
        <v>264</v>
      </c>
      <c r="D111" s="85" t="s">
        <v>265</v>
      </c>
      <c r="E111" s="85">
        <v>1</v>
      </c>
      <c r="F111" s="86">
        <f t="shared" si="6"/>
        <v>0.24112862907295876</v>
      </c>
      <c r="G111" s="86">
        <f>G166</f>
        <v>1.0095573442026637</v>
      </c>
      <c r="H111" s="86">
        <f t="shared" si="3"/>
        <v>0.28043259561185102</v>
      </c>
      <c r="I111" s="86">
        <f t="shared" si="4"/>
        <v>2.4112862907295876E-2</v>
      </c>
      <c r="J111" s="86">
        <f t="shared" si="5"/>
        <v>0.95687560110805836</v>
      </c>
      <c r="K111" s="87">
        <f t="shared" ref="K111:K120" si="7">G111*L111</f>
        <v>5.6069921395342302E-2</v>
      </c>
      <c r="L111" s="87">
        <f>L166/1000000</f>
        <v>5.5539114956987067E-2</v>
      </c>
      <c r="M111" s="86" t="s">
        <v>419</v>
      </c>
      <c r="N111" s="86" t="s">
        <v>421</v>
      </c>
      <c r="O111" s="38" t="s">
        <v>422</v>
      </c>
      <c r="P111" s="129">
        <f>H111*1000000/H143</f>
        <v>9.9033845712759661</v>
      </c>
      <c r="Q111" s="129"/>
      <c r="R111" s="83" t="s">
        <v>263</v>
      </c>
      <c r="S111" s="38">
        <f>N166</f>
        <v>25</v>
      </c>
      <c r="T111" s="38">
        <v>31</v>
      </c>
    </row>
    <row r="112" spans="2:23" x14ac:dyDescent="0.2">
      <c r="B112" s="88" t="s">
        <v>266</v>
      </c>
      <c r="C112" s="89" t="s">
        <v>267</v>
      </c>
      <c r="D112" s="90" t="s">
        <v>253</v>
      </c>
      <c r="E112" s="90">
        <v>1</v>
      </c>
      <c r="F112" s="91">
        <f t="shared" si="6"/>
        <v>0.85984522785898543</v>
      </c>
      <c r="G112" s="91">
        <v>3.6</v>
      </c>
      <c r="H112" s="91">
        <f t="shared" si="3"/>
        <v>1</v>
      </c>
      <c r="I112" s="91">
        <f t="shared" si="4"/>
        <v>8.5984522785898548E-2</v>
      </c>
      <c r="J112" s="91">
        <f t="shared" si="5"/>
        <v>3.4121411564883757</v>
      </c>
      <c r="K112" s="92">
        <f t="shared" si="7"/>
        <v>0</v>
      </c>
      <c r="L112" s="92"/>
      <c r="M112" s="91" t="s">
        <v>419</v>
      </c>
      <c r="N112" s="91" t="s">
        <v>420</v>
      </c>
      <c r="R112" s="88" t="s">
        <v>266</v>
      </c>
      <c r="S112" s="38">
        <v>0</v>
      </c>
      <c r="T112" s="38">
        <v>0</v>
      </c>
    </row>
    <row r="113" spans="2:20" x14ac:dyDescent="0.2">
      <c r="B113" s="83" t="s">
        <v>268</v>
      </c>
      <c r="C113" s="84" t="s">
        <v>269</v>
      </c>
      <c r="D113" s="85" t="s">
        <v>260</v>
      </c>
      <c r="E113" s="85">
        <v>1</v>
      </c>
      <c r="F113" s="86">
        <f t="shared" si="6"/>
        <v>4.0588160682184977</v>
      </c>
      <c r="G113" s="86">
        <f>G210</f>
        <v>16.993451114417205</v>
      </c>
      <c r="H113" s="86">
        <f t="shared" si="3"/>
        <v>4.720403087338112</v>
      </c>
      <c r="I113" s="86">
        <f t="shared" si="4"/>
        <v>0.40588160682184982</v>
      </c>
      <c r="J113" s="86">
        <f t="shared" si="5"/>
        <v>16.106681649521164</v>
      </c>
      <c r="K113" s="87">
        <f t="shared" si="7"/>
        <v>1.5213374066407455</v>
      </c>
      <c r="L113" s="87">
        <f>L210/1000000</f>
        <v>8.9524923242345178E-2</v>
      </c>
      <c r="M113" s="86" t="s">
        <v>419</v>
      </c>
      <c r="N113" s="86" t="s">
        <v>420</v>
      </c>
      <c r="R113" s="83" t="s">
        <v>268</v>
      </c>
      <c r="S113" s="38">
        <f>N210</f>
        <v>750</v>
      </c>
      <c r="T113" s="38">
        <v>1240</v>
      </c>
    </row>
    <row r="114" spans="2:20" x14ac:dyDescent="0.2">
      <c r="B114" s="88" t="s">
        <v>270</v>
      </c>
      <c r="C114" s="89" t="s">
        <v>271</v>
      </c>
      <c r="D114" s="90" t="s">
        <v>272</v>
      </c>
      <c r="E114" s="90">
        <v>1</v>
      </c>
      <c r="F114" s="91">
        <f t="shared" si="6"/>
        <v>1.4538965719904302</v>
      </c>
      <c r="G114" s="91">
        <f>I177</f>
        <v>6.0871741676095334</v>
      </c>
      <c r="H114" s="91">
        <f t="shared" si="3"/>
        <v>1.6908817132248701</v>
      </c>
      <c r="I114" s="91">
        <f t="shared" si="4"/>
        <v>0.14538965719904304</v>
      </c>
      <c r="J114" s="91">
        <f t="shared" si="5"/>
        <v>5.7695270844481543</v>
      </c>
      <c r="K114" s="92">
        <f t="shared" si="7"/>
        <v>0.47383645830908488</v>
      </c>
      <c r="L114" s="92">
        <f>L177/1000000</f>
        <v>7.7841777688967134E-2</v>
      </c>
      <c r="M114" s="91" t="s">
        <v>419</v>
      </c>
      <c r="N114" s="91" t="s">
        <v>421</v>
      </c>
      <c r="R114" s="88" t="s">
        <v>270</v>
      </c>
      <c r="S114" s="38">
        <v>75</v>
      </c>
      <c r="T114" s="38">
        <v>186</v>
      </c>
    </row>
    <row r="115" spans="2:20" x14ac:dyDescent="0.2">
      <c r="B115" s="83" t="s">
        <v>274</v>
      </c>
      <c r="C115" s="84" t="s">
        <v>275</v>
      </c>
      <c r="D115" s="85" t="s">
        <v>252</v>
      </c>
      <c r="E115" s="85">
        <v>1</v>
      </c>
      <c r="F115" s="86">
        <f t="shared" si="6"/>
        <v>0.23884589662749595</v>
      </c>
      <c r="G115" s="86">
        <v>1</v>
      </c>
      <c r="H115" s="86">
        <f t="shared" si="3"/>
        <v>0.27777777777777779</v>
      </c>
      <c r="I115" s="86">
        <f t="shared" si="4"/>
        <v>2.3884589662749596E-2</v>
      </c>
      <c r="J115" s="86">
        <f t="shared" si="5"/>
        <v>0.94781698791343771</v>
      </c>
      <c r="K115" s="87">
        <f t="shared" si="7"/>
        <v>0</v>
      </c>
      <c r="L115" s="87"/>
      <c r="M115" s="86" t="s">
        <v>419</v>
      </c>
      <c r="N115" s="86" t="s">
        <v>420</v>
      </c>
      <c r="R115" s="83" t="s">
        <v>274</v>
      </c>
      <c r="S115" s="38">
        <f>N212</f>
        <v>750</v>
      </c>
      <c r="T115" s="38">
        <v>0.31</v>
      </c>
    </row>
    <row r="116" spans="2:20" x14ac:dyDescent="0.2">
      <c r="B116" s="93" t="s">
        <v>276</v>
      </c>
      <c r="C116" s="94"/>
      <c r="D116" s="95" t="str">
        <f>D117</f>
        <v>kTon</v>
      </c>
      <c r="E116" s="95">
        <f>AVERAGE(E117:E119)</f>
        <v>1</v>
      </c>
      <c r="F116" s="96">
        <f t="shared" ref="F116:L116" si="8">AVERAGE(F117:F119)</f>
        <v>4.275596997028372</v>
      </c>
      <c r="G116" s="96">
        <f t="shared" si="8"/>
        <v>17.901069507158386</v>
      </c>
      <c r="H116" s="96">
        <f t="shared" si="8"/>
        <v>4.9725193075439966</v>
      </c>
      <c r="I116" s="96">
        <f t="shared" si="8"/>
        <v>0.42755969970283725</v>
      </c>
      <c r="J116" s="96">
        <f t="shared" si="8"/>
        <v>16.966937780703947</v>
      </c>
      <c r="K116" s="97">
        <f t="shared" si="8"/>
        <v>1.8279689577448019</v>
      </c>
      <c r="L116" s="97">
        <f t="shared" si="8"/>
        <v>0.10252143505231959</v>
      </c>
      <c r="M116" s="135"/>
      <c r="N116" s="135"/>
      <c r="R116" s="93" t="s">
        <v>276</v>
      </c>
      <c r="S116" s="38">
        <v>750</v>
      </c>
      <c r="T116" s="38">
        <v>1240</v>
      </c>
    </row>
    <row r="117" spans="2:20" x14ac:dyDescent="0.2">
      <c r="B117" s="98"/>
      <c r="C117" s="99" t="s">
        <v>277</v>
      </c>
      <c r="D117" s="90" t="s">
        <v>260</v>
      </c>
      <c r="E117" s="90">
        <v>1</v>
      </c>
      <c r="F117" s="91">
        <f t="shared" si="6"/>
        <v>5.0673787049521417</v>
      </c>
      <c r="G117" s="91">
        <f>AVERAGE(G208:G209)</f>
        <v>21.216101161893626</v>
      </c>
      <c r="H117" s="91">
        <f>F117*4.1868/3.6</f>
        <v>5.8933614338593401</v>
      </c>
      <c r="I117" s="91">
        <f>F117*0.1</f>
        <v>0.50673787049521424</v>
      </c>
      <c r="J117" s="91">
        <f>H117*$H$151/$H$150</f>
        <v>20.108981098532801</v>
      </c>
      <c r="K117" s="92">
        <f t="shared" si="7"/>
        <v>2.069501849101949</v>
      </c>
      <c r="L117" s="92">
        <f>AVERAGE(L208:L209)/1000000</f>
        <v>9.7543928232157684E-2</v>
      </c>
      <c r="M117" s="91" t="s">
        <v>419</v>
      </c>
      <c r="N117" s="91" t="s">
        <v>420</v>
      </c>
      <c r="R117" s="98"/>
    </row>
    <row r="118" spans="2:20" x14ac:dyDescent="0.2">
      <c r="B118" s="100"/>
      <c r="C118" s="101" t="s">
        <v>279</v>
      </c>
      <c r="D118" s="85" t="s">
        <v>260</v>
      </c>
      <c r="E118" s="85">
        <v>1</v>
      </c>
      <c r="F118" s="86">
        <f t="shared" si="6"/>
        <v>3.5714481871268098</v>
      </c>
      <c r="G118" s="86">
        <f>G207</f>
        <v>14.952939269862526</v>
      </c>
      <c r="H118" s="86">
        <f>F118*4.1868/3.6</f>
        <v>4.153594241628479</v>
      </c>
      <c r="I118" s="86">
        <f>F118*0.1</f>
        <v>0.357144818712681</v>
      </c>
      <c r="J118" s="86">
        <f>H118*$H$151/$H$150</f>
        <v>14.172649859213658</v>
      </c>
      <c r="K118" s="87">
        <f t="shared" si="7"/>
        <v>1.5532506057099089</v>
      </c>
      <c r="L118" s="87">
        <f>L207/1000000</f>
        <v>0.10387593888249565</v>
      </c>
      <c r="M118" s="86" t="s">
        <v>419</v>
      </c>
      <c r="N118" s="86" t="s">
        <v>420</v>
      </c>
      <c r="R118" s="100"/>
    </row>
    <row r="119" spans="2:20" x14ac:dyDescent="0.2">
      <c r="B119" s="98"/>
      <c r="C119" s="99" t="s">
        <v>281</v>
      </c>
      <c r="D119" s="90" t="s">
        <v>260</v>
      </c>
      <c r="E119" s="90">
        <v>1</v>
      </c>
      <c r="F119" s="91">
        <f t="shared" si="6"/>
        <v>4.1879640990061651</v>
      </c>
      <c r="G119" s="91">
        <f>AVERAGE(G205:G206)</f>
        <v>17.53416808971901</v>
      </c>
      <c r="H119" s="91">
        <f>F119*4.1868/3.6</f>
        <v>4.870602247144169</v>
      </c>
      <c r="I119" s="91">
        <f>F119*0.1</f>
        <v>0.41879640990061651</v>
      </c>
      <c r="J119" s="91">
        <f>H119*$H$151/$H$150</f>
        <v>16.619182384365388</v>
      </c>
      <c r="K119" s="92">
        <f t="shared" si="7"/>
        <v>1.8611544184225481</v>
      </c>
      <c r="L119" s="92">
        <f>AVERAGE(L205:L206)/1000000</f>
        <v>0.10614443804230542</v>
      </c>
      <c r="M119" s="91" t="s">
        <v>419</v>
      </c>
      <c r="N119" s="91" t="s">
        <v>420</v>
      </c>
      <c r="R119" s="98"/>
    </row>
    <row r="120" spans="2:20" x14ac:dyDescent="0.2">
      <c r="B120" s="83" t="s">
        <v>283</v>
      </c>
      <c r="C120" s="84" t="s">
        <v>284</v>
      </c>
      <c r="D120" s="85" t="s">
        <v>253</v>
      </c>
      <c r="E120" s="85">
        <v>1</v>
      </c>
      <c r="F120" s="86">
        <f t="shared" si="6"/>
        <v>0.85984522785898543</v>
      </c>
      <c r="G120" s="86">
        <v>3.6</v>
      </c>
      <c r="H120" s="86">
        <f t="shared" si="3"/>
        <v>1</v>
      </c>
      <c r="I120" s="86">
        <f t="shared" si="4"/>
        <v>8.5984522785898548E-2</v>
      </c>
      <c r="J120" s="86">
        <f>H120*$H$151/$H$150</f>
        <v>3.4121411564883757</v>
      </c>
      <c r="K120" s="87">
        <f t="shared" si="7"/>
        <v>0</v>
      </c>
      <c r="L120" s="87"/>
      <c r="M120" s="86" t="s">
        <v>419</v>
      </c>
      <c r="N120" s="86" t="s">
        <v>420</v>
      </c>
      <c r="R120" s="83" t="s">
        <v>283</v>
      </c>
      <c r="S120" s="38">
        <v>750</v>
      </c>
      <c r="T120" s="38">
        <v>1240</v>
      </c>
    </row>
    <row r="121" spans="2:20" x14ac:dyDescent="0.2">
      <c r="B121" s="88" t="s">
        <v>285</v>
      </c>
      <c r="C121" s="89" t="s">
        <v>286</v>
      </c>
      <c r="D121" s="90" t="s">
        <v>287</v>
      </c>
      <c r="E121" s="90">
        <f>E132</f>
        <v>1</v>
      </c>
      <c r="F121" s="91">
        <f t="shared" ref="F121:L121" si="9">F132</f>
        <v>1</v>
      </c>
      <c r="G121" s="91">
        <f t="shared" si="9"/>
        <v>4.1867999999999999</v>
      </c>
      <c r="H121" s="91">
        <f t="shared" si="9"/>
        <v>1.163</v>
      </c>
      <c r="I121" s="91">
        <f t="shared" si="9"/>
        <v>0.1</v>
      </c>
      <c r="J121" s="91">
        <f t="shared" si="9"/>
        <v>3.9683201649959812</v>
      </c>
      <c r="K121" s="92">
        <f t="shared" si="9"/>
        <v>0.17075462526339016</v>
      </c>
      <c r="L121" s="92">
        <f t="shared" si="9"/>
        <v>4.0784041574326496E-2</v>
      </c>
      <c r="M121" s="91" t="s">
        <v>419</v>
      </c>
      <c r="N121" s="91" t="s">
        <v>420</v>
      </c>
      <c r="R121" s="88" t="s">
        <v>285</v>
      </c>
      <c r="S121" s="38">
        <v>0</v>
      </c>
      <c r="T121" s="38">
        <v>0</v>
      </c>
    </row>
    <row r="122" spans="2:20" x14ac:dyDescent="0.2">
      <c r="B122" s="83" t="s">
        <v>288</v>
      </c>
      <c r="C122" s="84" t="s">
        <v>289</v>
      </c>
      <c r="D122" s="85" t="s">
        <v>287</v>
      </c>
      <c r="E122" s="85">
        <f>E132</f>
        <v>1</v>
      </c>
      <c r="F122" s="86">
        <f t="shared" ref="F122:L122" si="10">F132</f>
        <v>1</v>
      </c>
      <c r="G122" s="86">
        <f t="shared" si="10"/>
        <v>4.1867999999999999</v>
      </c>
      <c r="H122" s="86">
        <f t="shared" si="10"/>
        <v>1.163</v>
      </c>
      <c r="I122" s="86">
        <f t="shared" si="10"/>
        <v>0.1</v>
      </c>
      <c r="J122" s="86">
        <f t="shared" si="10"/>
        <v>3.9683201649959812</v>
      </c>
      <c r="K122" s="87">
        <f t="shared" si="10"/>
        <v>0.17075462526339016</v>
      </c>
      <c r="L122" s="87">
        <f t="shared" si="10"/>
        <v>4.0784041574326496E-2</v>
      </c>
      <c r="M122" s="86" t="s">
        <v>419</v>
      </c>
      <c r="N122" s="86" t="s">
        <v>420</v>
      </c>
      <c r="R122" s="83" t="s">
        <v>288</v>
      </c>
      <c r="S122" s="38">
        <v>0</v>
      </c>
      <c r="T122" s="38">
        <v>0</v>
      </c>
    </row>
    <row r="123" spans="2:20" x14ac:dyDescent="0.2">
      <c r="B123" s="568" t="s">
        <v>290</v>
      </c>
      <c r="C123" s="569"/>
      <c r="D123" s="569"/>
      <c r="E123" s="569"/>
      <c r="F123" s="569"/>
      <c r="G123" s="569"/>
      <c r="H123" s="569"/>
      <c r="I123" s="569"/>
      <c r="J123" s="569"/>
      <c r="K123" s="569"/>
      <c r="L123" s="570"/>
      <c r="M123" s="136"/>
      <c r="N123" s="136"/>
      <c r="P123" s="38" t="s">
        <v>423</v>
      </c>
    </row>
    <row r="124" spans="2:20" x14ac:dyDescent="0.2">
      <c r="B124" s="83" t="s">
        <v>291</v>
      </c>
      <c r="C124" s="84" t="s">
        <v>292</v>
      </c>
      <c r="D124" s="85" t="s">
        <v>272</v>
      </c>
      <c r="E124" s="85">
        <v>1</v>
      </c>
      <c r="F124" s="86">
        <f>G124/4.1868</f>
        <v>0.70067676742384433</v>
      </c>
      <c r="G124" s="86">
        <f>I182</f>
        <v>2.9335934898501512</v>
      </c>
      <c r="H124" s="86">
        <f t="shared" ref="H124:H136" si="11">F124*4.1868/3.6</f>
        <v>0.81488708051393088</v>
      </c>
      <c r="I124" s="86">
        <f t="shared" ref="I124:I136" si="12">F124*0.1</f>
        <v>7.0067676742384441E-2</v>
      </c>
      <c r="J124" s="86">
        <f t="shared" ref="J124:J134" si="13">H124*$H$151/$H$150</f>
        <v>2.7805097453122407</v>
      </c>
      <c r="K124" s="87">
        <f>G124*L124</f>
        <v>0.24864585766378575</v>
      </c>
      <c r="L124" s="87">
        <f>L182/1000000</f>
        <v>8.4758116120746727E-2</v>
      </c>
      <c r="M124" s="86" t="s">
        <v>424</v>
      </c>
      <c r="N124" s="86" t="s">
        <v>420</v>
      </c>
      <c r="R124" s="83" t="s">
        <v>291</v>
      </c>
      <c r="S124" s="38">
        <v>75</v>
      </c>
      <c r="T124" s="38">
        <v>186</v>
      </c>
    </row>
    <row r="125" spans="2:20" x14ac:dyDescent="0.2">
      <c r="B125" s="88" t="s">
        <v>293</v>
      </c>
      <c r="C125" s="89" t="s">
        <v>294</v>
      </c>
      <c r="D125" s="90" t="s">
        <v>272</v>
      </c>
      <c r="E125" s="90">
        <v>1</v>
      </c>
      <c r="F125" s="91">
        <f t="shared" ref="F125:F136" si="14">G125/4.1868</f>
        <v>1.2596999109918081</v>
      </c>
      <c r="G125" s="91">
        <f>I181</f>
        <v>5.274111587340502</v>
      </c>
      <c r="H125" s="91">
        <f t="shared" si="11"/>
        <v>1.4650309964834727</v>
      </c>
      <c r="I125" s="91">
        <f t="shared" si="12"/>
        <v>0.12596999109918081</v>
      </c>
      <c r="J125" s="91">
        <f t="shared" si="13"/>
        <v>4.9988925586324342</v>
      </c>
      <c r="K125" s="92">
        <f>G125*L125</f>
        <v>0.28905552826879788</v>
      </c>
      <c r="L125" s="92">
        <f>L181/1000000</f>
        <v>5.4806487022879928E-2</v>
      </c>
      <c r="M125" s="91" t="s">
        <v>424</v>
      </c>
      <c r="N125" s="91" t="s">
        <v>420</v>
      </c>
      <c r="R125" s="88" t="s">
        <v>293</v>
      </c>
      <c r="S125" s="38">
        <v>75</v>
      </c>
      <c r="T125" s="38">
        <v>186</v>
      </c>
    </row>
    <row r="126" spans="2:20" x14ac:dyDescent="0.2">
      <c r="B126" s="83" t="s">
        <v>295</v>
      </c>
      <c r="C126" s="84" t="s">
        <v>296</v>
      </c>
      <c r="D126" s="85" t="s">
        <v>260</v>
      </c>
      <c r="E126" s="85">
        <v>1</v>
      </c>
      <c r="F126" s="86">
        <f t="shared" si="14"/>
        <v>6.4989968472341646</v>
      </c>
      <c r="G126" s="86">
        <v>27.21</v>
      </c>
      <c r="H126" s="86">
        <f t="shared" si="11"/>
        <v>7.5583333333333336</v>
      </c>
      <c r="I126" s="86">
        <f t="shared" si="12"/>
        <v>0.64989968472341653</v>
      </c>
      <c r="J126" s="86">
        <f t="shared" si="13"/>
        <v>25.790100241124641</v>
      </c>
      <c r="K126" s="87">
        <f t="shared" ref="K126:K136" si="15">G126*L126</f>
        <v>2.4359731614242124</v>
      </c>
      <c r="L126" s="87">
        <f>L210/1000000</f>
        <v>8.9524923242345178E-2</v>
      </c>
      <c r="M126" s="86" t="s">
        <v>424</v>
      </c>
      <c r="N126" s="86" t="s">
        <v>420</v>
      </c>
      <c r="R126" s="83" t="s">
        <v>295</v>
      </c>
      <c r="S126" s="125">
        <v>750</v>
      </c>
      <c r="T126" s="38">
        <v>1240</v>
      </c>
    </row>
    <row r="127" spans="2:20" x14ac:dyDescent="0.2">
      <c r="B127" s="88" t="s">
        <v>297</v>
      </c>
      <c r="C127" s="89" t="s">
        <v>298</v>
      </c>
      <c r="D127" s="90" t="s">
        <v>260</v>
      </c>
      <c r="E127" s="90">
        <v>1</v>
      </c>
      <c r="F127" s="91">
        <f>G127/4.1868</f>
        <v>4.8008025222126687</v>
      </c>
      <c r="G127" s="91">
        <v>20.100000000000001</v>
      </c>
      <c r="H127" s="91">
        <f t="shared" si="11"/>
        <v>5.5833333333333339</v>
      </c>
      <c r="I127" s="91">
        <f t="shared" si="12"/>
        <v>0.48008025222126688</v>
      </c>
      <c r="J127" s="91">
        <f t="shared" si="13"/>
        <v>19.051121457060102</v>
      </c>
      <c r="K127" s="92">
        <f t="shared" si="15"/>
        <v>1.7715339746783174</v>
      </c>
      <c r="L127" s="92">
        <f>L192/1000000</f>
        <v>8.8136018640712299E-2</v>
      </c>
      <c r="M127" s="91" t="s">
        <v>424</v>
      </c>
      <c r="N127" s="91" t="s">
        <v>421</v>
      </c>
      <c r="R127" s="88" t="s">
        <v>297</v>
      </c>
      <c r="S127" s="38">
        <v>25</v>
      </c>
      <c r="T127" s="38">
        <v>465</v>
      </c>
    </row>
    <row r="128" spans="2:20" x14ac:dyDescent="0.2">
      <c r="B128" s="83" t="s">
        <v>299</v>
      </c>
      <c r="C128" s="84" t="s">
        <v>300</v>
      </c>
      <c r="D128" s="85" t="s">
        <v>272</v>
      </c>
      <c r="E128" s="85">
        <v>1</v>
      </c>
      <c r="F128" s="86">
        <f t="shared" si="14"/>
        <v>1.3544592146893291</v>
      </c>
      <c r="G128" s="86">
        <f>I189</f>
        <v>5.6708498400612823</v>
      </c>
      <c r="H128" s="86">
        <f t="shared" si="11"/>
        <v>1.5752360666836895</v>
      </c>
      <c r="I128" s="86">
        <f t="shared" si="12"/>
        <v>0.13544592146893292</v>
      </c>
      <c r="J128" s="86">
        <f t="shared" si="13"/>
        <v>5.3749278143162851</v>
      </c>
      <c r="K128" s="87">
        <f t="shared" si="15"/>
        <v>0.42625722966545743</v>
      </c>
      <c r="L128" s="87">
        <f>L189/1000000</f>
        <v>7.5166375708662928E-2</v>
      </c>
      <c r="M128" s="86" t="s">
        <v>424</v>
      </c>
      <c r="N128" s="86" t="s">
        <v>421</v>
      </c>
      <c r="O128" s="38" t="s">
        <v>425</v>
      </c>
      <c r="P128" s="129">
        <f>H128/42000*1000000</f>
        <v>37.50562063532594</v>
      </c>
      <c r="Q128" s="129">
        <f>P128*0.3</f>
        <v>11.251686190597782</v>
      </c>
      <c r="R128" s="83" t="s">
        <v>299</v>
      </c>
      <c r="S128" s="38">
        <v>75</v>
      </c>
      <c r="T128" s="38">
        <v>186</v>
      </c>
    </row>
    <row r="129" spans="2:20" x14ac:dyDescent="0.2">
      <c r="B129" s="88" t="s">
        <v>301</v>
      </c>
      <c r="C129" s="89" t="s">
        <v>302</v>
      </c>
      <c r="D129" s="90" t="s">
        <v>253</v>
      </c>
      <c r="E129" s="90">
        <v>1</v>
      </c>
      <c r="F129" s="91">
        <f t="shared" si="14"/>
        <v>0.85984522785898543</v>
      </c>
      <c r="G129" s="91">
        <v>3.6</v>
      </c>
      <c r="H129" s="91">
        <f t="shared" si="11"/>
        <v>1</v>
      </c>
      <c r="I129" s="91">
        <f t="shared" si="12"/>
        <v>8.5984522785898548E-2</v>
      </c>
      <c r="J129" s="91">
        <f t="shared" si="13"/>
        <v>3.4121411564883757</v>
      </c>
      <c r="K129" s="92">
        <f t="shared" si="15"/>
        <v>0</v>
      </c>
      <c r="L129" s="92"/>
      <c r="M129" s="91" t="s">
        <v>424</v>
      </c>
      <c r="N129" s="91"/>
      <c r="R129" s="88" t="s">
        <v>301</v>
      </c>
      <c r="S129" s="38">
        <f>('Bases de Cálculo'!N166*0.6+'Bases de Cálculo'!N203*0.2+'Bases de Cálculo'!N192*0.2)</f>
        <v>170</v>
      </c>
      <c r="T129" s="38">
        <f>('Bases de Cálculo'!P166*0.6+'Bases de Cálculo'!P203*0.2+'Bases de Cálculo'!P192*0.2)</f>
        <v>359.6</v>
      </c>
    </row>
    <row r="130" spans="2:20" x14ac:dyDescent="0.2">
      <c r="B130" s="83" t="s">
        <v>303</v>
      </c>
      <c r="C130" s="84" t="s">
        <v>304</v>
      </c>
      <c r="D130" s="85" t="s">
        <v>253</v>
      </c>
      <c r="E130" s="85">
        <v>1</v>
      </c>
      <c r="F130" s="86">
        <f t="shared" si="14"/>
        <v>0.85984522785898543</v>
      </c>
      <c r="G130" s="86">
        <v>3.6</v>
      </c>
      <c r="H130" s="86">
        <f t="shared" si="11"/>
        <v>1</v>
      </c>
      <c r="I130" s="86">
        <f t="shared" si="12"/>
        <v>8.5984522785898548E-2</v>
      </c>
      <c r="J130" s="86">
        <f t="shared" si="13"/>
        <v>3.4121411564883757</v>
      </c>
      <c r="K130" s="87">
        <f t="shared" si="15"/>
        <v>0</v>
      </c>
      <c r="L130" s="87"/>
      <c r="M130" s="86" t="s">
        <v>424</v>
      </c>
      <c r="N130" s="86"/>
      <c r="R130" s="83" t="s">
        <v>303</v>
      </c>
      <c r="S130" s="38">
        <v>0</v>
      </c>
      <c r="T130" s="38">
        <v>0</v>
      </c>
    </row>
    <row r="131" spans="2:20" x14ac:dyDescent="0.2">
      <c r="B131" s="88" t="s">
        <v>305</v>
      </c>
      <c r="C131" s="89" t="s">
        <v>306</v>
      </c>
      <c r="D131" s="90" t="s">
        <v>272</v>
      </c>
      <c r="E131" s="90">
        <v>1</v>
      </c>
      <c r="F131" s="91">
        <f t="shared" si="14"/>
        <v>1.3042945965731128</v>
      </c>
      <c r="G131" s="91">
        <f>I183</f>
        <v>5.4608206169323079</v>
      </c>
      <c r="H131" s="91">
        <f t="shared" si="11"/>
        <v>1.51689461581453</v>
      </c>
      <c r="I131" s="91">
        <f t="shared" si="12"/>
        <v>0.13042945965731129</v>
      </c>
      <c r="J131" s="91">
        <f t="shared" si="13"/>
        <v>5.1758585486763815</v>
      </c>
      <c r="K131" s="92">
        <f t="shared" si="15"/>
        <v>0.42747960913735483</v>
      </c>
      <c r="L131" s="92">
        <f>L183/1000000</f>
        <v>7.8281203343664757E-2</v>
      </c>
      <c r="M131" s="91" t="s">
        <v>424</v>
      </c>
      <c r="N131" s="91" t="s">
        <v>421</v>
      </c>
      <c r="R131" s="88" t="s">
        <v>305</v>
      </c>
      <c r="S131" s="38">
        <v>75</v>
      </c>
      <c r="T131" s="38">
        <v>186</v>
      </c>
    </row>
    <row r="132" spans="2:20" x14ac:dyDescent="0.2">
      <c r="B132" s="83" t="s">
        <v>307</v>
      </c>
      <c r="C132" s="84" t="s">
        <v>308</v>
      </c>
      <c r="D132" s="85" t="s">
        <v>287</v>
      </c>
      <c r="E132" s="85">
        <v>1</v>
      </c>
      <c r="F132" s="86">
        <f t="shared" si="14"/>
        <v>1</v>
      </c>
      <c r="G132" s="86">
        <v>4.1867999999999999</v>
      </c>
      <c r="H132" s="86">
        <f t="shared" si="11"/>
        <v>1.163</v>
      </c>
      <c r="I132" s="86">
        <f t="shared" si="12"/>
        <v>0.1</v>
      </c>
      <c r="J132" s="86">
        <f t="shared" si="13"/>
        <v>3.9683201649959812</v>
      </c>
      <c r="K132" s="87">
        <f>G132*L132</f>
        <v>0.17075462526339016</v>
      </c>
      <c r="L132" s="87">
        <f>L158/1000000</f>
        <v>4.0784041574326496E-2</v>
      </c>
      <c r="M132" s="86" t="s">
        <v>424</v>
      </c>
      <c r="N132" s="86" t="s">
        <v>421</v>
      </c>
      <c r="R132" s="83" t="s">
        <v>307</v>
      </c>
      <c r="S132" s="38">
        <v>25</v>
      </c>
      <c r="T132" s="38">
        <v>31</v>
      </c>
    </row>
    <row r="133" spans="2:20" x14ac:dyDescent="0.2">
      <c r="B133" s="88" t="s">
        <v>309</v>
      </c>
      <c r="C133" s="89" t="s">
        <v>310</v>
      </c>
      <c r="D133" s="90" t="s">
        <v>272</v>
      </c>
      <c r="E133" s="90">
        <v>1</v>
      </c>
      <c r="F133" s="91">
        <f t="shared" si="14"/>
        <v>0.96882250080219201</v>
      </c>
      <c r="G133" s="91">
        <f>I190</f>
        <v>4.0562660463586173</v>
      </c>
      <c r="H133" s="91">
        <f t="shared" si="11"/>
        <v>1.1267405684329492</v>
      </c>
      <c r="I133" s="91">
        <f t="shared" si="12"/>
        <v>9.6882250080219209E-2</v>
      </c>
      <c r="J133" s="91">
        <f t="shared" si="13"/>
        <v>3.8445978662351732</v>
      </c>
      <c r="K133" s="92">
        <f t="shared" si="15"/>
        <v>0.19181813708539003</v>
      </c>
      <c r="L133" s="92">
        <f>L190/1000000</f>
        <v>4.7289338246831368E-2</v>
      </c>
      <c r="M133" s="91" t="s">
        <v>424</v>
      </c>
      <c r="N133" s="91" t="s">
        <v>421</v>
      </c>
      <c r="R133" s="88" t="s">
        <v>309</v>
      </c>
      <c r="S133" s="38">
        <v>25</v>
      </c>
      <c r="T133" s="38">
        <v>31</v>
      </c>
    </row>
    <row r="134" spans="2:20" x14ac:dyDescent="0.2">
      <c r="B134" s="83" t="s">
        <v>311</v>
      </c>
      <c r="C134" s="84" t="s">
        <v>312</v>
      </c>
      <c r="D134" s="85" t="s">
        <v>272</v>
      </c>
      <c r="E134" s="85">
        <v>1</v>
      </c>
      <c r="F134" s="86">
        <f t="shared" si="14"/>
        <v>1.273263288064878</v>
      </c>
      <c r="G134" s="86">
        <f>(I188*0.99+I178*0.01)</f>
        <v>5.3308987344700309</v>
      </c>
      <c r="H134" s="86">
        <f t="shared" si="11"/>
        <v>1.480805204019453</v>
      </c>
      <c r="I134" s="86">
        <f t="shared" si="12"/>
        <v>0.12732632880648781</v>
      </c>
      <c r="J134" s="86">
        <f t="shared" si="13"/>
        <v>5.0527163813769418</v>
      </c>
      <c r="K134" s="87">
        <f t="shared" si="15"/>
        <v>0.36886528553554315</v>
      </c>
      <c r="L134" s="87">
        <f>AVERAGE(L188*0.99+L178*0.01)/1000000</f>
        <v>6.919382714033373E-2</v>
      </c>
      <c r="M134" s="86" t="s">
        <v>424</v>
      </c>
      <c r="N134" s="86" t="s">
        <v>421</v>
      </c>
      <c r="O134" s="38" t="s">
        <v>425</v>
      </c>
      <c r="P134" s="129">
        <f>H134/42000*1000000</f>
        <v>35.257266762367934</v>
      </c>
      <c r="R134" s="83" t="s">
        <v>311</v>
      </c>
      <c r="S134" s="38">
        <v>25</v>
      </c>
      <c r="T134" s="38">
        <v>186</v>
      </c>
    </row>
    <row r="135" spans="2:20" x14ac:dyDescent="0.2">
      <c r="B135" s="88" t="s">
        <v>313</v>
      </c>
      <c r="C135" s="89" t="s">
        <v>314</v>
      </c>
      <c r="D135" s="90" t="str">
        <f>D132</f>
        <v>Tcal</v>
      </c>
      <c r="E135" s="90">
        <f t="shared" ref="E135:L135" si="16">E132</f>
        <v>1</v>
      </c>
      <c r="F135" s="91">
        <f t="shared" si="16"/>
        <v>1</v>
      </c>
      <c r="G135" s="91">
        <f t="shared" si="16"/>
        <v>4.1867999999999999</v>
      </c>
      <c r="H135" s="91">
        <f t="shared" si="16"/>
        <v>1.163</v>
      </c>
      <c r="I135" s="91">
        <f t="shared" si="16"/>
        <v>0.1</v>
      </c>
      <c r="J135" s="91">
        <f t="shared" si="16"/>
        <v>3.9683201649959812</v>
      </c>
      <c r="K135" s="92">
        <f t="shared" si="16"/>
        <v>0.17075462526339016</v>
      </c>
      <c r="L135" s="92">
        <f t="shared" si="16"/>
        <v>4.0784041574326496E-2</v>
      </c>
      <c r="M135" s="91" t="s">
        <v>424</v>
      </c>
      <c r="N135" s="91" t="s">
        <v>421</v>
      </c>
      <c r="R135" s="88" t="s">
        <v>313</v>
      </c>
      <c r="S135" s="38">
        <v>25</v>
      </c>
      <c r="T135" s="38">
        <v>31</v>
      </c>
    </row>
    <row r="136" spans="2:20" x14ac:dyDescent="0.2">
      <c r="B136" s="83" t="s">
        <v>315</v>
      </c>
      <c r="C136" s="84" t="s">
        <v>316</v>
      </c>
      <c r="D136" s="85" t="s">
        <v>272</v>
      </c>
      <c r="E136" s="85">
        <v>1</v>
      </c>
      <c r="F136" s="86">
        <f t="shared" si="14"/>
        <v>1.1253928529549111</v>
      </c>
      <c r="G136" s="86">
        <f>I175*0.05+I179*0.95</f>
        <v>4.7117947967516214</v>
      </c>
      <c r="H136" s="86">
        <f t="shared" si="11"/>
        <v>1.3088318879865615</v>
      </c>
      <c r="I136" s="86">
        <f t="shared" si="12"/>
        <v>0.11253928529549112</v>
      </c>
      <c r="J136" s="86">
        <f>H136*$H$151/$H$150</f>
        <v>4.4659191519233303</v>
      </c>
      <c r="K136" s="87">
        <f t="shared" si="15"/>
        <v>0.41338958040781071</v>
      </c>
      <c r="L136" s="87">
        <f>AVERAGE(L175*0.05+L179*0.95)/1000000</f>
        <v>8.7735056011523968E-2</v>
      </c>
      <c r="M136" s="86" t="s">
        <v>424</v>
      </c>
      <c r="N136" s="86" t="s">
        <v>421</v>
      </c>
      <c r="R136" s="83" t="s">
        <v>315</v>
      </c>
      <c r="S136" s="38">
        <v>75</v>
      </c>
      <c r="T136" s="38">
        <v>186</v>
      </c>
    </row>
    <row r="137" spans="2:20" x14ac:dyDescent="0.2">
      <c r="B137" s="88" t="s">
        <v>317</v>
      </c>
      <c r="C137" s="89" t="s">
        <v>318</v>
      </c>
      <c r="D137" s="90" t="str">
        <f>D132</f>
        <v>Tcal</v>
      </c>
      <c r="E137" s="90">
        <f t="shared" ref="E137:N137" si="17">E132</f>
        <v>1</v>
      </c>
      <c r="F137" s="91">
        <f t="shared" si="17"/>
        <v>1</v>
      </c>
      <c r="G137" s="91">
        <f t="shared" si="17"/>
        <v>4.1867999999999999</v>
      </c>
      <c r="H137" s="91">
        <f t="shared" si="17"/>
        <v>1.163</v>
      </c>
      <c r="I137" s="91">
        <f t="shared" si="17"/>
        <v>0.1</v>
      </c>
      <c r="J137" s="91">
        <f t="shared" si="17"/>
        <v>3.9683201649959812</v>
      </c>
      <c r="K137" s="92">
        <f t="shared" si="17"/>
        <v>0.17075462526339016</v>
      </c>
      <c r="L137" s="92">
        <f t="shared" si="17"/>
        <v>4.0784041574326496E-2</v>
      </c>
      <c r="M137" s="91" t="str">
        <f t="shared" si="17"/>
        <v>Secundario</v>
      </c>
      <c r="N137" s="91" t="str">
        <f t="shared" si="17"/>
        <v>No Renovable</v>
      </c>
      <c r="R137" s="88" t="s">
        <v>317</v>
      </c>
      <c r="S137" s="38">
        <v>75</v>
      </c>
      <c r="T137" s="38">
        <v>186</v>
      </c>
    </row>
    <row r="138" spans="2:20" x14ac:dyDescent="0.2">
      <c r="B138" s="83" t="s">
        <v>319</v>
      </c>
      <c r="C138" s="84" t="s">
        <v>320</v>
      </c>
      <c r="D138" s="85" t="s">
        <v>273</v>
      </c>
      <c r="E138" s="85">
        <v>1</v>
      </c>
      <c r="F138" s="86">
        <f>G138/4.1868</f>
        <v>0.32960733734594438</v>
      </c>
      <c r="G138" s="86">
        <v>1.38</v>
      </c>
      <c r="H138" s="86">
        <f>F138*4.1868/3.6</f>
        <v>0.3833333333333333</v>
      </c>
      <c r="I138" s="86">
        <f>F138*0.1</f>
        <v>3.296073373459444E-2</v>
      </c>
      <c r="J138" s="86">
        <f>H138*$H$151/$H$150</f>
        <v>1.3079874433205441</v>
      </c>
      <c r="K138" s="87">
        <f>G138*L138</f>
        <v>0</v>
      </c>
      <c r="L138" s="87">
        <f>L232/1000000</f>
        <v>0</v>
      </c>
      <c r="M138" s="86" t="s">
        <v>424</v>
      </c>
      <c r="N138" s="86"/>
      <c r="R138" s="83" t="s">
        <v>319</v>
      </c>
      <c r="S138" s="38">
        <v>0</v>
      </c>
      <c r="T138" s="38">
        <v>0</v>
      </c>
    </row>
    <row r="140" spans="2:20" x14ac:dyDescent="0.2">
      <c r="B140" s="571"/>
      <c r="C140" s="571"/>
      <c r="D140" s="571"/>
      <c r="E140" s="571"/>
      <c r="G140" s="572" t="s">
        <v>426</v>
      </c>
      <c r="H140" s="572"/>
      <c r="I140" s="572"/>
    </row>
    <row r="141" spans="2:20" x14ac:dyDescent="0.2">
      <c r="B141" s="83" t="str">
        <f t="array" ref="B141:B146">TRANSPOSE(E108:J108)</f>
        <v>UO</v>
      </c>
      <c r="C141" s="84" t="s">
        <v>427</v>
      </c>
      <c r="D141" s="85"/>
      <c r="E141" s="83">
        <v>2006</v>
      </c>
      <c r="G141" s="82" t="s">
        <v>428</v>
      </c>
      <c r="H141" s="82" t="s">
        <v>429</v>
      </c>
      <c r="I141" s="82" t="s">
        <v>430</v>
      </c>
      <c r="L141" s="82" t="s">
        <v>428</v>
      </c>
      <c r="M141" s="82" t="s">
        <v>430</v>
      </c>
    </row>
    <row r="142" spans="2:20" x14ac:dyDescent="0.2">
      <c r="B142" s="88" t="str">
        <v>TCal</v>
      </c>
      <c r="C142" s="89" t="s">
        <v>431</v>
      </c>
      <c r="D142" s="90"/>
      <c r="E142" s="88">
        <v>2007</v>
      </c>
      <c r="G142" s="137" t="s">
        <v>432</v>
      </c>
      <c r="H142" s="138">
        <v>35.31467</v>
      </c>
      <c r="I142" s="137" t="s">
        <v>433</v>
      </c>
      <c r="L142" s="137" t="s">
        <v>422</v>
      </c>
      <c r="M142" s="137" t="s">
        <v>433</v>
      </c>
    </row>
    <row r="143" spans="2:20" x14ac:dyDescent="0.2">
      <c r="B143" s="83" t="str">
        <v>TJ</v>
      </c>
      <c r="C143" s="84" t="s">
        <v>434</v>
      </c>
      <c r="D143" s="85"/>
      <c r="E143" s="83">
        <v>2008</v>
      </c>
      <c r="G143" s="111" t="s">
        <v>435</v>
      </c>
      <c r="H143" s="110">
        <f>1000000/H142</f>
        <v>28316.843963146195</v>
      </c>
      <c r="I143" s="111" t="s">
        <v>422</v>
      </c>
      <c r="L143" s="111" t="s">
        <v>436</v>
      </c>
      <c r="M143" s="111" t="s">
        <v>422</v>
      </c>
    </row>
    <row r="144" spans="2:20" x14ac:dyDescent="0.2">
      <c r="B144" s="88" t="str">
        <v>GWh</v>
      </c>
      <c r="C144" s="89" t="s">
        <v>437</v>
      </c>
      <c r="D144" s="90"/>
      <c r="E144" s="88">
        <v>2009</v>
      </c>
      <c r="G144" s="137" t="s">
        <v>438</v>
      </c>
      <c r="H144" s="138">
        <v>3.7854117999999999</v>
      </c>
      <c r="I144" s="137" t="s">
        <v>439</v>
      </c>
      <c r="L144" s="137" t="s">
        <v>425</v>
      </c>
      <c r="M144" s="137" t="s">
        <v>439</v>
      </c>
    </row>
    <row r="145" spans="2:18" ht="22.5" x14ac:dyDescent="0.2">
      <c r="B145" s="83" t="str">
        <v>KTEP</v>
      </c>
      <c r="C145" s="84" t="s">
        <v>440</v>
      </c>
      <c r="D145" s="85"/>
      <c r="E145" s="83">
        <v>2010</v>
      </c>
      <c r="G145" s="111" t="s">
        <v>441</v>
      </c>
      <c r="H145" s="110">
        <v>42</v>
      </c>
      <c r="I145" s="111" t="s">
        <v>425</v>
      </c>
      <c r="L145" s="111" t="s">
        <v>442</v>
      </c>
      <c r="M145" s="111" t="s">
        <v>425</v>
      </c>
    </row>
    <row r="146" spans="2:18" ht="22.5" x14ac:dyDescent="0.2">
      <c r="B146" s="88" t="str">
        <v>GBTU</v>
      </c>
      <c r="C146" s="89" t="s">
        <v>443</v>
      </c>
      <c r="D146" s="90"/>
      <c r="E146" s="88">
        <v>2011</v>
      </c>
      <c r="G146" s="137" t="s">
        <v>432</v>
      </c>
      <c r="H146" s="138">
        <f>1000/H144/H145</f>
        <v>6.2898107438466297</v>
      </c>
      <c r="I146" s="137" t="s">
        <v>442</v>
      </c>
      <c r="L146" s="137" t="s">
        <v>422</v>
      </c>
      <c r="M146" s="137" t="s">
        <v>442</v>
      </c>
      <c r="R146" s="38">
        <v>3517.2031699650001</v>
      </c>
    </row>
    <row r="147" spans="2:18" ht="24" x14ac:dyDescent="0.2">
      <c r="B147" s="83" t="s">
        <v>444</v>
      </c>
      <c r="C147" s="84" t="s">
        <v>445</v>
      </c>
      <c r="D147" s="85"/>
      <c r="E147" s="83">
        <v>2012</v>
      </c>
      <c r="G147" s="111" t="s">
        <v>432</v>
      </c>
      <c r="H147" s="110">
        <v>1000</v>
      </c>
      <c r="I147" s="111" t="s">
        <v>439</v>
      </c>
      <c r="L147" s="111" t="s">
        <v>422</v>
      </c>
      <c r="M147" s="111" t="s">
        <v>439</v>
      </c>
      <c r="R147" s="38">
        <v>1.055056</v>
      </c>
    </row>
    <row r="148" spans="2:18" x14ac:dyDescent="0.2">
      <c r="B148" s="88" t="s">
        <v>260</v>
      </c>
      <c r="C148" s="89" t="s">
        <v>446</v>
      </c>
      <c r="D148" s="90"/>
      <c r="E148" s="88">
        <v>2013</v>
      </c>
      <c r="G148" s="137" t="s">
        <v>447</v>
      </c>
      <c r="H148" s="138">
        <v>1000</v>
      </c>
      <c r="I148" s="137" t="s">
        <v>442</v>
      </c>
      <c r="L148" s="137" t="s">
        <v>273</v>
      </c>
      <c r="M148" s="137" t="s">
        <v>442</v>
      </c>
      <c r="R148" s="38">
        <f>+R146*R147</f>
        <v>3710.8463076905932</v>
      </c>
    </row>
    <row r="149" spans="2:18" x14ac:dyDescent="0.2">
      <c r="B149" s="83" t="s">
        <v>265</v>
      </c>
      <c r="C149" s="84" t="s">
        <v>448</v>
      </c>
      <c r="D149" s="85"/>
      <c r="E149" s="83">
        <v>2014</v>
      </c>
      <c r="G149" s="111" t="s">
        <v>449</v>
      </c>
      <c r="H149" s="139">
        <f>1/H144/H145/H148</f>
        <v>6.2898107438466298E-6</v>
      </c>
      <c r="I149" s="111" t="s">
        <v>273</v>
      </c>
      <c r="L149" s="111" t="s">
        <v>439</v>
      </c>
      <c r="M149" s="111" t="s">
        <v>273</v>
      </c>
    </row>
    <row r="150" spans="2:18" x14ac:dyDescent="0.2">
      <c r="B150" s="88" t="s">
        <v>273</v>
      </c>
      <c r="C150" s="89" t="s">
        <v>450</v>
      </c>
      <c r="D150" s="90"/>
      <c r="E150" s="88">
        <v>2015</v>
      </c>
      <c r="G150" s="137" t="s">
        <v>451</v>
      </c>
      <c r="H150" s="138">
        <v>1055.056</v>
      </c>
      <c r="I150" s="137" t="s">
        <v>452</v>
      </c>
      <c r="L150" s="137" t="s">
        <v>453</v>
      </c>
      <c r="M150" s="137" t="s">
        <v>452</v>
      </c>
    </row>
    <row r="151" spans="2:18" x14ac:dyDescent="0.2">
      <c r="E151" s="83">
        <v>2016</v>
      </c>
      <c r="G151" s="111" t="s">
        <v>454</v>
      </c>
      <c r="H151" s="110">
        <v>3600</v>
      </c>
      <c r="I151" s="111" t="s">
        <v>452</v>
      </c>
      <c r="L151" s="111" t="s">
        <v>455</v>
      </c>
      <c r="M151" s="111" t="s">
        <v>452</v>
      </c>
    </row>
    <row r="152" spans="2:18" x14ac:dyDescent="0.2">
      <c r="E152" s="88">
        <v>2017</v>
      </c>
      <c r="G152" s="137" t="s">
        <v>432</v>
      </c>
      <c r="H152" s="138">
        <f>H147/H144</f>
        <v>264.17205124155845</v>
      </c>
      <c r="I152" s="137" t="s">
        <v>425</v>
      </c>
      <c r="L152" s="137" t="s">
        <v>422</v>
      </c>
      <c r="M152" s="137" t="s">
        <v>425</v>
      </c>
    </row>
    <row r="153" spans="2:18" x14ac:dyDescent="0.2">
      <c r="E153" s="83">
        <v>2018</v>
      </c>
      <c r="G153" s="140"/>
      <c r="H153" s="141"/>
      <c r="I153" s="140"/>
      <c r="L153" s="140"/>
      <c r="M153" s="140"/>
    </row>
    <row r="155" spans="2:18" x14ac:dyDescent="0.2">
      <c r="C155" s="103"/>
      <c r="D155" s="103"/>
      <c r="E155" s="103" t="s">
        <v>321</v>
      </c>
      <c r="F155" s="103" t="s">
        <v>322</v>
      </c>
      <c r="G155" s="103"/>
      <c r="H155" s="103" t="s">
        <v>323</v>
      </c>
      <c r="I155" s="103"/>
      <c r="J155" s="103"/>
      <c r="K155" s="103"/>
      <c r="L155" s="103" t="s">
        <v>280</v>
      </c>
      <c r="M155" s="124" t="s">
        <v>456</v>
      </c>
      <c r="N155" s="125" t="s">
        <v>457</v>
      </c>
      <c r="O155" s="38" t="s">
        <v>458</v>
      </c>
      <c r="P155" s="38" t="s">
        <v>459</v>
      </c>
    </row>
    <row r="156" spans="2:18" x14ac:dyDescent="0.2">
      <c r="C156" s="78" t="s">
        <v>324</v>
      </c>
      <c r="D156" s="79"/>
      <c r="E156" s="82"/>
      <c r="F156" s="82" t="s">
        <v>325</v>
      </c>
      <c r="G156" s="82" t="s">
        <v>326</v>
      </c>
      <c r="H156" s="82" t="s">
        <v>327</v>
      </c>
      <c r="I156" s="82" t="s">
        <v>328</v>
      </c>
      <c r="J156" s="82" t="s">
        <v>329</v>
      </c>
      <c r="K156" s="82" t="s">
        <v>330</v>
      </c>
      <c r="L156" s="82" t="s">
        <v>331</v>
      </c>
      <c r="M156" s="124" t="s">
        <v>331</v>
      </c>
    </row>
    <row r="157" spans="2:18" x14ac:dyDescent="0.2">
      <c r="C157" s="104" t="s">
        <v>332</v>
      </c>
      <c r="D157" s="105"/>
      <c r="E157" s="106">
        <f>H157/F157</f>
        <v>1.0919058660269887</v>
      </c>
      <c r="F157" s="106">
        <v>20.148378049547535</v>
      </c>
      <c r="G157" s="106">
        <f t="shared" ref="G157:G173" si="18">H157*$H$143/1000000</f>
        <v>0.62297431020112526</v>
      </c>
      <c r="H157" s="106">
        <v>22.00013218323037</v>
      </c>
      <c r="I157" s="106">
        <f t="shared" ref="I157:I173" si="19">H157/($H$146*1000)</f>
        <v>3.4977415186543204E-3</v>
      </c>
      <c r="J157" s="106">
        <f t="shared" ref="J157:J173" si="20">G157*1000000/$H$150</f>
        <v>590.46563424228214</v>
      </c>
      <c r="K157" s="106">
        <f t="shared" ref="K157:K173" si="21">G157*1000/$H$151</f>
        <v>0.17304841950031258</v>
      </c>
      <c r="L157" s="107">
        <v>84364.418306302701</v>
      </c>
      <c r="M157" s="124">
        <v>1</v>
      </c>
      <c r="N157" s="125">
        <f>M157*25</f>
        <v>25</v>
      </c>
      <c r="O157" s="38">
        <v>0.1</v>
      </c>
      <c r="P157" s="38">
        <f>O157*310</f>
        <v>31</v>
      </c>
    </row>
    <row r="158" spans="2:18" x14ac:dyDescent="0.2">
      <c r="C158" s="108" t="s">
        <v>333</v>
      </c>
      <c r="D158" s="109"/>
      <c r="E158" s="110">
        <f t="shared" ref="E158:E173" si="22">H158/F158</f>
        <v>0.47283633381654921</v>
      </c>
      <c r="F158" s="110">
        <v>31.776669869184339</v>
      </c>
      <c r="G158" s="110">
        <f t="shared" si="18"/>
        <v>0.42546522682624327</v>
      </c>
      <c r="H158" s="110">
        <v>15.025164081843927</v>
      </c>
      <c r="I158" s="110">
        <f t="shared" si="19"/>
        <v>2.3888102033186231E-3</v>
      </c>
      <c r="J158" s="110">
        <f t="shared" si="20"/>
        <v>403.26316975235744</v>
      </c>
      <c r="K158" s="110">
        <f t="shared" si="21"/>
        <v>0.11818478522951202</v>
      </c>
      <c r="L158" s="111">
        <v>40784.041574326497</v>
      </c>
      <c r="M158" s="124">
        <v>1</v>
      </c>
      <c r="N158" s="125">
        <f t="shared" ref="N158:N216" si="23">M158*25</f>
        <v>25</v>
      </c>
      <c r="O158" s="38">
        <v>0.1</v>
      </c>
      <c r="P158" s="38">
        <f t="shared" ref="P158:P216" si="24">O158*310</f>
        <v>31</v>
      </c>
    </row>
    <row r="159" spans="2:18" x14ac:dyDescent="0.2">
      <c r="C159" s="104" t="s">
        <v>334</v>
      </c>
      <c r="D159" s="105"/>
      <c r="E159" s="106">
        <f t="shared" si="22"/>
        <v>0.82805816320750392</v>
      </c>
      <c r="F159" s="106">
        <v>46.703886147213531</v>
      </c>
      <c r="G159" s="106">
        <f t="shared" si="18"/>
        <v>1.0951124328137294</v>
      </c>
      <c r="H159" s="106">
        <v>38.673534177714025</v>
      </c>
      <c r="I159" s="106">
        <f t="shared" si="19"/>
        <v>6.148600610208923E-3</v>
      </c>
      <c r="J159" s="106">
        <f t="shared" si="20"/>
        <v>1037.966167496066</v>
      </c>
      <c r="K159" s="106">
        <f t="shared" si="21"/>
        <v>0.30419789800381369</v>
      </c>
      <c r="L159" s="107">
        <v>56647.701811453429</v>
      </c>
      <c r="M159" s="124">
        <v>1</v>
      </c>
      <c r="N159" s="125">
        <f t="shared" si="23"/>
        <v>25</v>
      </c>
      <c r="O159" s="38">
        <v>0.1</v>
      </c>
      <c r="P159" s="38">
        <f t="shared" si="24"/>
        <v>31</v>
      </c>
    </row>
    <row r="160" spans="2:18" x14ac:dyDescent="0.2">
      <c r="C160" s="108" t="s">
        <v>335</v>
      </c>
      <c r="D160" s="109"/>
      <c r="E160" s="110">
        <f t="shared" si="22"/>
        <v>0.68944210535051864</v>
      </c>
      <c r="F160" s="110">
        <v>48.581707173245775</v>
      </c>
      <c r="G160" s="110">
        <f t="shared" si="18"/>
        <v>0.94845214396863864</v>
      </c>
      <c r="H160" s="110">
        <v>33.494274475044961</v>
      </c>
      <c r="I160" s="110">
        <f t="shared" si="19"/>
        <v>5.3251641168715084E-3</v>
      </c>
      <c r="J160" s="110">
        <f t="shared" si="20"/>
        <v>898.9590542763973</v>
      </c>
      <c r="K160" s="110">
        <f t="shared" si="21"/>
        <v>0.26345892888017741</v>
      </c>
      <c r="L160" s="111">
        <v>54911.333346521977</v>
      </c>
      <c r="M160" s="124">
        <v>1</v>
      </c>
      <c r="N160" s="125">
        <f t="shared" si="23"/>
        <v>25</v>
      </c>
      <c r="O160" s="38">
        <v>0.1</v>
      </c>
      <c r="P160" s="38">
        <f t="shared" si="24"/>
        <v>31</v>
      </c>
    </row>
    <row r="161" spans="2:16" x14ac:dyDescent="0.2">
      <c r="C161" s="104" t="s">
        <v>336</v>
      </c>
      <c r="D161" s="105"/>
      <c r="E161" s="106">
        <f t="shared" si="22"/>
        <v>0.69906138957644803</v>
      </c>
      <c r="F161" s="106">
        <v>47.590537507391971</v>
      </c>
      <c r="G161" s="106">
        <f t="shared" si="18"/>
        <v>0.94206479292054834</v>
      </c>
      <c r="H161" s="106">
        <v>33.268707280607501</v>
      </c>
      <c r="I161" s="106">
        <f t="shared" si="19"/>
        <v>5.2893017986518171E-3</v>
      </c>
      <c r="J161" s="106">
        <f t="shared" si="20"/>
        <v>892.90501444525057</v>
      </c>
      <c r="K161" s="106">
        <f t="shared" si="21"/>
        <v>0.26168466470015234</v>
      </c>
      <c r="L161" s="107">
        <v>54869.575225054097</v>
      </c>
      <c r="M161" s="124">
        <v>1</v>
      </c>
      <c r="N161" s="125">
        <f t="shared" si="23"/>
        <v>25</v>
      </c>
      <c r="O161" s="38">
        <v>0.1</v>
      </c>
      <c r="P161" s="38">
        <f t="shared" si="24"/>
        <v>31</v>
      </c>
    </row>
    <row r="162" spans="2:16" x14ac:dyDescent="0.2">
      <c r="C162" s="108" t="s">
        <v>337</v>
      </c>
      <c r="D162" s="109"/>
      <c r="E162" s="110">
        <f t="shared" si="22"/>
        <v>0.79827746622006956</v>
      </c>
      <c r="F162" s="110">
        <v>46.674185425559152</v>
      </c>
      <c r="G162" s="110">
        <f t="shared" si="18"/>
        <v>1.0550558869557909</v>
      </c>
      <c r="H162" s="110">
        <v>37.258950479401058</v>
      </c>
      <c r="I162" s="110">
        <f t="shared" si="19"/>
        <v>5.9236997736142978E-3</v>
      </c>
      <c r="J162" s="110">
        <f t="shared" si="20"/>
        <v>999.99989285477818</v>
      </c>
      <c r="K162" s="110">
        <f t="shared" si="21"/>
        <v>0.2930710797099419</v>
      </c>
      <c r="L162" s="111">
        <v>54618.088800570877</v>
      </c>
      <c r="M162" s="124">
        <v>1</v>
      </c>
      <c r="N162" s="125">
        <f t="shared" si="23"/>
        <v>25</v>
      </c>
      <c r="O162" s="38">
        <v>0.1</v>
      </c>
      <c r="P162" s="38">
        <f t="shared" si="24"/>
        <v>31</v>
      </c>
    </row>
    <row r="163" spans="2:16" x14ac:dyDescent="0.2">
      <c r="C163" s="104" t="s">
        <v>338</v>
      </c>
      <c r="D163" s="105"/>
      <c r="E163" s="106">
        <f t="shared" si="22"/>
        <v>0.72219603487749551</v>
      </c>
      <c r="F163" s="106">
        <v>49.057537361627276</v>
      </c>
      <c r="G163" s="106">
        <f t="shared" si="18"/>
        <v>1.0032419661127179</v>
      </c>
      <c r="H163" s="106">
        <v>35.429158963421813</v>
      </c>
      <c r="I163" s="106">
        <f t="shared" si="19"/>
        <v>5.6327861689769339E-3</v>
      </c>
      <c r="J163" s="106">
        <f t="shared" si="20"/>
        <v>950.88977846931141</v>
      </c>
      <c r="K163" s="106">
        <f t="shared" si="21"/>
        <v>0.27867832392019937</v>
      </c>
      <c r="L163" s="107">
        <v>55801.045967069134</v>
      </c>
      <c r="M163" s="142">
        <v>1</v>
      </c>
      <c r="N163" s="125">
        <f t="shared" si="23"/>
        <v>25</v>
      </c>
      <c r="O163" s="38">
        <v>0.1</v>
      </c>
      <c r="P163" s="38">
        <f t="shared" si="24"/>
        <v>31</v>
      </c>
    </row>
    <row r="164" spans="2:16" x14ac:dyDescent="0.2">
      <c r="C164" s="108" t="s">
        <v>339</v>
      </c>
      <c r="D164" s="109"/>
      <c r="E164" s="110">
        <f t="shared" si="22"/>
        <v>0.81264331694746639</v>
      </c>
      <c r="F164" s="110">
        <v>46.681045476918939</v>
      </c>
      <c r="G164" s="110">
        <f t="shared" si="18"/>
        <v>1.0742005980783322</v>
      </c>
      <c r="H164" s="110">
        <v>37.935039634938931</v>
      </c>
      <c r="I164" s="110">
        <f t="shared" si="19"/>
        <v>6.0311893600377524E-3</v>
      </c>
      <c r="J164" s="110">
        <f t="shared" si="20"/>
        <v>1018.1455752854181</v>
      </c>
      <c r="K164" s="110">
        <f t="shared" si="21"/>
        <v>0.29838905502175894</v>
      </c>
      <c r="L164" s="111">
        <v>56979.995471723574</v>
      </c>
      <c r="M164" s="142">
        <v>1</v>
      </c>
      <c r="N164" s="125">
        <f t="shared" si="23"/>
        <v>25</v>
      </c>
      <c r="O164" s="38">
        <v>0.1</v>
      </c>
      <c r="P164" s="38">
        <f t="shared" si="24"/>
        <v>31</v>
      </c>
    </row>
    <row r="165" spans="2:16" x14ac:dyDescent="0.2">
      <c r="C165" s="104" t="s">
        <v>340</v>
      </c>
      <c r="D165" s="105"/>
      <c r="E165" s="106">
        <f t="shared" si="22"/>
        <v>0.69505471404304453</v>
      </c>
      <c r="F165" s="106">
        <v>48.205739070710145</v>
      </c>
      <c r="G165" s="106">
        <f t="shared" si="18"/>
        <v>0.94877358856888827</v>
      </c>
      <c r="H165" s="106">
        <v>33.50562618502606</v>
      </c>
      <c r="I165" s="106">
        <f t="shared" si="19"/>
        <v>5.3269688945418387E-3</v>
      </c>
      <c r="J165" s="106">
        <f t="shared" si="20"/>
        <v>899.26372492918688</v>
      </c>
      <c r="K165" s="106">
        <f t="shared" si="21"/>
        <v>0.26354821904691339</v>
      </c>
      <c r="L165" s="107">
        <v>54667.782262129222</v>
      </c>
      <c r="M165" s="142">
        <v>1</v>
      </c>
      <c r="N165" s="125">
        <f t="shared" si="23"/>
        <v>25</v>
      </c>
      <c r="O165" s="38">
        <v>0.1</v>
      </c>
      <c r="P165" s="38">
        <f t="shared" si="24"/>
        <v>31</v>
      </c>
    </row>
    <row r="166" spans="2:16" x14ac:dyDescent="0.2">
      <c r="B166" s="38" t="s">
        <v>4</v>
      </c>
      <c r="C166" s="108" t="s">
        <v>341</v>
      </c>
      <c r="D166" s="109"/>
      <c r="E166" s="110">
        <f t="shared" si="22"/>
        <v>0.7483337440478588</v>
      </c>
      <c r="F166" s="110">
        <v>47.642091166095256</v>
      </c>
      <c r="G166" s="110">
        <f t="shared" si="18"/>
        <v>1.0095573442026637</v>
      </c>
      <c r="H166" s="110">
        <v>35.652184456593481</v>
      </c>
      <c r="I166" s="110">
        <f t="shared" si="19"/>
        <v>5.6682443889861534E-3</v>
      </c>
      <c r="J166" s="110">
        <f t="shared" si="20"/>
        <v>956.87560110805839</v>
      </c>
      <c r="K166" s="110">
        <f t="shared" si="21"/>
        <v>0.28043259561185108</v>
      </c>
      <c r="L166" s="111">
        <v>55539.114956987069</v>
      </c>
      <c r="M166" s="142">
        <v>1</v>
      </c>
      <c r="N166" s="125">
        <f t="shared" si="23"/>
        <v>25</v>
      </c>
      <c r="O166" s="38">
        <v>0.1</v>
      </c>
      <c r="P166" s="38">
        <f t="shared" si="24"/>
        <v>31</v>
      </c>
    </row>
    <row r="167" spans="2:16" x14ac:dyDescent="0.2">
      <c r="C167" s="112" t="s">
        <v>342</v>
      </c>
      <c r="D167" s="113"/>
      <c r="E167" s="114">
        <f t="shared" si="22"/>
        <v>2.1573476378085363</v>
      </c>
      <c r="F167" s="114">
        <v>45.989410956446889</v>
      </c>
      <c r="G167" s="114">
        <f t="shared" si="18"/>
        <v>2.8094598389591834</v>
      </c>
      <c r="H167" s="114">
        <v>99.215147091096711</v>
      </c>
      <c r="I167" s="114">
        <f t="shared" si="19"/>
        <v>1.5773947918569672E-2</v>
      </c>
      <c r="J167" s="114">
        <f t="shared" si="20"/>
        <v>2662.8537622260651</v>
      </c>
      <c r="K167" s="114">
        <f t="shared" si="21"/>
        <v>0.78040551082199539</v>
      </c>
      <c r="L167" s="115">
        <v>47289.338246831365</v>
      </c>
      <c r="M167" s="142">
        <v>1</v>
      </c>
      <c r="N167" s="125">
        <f t="shared" si="23"/>
        <v>25</v>
      </c>
      <c r="O167" s="38">
        <v>0.1</v>
      </c>
      <c r="P167" s="38">
        <f t="shared" si="24"/>
        <v>31</v>
      </c>
    </row>
    <row r="168" spans="2:16" x14ac:dyDescent="0.2">
      <c r="C168" s="108" t="s">
        <v>343</v>
      </c>
      <c r="D168" s="109"/>
      <c r="E168" s="110">
        <f t="shared" si="22"/>
        <v>1.8613192388858333</v>
      </c>
      <c r="F168" s="110">
        <v>46.338572000000006</v>
      </c>
      <c r="G168" s="110">
        <f t="shared" si="18"/>
        <v>2.4423525850898904</v>
      </c>
      <c r="H168" s="110">
        <v>86.250875566096397</v>
      </c>
      <c r="I168" s="110">
        <f t="shared" si="19"/>
        <v>1.3712793449385786E-2</v>
      </c>
      <c r="J168" s="110">
        <f t="shared" si="20"/>
        <v>2314.903270622498</v>
      </c>
      <c r="K168" s="110">
        <f t="shared" si="21"/>
        <v>0.67843127363608069</v>
      </c>
      <c r="L168" s="111">
        <v>64686.225077500494</v>
      </c>
      <c r="M168" s="142">
        <v>1</v>
      </c>
      <c r="N168" s="125">
        <f t="shared" si="23"/>
        <v>25</v>
      </c>
      <c r="O168" s="38">
        <v>0.1</v>
      </c>
      <c r="P168" s="38">
        <f t="shared" si="24"/>
        <v>31</v>
      </c>
    </row>
    <row r="169" spans="2:16" x14ac:dyDescent="0.2">
      <c r="C169" s="104" t="s">
        <v>344</v>
      </c>
      <c r="D169" s="105"/>
      <c r="E169" s="106">
        <f t="shared" si="22"/>
        <v>0.92134120077745862</v>
      </c>
      <c r="F169" s="106">
        <v>44.036387540348116</v>
      </c>
      <c r="G169" s="106">
        <f t="shared" si="18"/>
        <v>1.1488862326711775</v>
      </c>
      <c r="H169" s="106">
        <v>40.57253817432585</v>
      </c>
      <c r="I169" s="106">
        <f t="shared" si="19"/>
        <v>6.4505181199638285E-3</v>
      </c>
      <c r="J169" s="106">
        <f t="shared" si="20"/>
        <v>1088.9338885056125</v>
      </c>
      <c r="K169" s="106">
        <f t="shared" si="21"/>
        <v>0.31913506463088265</v>
      </c>
      <c r="L169" s="107">
        <v>56225.456549044327</v>
      </c>
      <c r="M169" s="142">
        <v>1</v>
      </c>
      <c r="N169" s="125">
        <f t="shared" si="23"/>
        <v>25</v>
      </c>
      <c r="O169" s="38">
        <v>0.1</v>
      </c>
      <c r="P169" s="38">
        <f t="shared" si="24"/>
        <v>31</v>
      </c>
    </row>
    <row r="170" spans="2:16" x14ac:dyDescent="0.2">
      <c r="C170" s="108" t="s">
        <v>345</v>
      </c>
      <c r="D170" s="109"/>
      <c r="E170" s="110">
        <f t="shared" si="22"/>
        <v>0.74418245042342812</v>
      </c>
      <c r="F170" s="110">
        <v>47.747590968266259</v>
      </c>
      <c r="G170" s="110">
        <f t="shared" si="18"/>
        <v>1.0061801299171118</v>
      </c>
      <c r="H170" s="110">
        <v>35.53291924857993</v>
      </c>
      <c r="I170" s="110">
        <f t="shared" si="19"/>
        <v>5.6492827361049073E-3</v>
      </c>
      <c r="J170" s="110">
        <f t="shared" si="20"/>
        <v>953.67462003638843</v>
      </c>
      <c r="K170" s="110">
        <f t="shared" si="21"/>
        <v>0.27949448053253106</v>
      </c>
      <c r="L170" s="111">
        <v>54641.783771340481</v>
      </c>
      <c r="M170" s="142">
        <v>1</v>
      </c>
      <c r="N170" s="125">
        <f t="shared" si="23"/>
        <v>25</v>
      </c>
      <c r="O170" s="38">
        <v>0.1</v>
      </c>
      <c r="P170" s="38">
        <f t="shared" si="24"/>
        <v>31</v>
      </c>
    </row>
    <row r="171" spans="2:16" x14ac:dyDescent="0.2">
      <c r="C171" s="104" t="s">
        <v>346</v>
      </c>
      <c r="D171" s="105"/>
      <c r="E171" s="106">
        <f t="shared" si="22"/>
        <v>0.82898038028404941</v>
      </c>
      <c r="F171" s="106">
        <v>44.938157927686106</v>
      </c>
      <c r="G171" s="106">
        <f t="shared" si="18"/>
        <v>1.054883175976383</v>
      </c>
      <c r="H171" s="106">
        <v>37.252851248157896</v>
      </c>
      <c r="I171" s="106">
        <f t="shared" si="19"/>
        <v>5.9227300733337082E-3</v>
      </c>
      <c r="J171" s="106">
        <f t="shared" si="20"/>
        <v>999.83619445449619</v>
      </c>
      <c r="K171" s="106">
        <f t="shared" si="21"/>
        <v>0.29302310443788415</v>
      </c>
      <c r="L171" s="107">
        <v>56385.19473831357</v>
      </c>
      <c r="M171" s="142">
        <v>1</v>
      </c>
      <c r="N171" s="125">
        <f t="shared" si="23"/>
        <v>25</v>
      </c>
      <c r="O171" s="38">
        <v>0.1</v>
      </c>
      <c r="P171" s="38">
        <f t="shared" si="24"/>
        <v>31</v>
      </c>
    </row>
    <row r="172" spans="2:16" x14ac:dyDescent="0.2">
      <c r="C172" s="108" t="s">
        <v>347</v>
      </c>
      <c r="D172" s="109"/>
      <c r="E172" s="110">
        <f t="shared" si="22"/>
        <v>0.82463870845783294</v>
      </c>
      <c r="F172" s="110">
        <v>46.648620259590245</v>
      </c>
      <c r="G172" s="110">
        <f t="shared" si="18"/>
        <v>1.0892996582499115</v>
      </c>
      <c r="H172" s="110">
        <v>38.468257962208398</v>
      </c>
      <c r="I172" s="110">
        <f t="shared" si="19"/>
        <v>6.1159642998546799E-3</v>
      </c>
      <c r="J172" s="110">
        <f t="shared" si="20"/>
        <v>1032.456721017568</v>
      </c>
      <c r="K172" s="110">
        <f t="shared" si="21"/>
        <v>0.3025832384027532</v>
      </c>
      <c r="L172" s="111">
        <v>56642.073852843634</v>
      </c>
      <c r="M172" s="142">
        <v>1</v>
      </c>
      <c r="N172" s="125">
        <f t="shared" si="23"/>
        <v>25</v>
      </c>
      <c r="O172" s="38">
        <v>0.1</v>
      </c>
      <c r="P172" s="38">
        <f t="shared" si="24"/>
        <v>31</v>
      </c>
    </row>
    <row r="173" spans="2:16" x14ac:dyDescent="0.2">
      <c r="C173" s="104" t="s">
        <v>348</v>
      </c>
      <c r="D173" s="105"/>
      <c r="E173" s="106">
        <f t="shared" si="22"/>
        <v>0.82805816320750392</v>
      </c>
      <c r="F173" s="106">
        <v>46.703886147213531</v>
      </c>
      <c r="G173" s="106">
        <f t="shared" si="18"/>
        <v>1.0951124328137294</v>
      </c>
      <c r="H173" s="106">
        <v>38.673534177714025</v>
      </c>
      <c r="I173" s="106">
        <f t="shared" si="19"/>
        <v>6.148600610208923E-3</v>
      </c>
      <c r="J173" s="106">
        <f t="shared" si="20"/>
        <v>1037.966167496066</v>
      </c>
      <c r="K173" s="106">
        <f t="shared" si="21"/>
        <v>0.30419789800381369</v>
      </c>
      <c r="L173" s="107">
        <v>56647.701811453429</v>
      </c>
      <c r="M173" s="142">
        <v>1</v>
      </c>
      <c r="N173" s="125">
        <f t="shared" si="23"/>
        <v>25</v>
      </c>
      <c r="O173" s="38">
        <v>0.1</v>
      </c>
      <c r="P173" s="38">
        <f t="shared" si="24"/>
        <v>31</v>
      </c>
    </row>
    <row r="174" spans="2:16" x14ac:dyDescent="0.2">
      <c r="C174" s="78" t="s">
        <v>349</v>
      </c>
      <c r="D174" s="79"/>
      <c r="E174" s="82" t="s">
        <v>350</v>
      </c>
      <c r="F174" s="82" t="s">
        <v>351</v>
      </c>
      <c r="G174" s="82" t="s">
        <v>352</v>
      </c>
      <c r="H174" s="82" t="s">
        <v>353</v>
      </c>
      <c r="I174" s="82" t="s">
        <v>328</v>
      </c>
      <c r="J174" s="82" t="s">
        <v>354</v>
      </c>
      <c r="K174" s="82" t="s">
        <v>355</v>
      </c>
      <c r="L174" s="116" t="s">
        <v>331</v>
      </c>
      <c r="M174" s="142"/>
      <c r="O174" s="142"/>
    </row>
    <row r="175" spans="2:16" x14ac:dyDescent="0.2">
      <c r="C175" s="104" t="s">
        <v>356</v>
      </c>
      <c r="D175" s="105"/>
      <c r="E175" s="106">
        <v>0.80300000000000005</v>
      </c>
      <c r="F175" s="106">
        <v>42816.831863606341</v>
      </c>
      <c r="G175" s="106">
        <f t="shared" ref="G175:G190" si="25">E175*$H$144</f>
        <v>3.0396856753999999</v>
      </c>
      <c r="H175" s="106">
        <f>E175*F175</f>
        <v>34381.915986475891</v>
      </c>
      <c r="I175" s="106">
        <f t="shared" ref="I175:I190" si="26">H175/($H$149*1000000000)</f>
        <v>5.4662878402362081</v>
      </c>
      <c r="J175" s="106">
        <f t="shared" ref="J175:J190" si="27">I175*1000000/$H$150</f>
        <v>5181.0404758005343</v>
      </c>
      <c r="K175" s="106">
        <f t="shared" ref="K175:K190" si="28">I175*1000/$H$151</f>
        <v>1.5184132889545023</v>
      </c>
      <c r="L175" s="107">
        <v>73939.639375102066</v>
      </c>
      <c r="M175" s="142">
        <v>3</v>
      </c>
      <c r="N175" s="125">
        <f t="shared" si="23"/>
        <v>75</v>
      </c>
      <c r="O175" s="142">
        <v>0.6</v>
      </c>
      <c r="P175" s="38">
        <f t="shared" si="24"/>
        <v>186</v>
      </c>
    </row>
    <row r="176" spans="2:16" x14ac:dyDescent="0.2">
      <c r="C176" s="108" t="s">
        <v>88</v>
      </c>
      <c r="D176" s="109"/>
      <c r="E176" s="110">
        <v>0.97</v>
      </c>
      <c r="F176" s="110">
        <v>39346.885349170327</v>
      </c>
      <c r="G176" s="110">
        <f t="shared" si="25"/>
        <v>3.671849446</v>
      </c>
      <c r="H176" s="110">
        <f t="shared" ref="H176:H190" si="29">E176*F176</f>
        <v>38166.478788695218</v>
      </c>
      <c r="I176" s="110">
        <f t="shared" si="26"/>
        <v>6.0679852451894165</v>
      </c>
      <c r="J176" s="110">
        <f t="shared" si="27"/>
        <v>5751.3394977986154</v>
      </c>
      <c r="K176" s="110">
        <f t="shared" si="28"/>
        <v>1.6855514569970602</v>
      </c>
      <c r="L176" s="111">
        <v>80460.272244806489</v>
      </c>
      <c r="M176" s="142">
        <v>3</v>
      </c>
      <c r="N176" s="125">
        <f t="shared" si="23"/>
        <v>75</v>
      </c>
      <c r="O176" s="142">
        <v>0.6</v>
      </c>
      <c r="P176" s="38">
        <f t="shared" si="24"/>
        <v>186</v>
      </c>
    </row>
    <row r="177" spans="3:16" x14ac:dyDescent="0.2">
      <c r="C177" s="104" t="s">
        <v>357</v>
      </c>
      <c r="D177" s="105"/>
      <c r="E177" s="106">
        <v>0.94140000000000001</v>
      </c>
      <c r="F177" s="106">
        <v>40670.462586675276</v>
      </c>
      <c r="G177" s="106">
        <f t="shared" si="25"/>
        <v>3.5635866685199997</v>
      </c>
      <c r="H177" s="106">
        <f t="shared" si="29"/>
        <v>38287.173479096105</v>
      </c>
      <c r="I177" s="106">
        <f t="shared" si="26"/>
        <v>6.0871741676095334</v>
      </c>
      <c r="J177" s="106">
        <f t="shared" si="27"/>
        <v>5769.5270844481556</v>
      </c>
      <c r="K177" s="106">
        <f t="shared" si="28"/>
        <v>1.6908817132248704</v>
      </c>
      <c r="L177" s="107">
        <v>77841.777688967137</v>
      </c>
      <c r="M177" s="142">
        <v>3</v>
      </c>
      <c r="N177" s="125">
        <f t="shared" si="23"/>
        <v>75</v>
      </c>
      <c r="O177" s="142">
        <v>0.6</v>
      </c>
      <c r="P177" s="38">
        <f t="shared" si="24"/>
        <v>186</v>
      </c>
    </row>
    <row r="178" spans="3:16" x14ac:dyDescent="0.2">
      <c r="C178" s="108" t="s">
        <v>358</v>
      </c>
      <c r="D178" s="109"/>
      <c r="E178" s="110">
        <v>0.69599999999999995</v>
      </c>
      <c r="F178" s="110">
        <v>43030.226535559123</v>
      </c>
      <c r="G178" s="110">
        <f t="shared" si="25"/>
        <v>2.6346466127999997</v>
      </c>
      <c r="H178" s="110">
        <f t="shared" si="29"/>
        <v>29949.037668749148</v>
      </c>
      <c r="I178" s="110">
        <f t="shared" si="26"/>
        <v>4.7615165047769556</v>
      </c>
      <c r="J178" s="110">
        <f t="shared" si="27"/>
        <v>4513.0462314578144</v>
      </c>
      <c r="K178" s="110">
        <f t="shared" si="28"/>
        <v>1.3226434735491543</v>
      </c>
      <c r="L178" s="111">
        <v>56337.812381502488</v>
      </c>
      <c r="M178" s="142">
        <v>3</v>
      </c>
      <c r="N178" s="125">
        <f t="shared" si="23"/>
        <v>75</v>
      </c>
      <c r="O178" s="142">
        <v>0.6</v>
      </c>
      <c r="P178" s="38">
        <f t="shared" si="24"/>
        <v>186</v>
      </c>
    </row>
    <row r="179" spans="3:16" x14ac:dyDescent="0.2">
      <c r="C179" s="104" t="s">
        <v>359</v>
      </c>
      <c r="D179" s="105"/>
      <c r="E179" s="106">
        <v>0.82599999999999996</v>
      </c>
      <c r="F179" s="106">
        <v>35576.910585045494</v>
      </c>
      <c r="G179" s="106">
        <f t="shared" si="25"/>
        <v>3.1267501467999996</v>
      </c>
      <c r="H179" s="106">
        <f t="shared" si="29"/>
        <v>29386.528143247579</v>
      </c>
      <c r="I179" s="106">
        <f t="shared" si="26"/>
        <v>4.672084636568222</v>
      </c>
      <c r="J179" s="106">
        <f t="shared" si="27"/>
        <v>4428.2811875087409</v>
      </c>
      <c r="K179" s="106">
        <f t="shared" si="28"/>
        <v>1.2978012879356171</v>
      </c>
      <c r="L179" s="107">
        <v>88461.130571335641</v>
      </c>
      <c r="M179" s="142">
        <v>3</v>
      </c>
      <c r="N179" s="125">
        <f t="shared" si="23"/>
        <v>75</v>
      </c>
      <c r="O179" s="142">
        <v>0.6</v>
      </c>
      <c r="P179" s="38">
        <f t="shared" si="24"/>
        <v>186</v>
      </c>
    </row>
    <row r="180" spans="3:16" x14ac:dyDescent="0.2">
      <c r="C180" s="108" t="s">
        <v>360</v>
      </c>
      <c r="D180" s="109"/>
      <c r="E180" s="110">
        <v>0.86070000000000002</v>
      </c>
      <c r="F180" s="110">
        <v>42149.657430561099</v>
      </c>
      <c r="G180" s="110">
        <f t="shared" si="25"/>
        <v>3.2581039362599999</v>
      </c>
      <c r="H180" s="110">
        <f t="shared" si="29"/>
        <v>36278.210150483937</v>
      </c>
      <c r="I180" s="110">
        <f t="shared" si="26"/>
        <v>5.7677745210339104</v>
      </c>
      <c r="J180" s="110">
        <f t="shared" si="27"/>
        <v>5466.7946734902316</v>
      </c>
      <c r="K180" s="110">
        <f t="shared" si="28"/>
        <v>1.6021595891760863</v>
      </c>
      <c r="L180" s="111">
        <v>74831.822793995394</v>
      </c>
      <c r="M180" s="142">
        <v>3</v>
      </c>
      <c r="N180" s="125">
        <f t="shared" si="23"/>
        <v>75</v>
      </c>
      <c r="O180" s="142">
        <v>0.6</v>
      </c>
      <c r="P180" s="38">
        <f t="shared" si="24"/>
        <v>186</v>
      </c>
    </row>
    <row r="181" spans="3:16" x14ac:dyDescent="0.2">
      <c r="C181" s="104" t="s">
        <v>361</v>
      </c>
      <c r="D181" s="105"/>
      <c r="E181" s="106">
        <v>0.87509999999999999</v>
      </c>
      <c r="F181" s="106">
        <v>37907.854789510107</v>
      </c>
      <c r="G181" s="106">
        <f t="shared" si="25"/>
        <v>3.31261386618</v>
      </c>
      <c r="H181" s="106">
        <f t="shared" si="29"/>
        <v>33173.163726300292</v>
      </c>
      <c r="I181" s="106">
        <f t="shared" si="26"/>
        <v>5.274111587340502</v>
      </c>
      <c r="J181" s="106">
        <f t="shared" si="27"/>
        <v>4998.8925586324349</v>
      </c>
      <c r="K181" s="106">
        <f t="shared" si="28"/>
        <v>1.4650309964834729</v>
      </c>
      <c r="L181" s="107">
        <v>54806.487022879926</v>
      </c>
      <c r="M181" s="142">
        <v>3</v>
      </c>
      <c r="N181" s="125">
        <f t="shared" si="23"/>
        <v>75</v>
      </c>
      <c r="O181" s="142">
        <v>0.6</v>
      </c>
      <c r="P181" s="38">
        <f t="shared" si="24"/>
        <v>186</v>
      </c>
    </row>
    <row r="182" spans="3:16" x14ac:dyDescent="0.2">
      <c r="C182" s="108" t="s">
        <v>362</v>
      </c>
      <c r="D182" s="109"/>
      <c r="E182" s="110">
        <v>0.82079999999999997</v>
      </c>
      <c r="F182" s="110">
        <v>22480.19962297516</v>
      </c>
      <c r="G182" s="110">
        <f t="shared" si="25"/>
        <v>3.1070660054399997</v>
      </c>
      <c r="H182" s="110">
        <f t="shared" si="29"/>
        <v>18451.74785053801</v>
      </c>
      <c r="I182" s="110">
        <f t="shared" si="26"/>
        <v>2.9335934898501512</v>
      </c>
      <c r="J182" s="110">
        <f t="shared" si="27"/>
        <v>2780.5097453122407</v>
      </c>
      <c r="K182" s="110">
        <f t="shared" si="28"/>
        <v>0.81488708051393099</v>
      </c>
      <c r="L182" s="111">
        <v>84758.116120746723</v>
      </c>
      <c r="M182" s="142">
        <v>3</v>
      </c>
      <c r="N182" s="125">
        <f t="shared" si="23"/>
        <v>75</v>
      </c>
      <c r="O182" s="142">
        <v>0.6</v>
      </c>
      <c r="P182" s="38">
        <f t="shared" si="24"/>
        <v>186</v>
      </c>
    </row>
    <row r="183" spans="3:16" x14ac:dyDescent="0.2">
      <c r="C183" s="104" t="s">
        <v>363</v>
      </c>
      <c r="D183" s="105"/>
      <c r="E183" s="106">
        <v>0.84930000000000005</v>
      </c>
      <c r="F183" s="106">
        <v>40442.162000000004</v>
      </c>
      <c r="G183" s="106">
        <f t="shared" si="25"/>
        <v>3.21495024174</v>
      </c>
      <c r="H183" s="106">
        <f t="shared" si="29"/>
        <v>34347.528186600008</v>
      </c>
      <c r="I183" s="106">
        <f t="shared" si="26"/>
        <v>5.4608206169323079</v>
      </c>
      <c r="J183" s="106">
        <f t="shared" si="27"/>
        <v>5175.8585486763814</v>
      </c>
      <c r="K183" s="106">
        <f t="shared" si="28"/>
        <v>1.5168946158145298</v>
      </c>
      <c r="L183" s="107">
        <v>78281.203343664762</v>
      </c>
      <c r="M183" s="142">
        <v>3</v>
      </c>
      <c r="N183" s="125">
        <f t="shared" si="23"/>
        <v>75</v>
      </c>
      <c r="O183" s="142">
        <v>0.6</v>
      </c>
      <c r="P183" s="38">
        <f t="shared" si="24"/>
        <v>186</v>
      </c>
    </row>
    <row r="184" spans="3:16" x14ac:dyDescent="0.2">
      <c r="C184" s="108" t="s">
        <v>364</v>
      </c>
      <c r="D184" s="109"/>
      <c r="E184" s="110">
        <v>0.74050000000000005</v>
      </c>
      <c r="F184" s="110">
        <v>45329.53267685703</v>
      </c>
      <c r="G184" s="110">
        <f t="shared" si="25"/>
        <v>2.8030974379</v>
      </c>
      <c r="H184" s="110">
        <f t="shared" si="29"/>
        <v>33566.518947212637</v>
      </c>
      <c r="I184" s="110">
        <f t="shared" si="26"/>
        <v>5.336650070123496</v>
      </c>
      <c r="J184" s="110">
        <f t="shared" si="27"/>
        <v>5058.1675950124891</v>
      </c>
      <c r="K184" s="110">
        <f t="shared" si="28"/>
        <v>1.4824027972565268</v>
      </c>
      <c r="L184" s="111">
        <v>69323.685875271418</v>
      </c>
      <c r="M184" s="142">
        <v>3</v>
      </c>
      <c r="N184" s="125">
        <f t="shared" si="23"/>
        <v>75</v>
      </c>
      <c r="O184" s="142">
        <v>0.6</v>
      </c>
      <c r="P184" s="38">
        <f t="shared" si="24"/>
        <v>186</v>
      </c>
    </row>
    <row r="185" spans="3:16" x14ac:dyDescent="0.2">
      <c r="C185" s="104" t="s">
        <v>365</v>
      </c>
      <c r="D185" s="105"/>
      <c r="E185" s="106">
        <v>0.85760000000000003</v>
      </c>
      <c r="F185" s="106">
        <v>41869.435674091314</v>
      </c>
      <c r="G185" s="106">
        <f t="shared" si="25"/>
        <v>3.2463691596799999</v>
      </c>
      <c r="H185" s="106">
        <f>E185*F185</f>
        <v>35907.228034100714</v>
      </c>
      <c r="I185" s="106">
        <f t="shared" si="26"/>
        <v>5.7087930776341773</v>
      </c>
      <c r="J185" s="106">
        <f t="shared" si="27"/>
        <v>5410.8910594643103</v>
      </c>
      <c r="K185" s="106">
        <f t="shared" si="28"/>
        <v>1.5857758548983827</v>
      </c>
      <c r="L185" s="107">
        <v>65207.202864739491</v>
      </c>
      <c r="M185" s="142">
        <v>1</v>
      </c>
      <c r="N185" s="125">
        <f t="shared" si="23"/>
        <v>25</v>
      </c>
      <c r="O185" s="142">
        <v>0.6</v>
      </c>
      <c r="P185" s="38">
        <f t="shared" si="24"/>
        <v>186</v>
      </c>
    </row>
    <row r="186" spans="3:16" x14ac:dyDescent="0.2">
      <c r="C186" s="108" t="s">
        <v>366</v>
      </c>
      <c r="D186" s="109"/>
      <c r="E186" s="110">
        <v>0.85189999999999999</v>
      </c>
      <c r="F186" s="110">
        <v>42418.466233751533</v>
      </c>
      <c r="G186" s="110">
        <f t="shared" si="25"/>
        <v>3.22479231242</v>
      </c>
      <c r="H186" s="110">
        <f t="shared" si="29"/>
        <v>36136.291384532931</v>
      </c>
      <c r="I186" s="110">
        <f t="shared" si="26"/>
        <v>5.7452112402404705</v>
      </c>
      <c r="J186" s="110">
        <f t="shared" si="27"/>
        <v>5445.4088126511488</v>
      </c>
      <c r="K186" s="110">
        <f t="shared" si="28"/>
        <v>1.5958920111779082</v>
      </c>
      <c r="L186" s="111">
        <v>74193.482509376976</v>
      </c>
      <c r="M186" s="142">
        <v>1</v>
      </c>
      <c r="N186" s="125">
        <f t="shared" si="23"/>
        <v>25</v>
      </c>
      <c r="O186" s="142">
        <v>0.6</v>
      </c>
      <c r="P186" s="38">
        <f t="shared" si="24"/>
        <v>186</v>
      </c>
    </row>
    <row r="187" spans="3:16" x14ac:dyDescent="0.2">
      <c r="C187" s="104" t="s">
        <v>367</v>
      </c>
      <c r="D187" s="105"/>
      <c r="E187" s="106">
        <v>0.74119999999999997</v>
      </c>
      <c r="F187" s="106">
        <v>40659.333347540545</v>
      </c>
      <c r="G187" s="106">
        <f t="shared" si="25"/>
        <v>2.8057472261599998</v>
      </c>
      <c r="H187" s="106">
        <f t="shared" si="29"/>
        <v>30136.69787719705</v>
      </c>
      <c r="I187" s="106">
        <f t="shared" si="26"/>
        <v>4.7913520938098202</v>
      </c>
      <c r="J187" s="106">
        <f t="shared" si="27"/>
        <v>4541.3249095875663</v>
      </c>
      <c r="K187" s="106">
        <f t="shared" si="28"/>
        <v>1.3309311371693944</v>
      </c>
      <c r="L187" s="107">
        <v>66778.409255501349</v>
      </c>
      <c r="M187" s="142">
        <v>3</v>
      </c>
      <c r="N187" s="125">
        <f t="shared" si="23"/>
        <v>75</v>
      </c>
      <c r="O187" s="142">
        <v>0.6</v>
      </c>
      <c r="P187" s="38">
        <f t="shared" si="24"/>
        <v>186</v>
      </c>
    </row>
    <row r="188" spans="3:16" x14ac:dyDescent="0.2">
      <c r="C188" s="108" t="s">
        <v>368</v>
      </c>
      <c r="D188" s="109"/>
      <c r="E188" s="110">
        <v>0.74050000000000016</v>
      </c>
      <c r="F188" s="110">
        <v>45329.53267685703</v>
      </c>
      <c r="G188" s="110">
        <f t="shared" si="25"/>
        <v>2.8030974379000004</v>
      </c>
      <c r="H188" s="110">
        <f t="shared" si="29"/>
        <v>33566.518947212637</v>
      </c>
      <c r="I188" s="110">
        <f t="shared" si="26"/>
        <v>5.336650070123496</v>
      </c>
      <c r="J188" s="110">
        <f t="shared" si="27"/>
        <v>5058.1675950124891</v>
      </c>
      <c r="K188" s="110">
        <f t="shared" si="28"/>
        <v>1.4824027972565268</v>
      </c>
      <c r="L188" s="111">
        <v>69323.685875271418</v>
      </c>
      <c r="M188" s="142">
        <v>1</v>
      </c>
      <c r="N188" s="125">
        <f t="shared" si="23"/>
        <v>25</v>
      </c>
      <c r="O188" s="142">
        <v>0.6</v>
      </c>
      <c r="P188" s="38">
        <f t="shared" si="24"/>
        <v>186</v>
      </c>
    </row>
    <row r="189" spans="3:16" x14ac:dyDescent="0.2">
      <c r="C189" s="104" t="s">
        <v>369</v>
      </c>
      <c r="D189" s="105"/>
      <c r="E189" s="106">
        <v>0.85189999999999999</v>
      </c>
      <c r="F189" s="106">
        <v>41869.435674091314</v>
      </c>
      <c r="G189" s="106">
        <f t="shared" si="25"/>
        <v>3.22479231242</v>
      </c>
      <c r="H189" s="106">
        <f t="shared" si="29"/>
        <v>35668.572250758392</v>
      </c>
      <c r="I189" s="106">
        <f t="shared" si="26"/>
        <v>5.6708498400612823</v>
      </c>
      <c r="J189" s="106">
        <f t="shared" si="27"/>
        <v>5374.9278143162855</v>
      </c>
      <c r="K189" s="106">
        <f t="shared" si="28"/>
        <v>1.5752360666836895</v>
      </c>
      <c r="L189" s="107">
        <v>75166.375708662934</v>
      </c>
      <c r="M189" s="142">
        <v>1</v>
      </c>
      <c r="N189" s="125">
        <f t="shared" si="23"/>
        <v>25</v>
      </c>
      <c r="O189" s="142">
        <v>0.6</v>
      </c>
      <c r="P189" s="38">
        <f t="shared" si="24"/>
        <v>186</v>
      </c>
    </row>
    <row r="190" spans="3:16" x14ac:dyDescent="0.2">
      <c r="C190" s="117" t="s">
        <v>370</v>
      </c>
      <c r="D190" s="118"/>
      <c r="E190" s="119">
        <f>2.1/H144</f>
        <v>0.55476130760727282</v>
      </c>
      <c r="F190" s="119">
        <v>45989.410956446904</v>
      </c>
      <c r="G190" s="119">
        <f t="shared" si="25"/>
        <v>2.1</v>
      </c>
      <c r="H190" s="119">
        <f t="shared" si="29"/>
        <v>25513.145758286722</v>
      </c>
      <c r="I190" s="119">
        <f t="shared" si="26"/>
        <v>4.0562660463586173</v>
      </c>
      <c r="J190" s="119">
        <f t="shared" si="27"/>
        <v>3844.5978662351736</v>
      </c>
      <c r="K190" s="119">
        <f t="shared" si="28"/>
        <v>1.1267405684329492</v>
      </c>
      <c r="L190" s="120">
        <v>47289.338246831365</v>
      </c>
      <c r="M190" s="142">
        <v>1</v>
      </c>
      <c r="N190" s="125">
        <f t="shared" si="23"/>
        <v>25</v>
      </c>
      <c r="O190" s="142">
        <v>0.1</v>
      </c>
      <c r="P190" s="38">
        <f t="shared" si="24"/>
        <v>31</v>
      </c>
    </row>
    <row r="191" spans="3:16" x14ac:dyDescent="0.2">
      <c r="C191" s="78" t="s">
        <v>371</v>
      </c>
      <c r="D191" s="79"/>
      <c r="E191" s="82"/>
      <c r="F191" s="82" t="s">
        <v>351</v>
      </c>
      <c r="G191" s="82" t="s">
        <v>372</v>
      </c>
      <c r="H191" s="82"/>
      <c r="I191" s="82"/>
      <c r="J191" s="82" t="s">
        <v>354</v>
      </c>
      <c r="K191" s="82" t="s">
        <v>373</v>
      </c>
      <c r="L191" s="116" t="s">
        <v>331</v>
      </c>
      <c r="M191" s="142"/>
      <c r="N191" s="125">
        <f t="shared" si="23"/>
        <v>0</v>
      </c>
      <c r="O191" s="142"/>
      <c r="P191" s="38">
        <f t="shared" si="24"/>
        <v>0</v>
      </c>
    </row>
    <row r="192" spans="3:16" x14ac:dyDescent="0.2">
      <c r="C192" s="104" t="s">
        <v>374</v>
      </c>
      <c r="D192" s="105"/>
      <c r="E192" s="106"/>
      <c r="F192" s="106">
        <v>28760.237670076764</v>
      </c>
      <c r="G192" s="106">
        <f>F192/1000</f>
        <v>28.760237670076762</v>
      </c>
      <c r="H192" s="106"/>
      <c r="I192" s="106"/>
      <c r="J192" s="106">
        <f t="shared" ref="J192:J216" si="30">G192*1000000/$H$150</f>
        <v>27259.441840126743</v>
      </c>
      <c r="K192" s="106">
        <f t="shared" ref="K192:K216" si="31">G192*1000/$H$151</f>
        <v>7.9889549083546569</v>
      </c>
      <c r="L192" s="107">
        <v>88136.018640712296</v>
      </c>
      <c r="M192" s="142">
        <v>1</v>
      </c>
      <c r="N192" s="125">
        <f t="shared" si="23"/>
        <v>25</v>
      </c>
      <c r="O192" s="142">
        <v>1.5</v>
      </c>
      <c r="P192" s="38">
        <f t="shared" si="24"/>
        <v>465</v>
      </c>
    </row>
    <row r="193" spans="3:16" x14ac:dyDescent="0.2">
      <c r="C193" s="108" t="s">
        <v>375</v>
      </c>
      <c r="D193" s="109"/>
      <c r="E193" s="110"/>
      <c r="F193" s="110">
        <v>26622.365041004105</v>
      </c>
      <c r="G193" s="110">
        <f>F193/1000</f>
        <v>26.622365041004105</v>
      </c>
      <c r="H193" s="110"/>
      <c r="I193" s="110"/>
      <c r="J193" s="110">
        <f t="shared" si="30"/>
        <v>25233.129844296516</v>
      </c>
      <c r="K193" s="110">
        <f t="shared" si="31"/>
        <v>7.3951014002789179</v>
      </c>
      <c r="L193" s="111">
        <v>81163.161565699658</v>
      </c>
      <c r="M193" s="142">
        <v>1</v>
      </c>
      <c r="N193" s="125">
        <f t="shared" si="23"/>
        <v>25</v>
      </c>
      <c r="O193" s="142">
        <v>1.5</v>
      </c>
      <c r="P193" s="38">
        <f t="shared" si="24"/>
        <v>465</v>
      </c>
    </row>
    <row r="194" spans="3:16" x14ac:dyDescent="0.2">
      <c r="C194" s="104" t="s">
        <v>376</v>
      </c>
      <c r="D194" s="105"/>
      <c r="E194" s="106"/>
      <c r="F194" s="106">
        <v>30416.887533401004</v>
      </c>
      <c r="G194" s="106">
        <f t="shared" ref="G194:G216" si="32">F194/1000</f>
        <v>30.416887533401006</v>
      </c>
      <c r="H194" s="106"/>
      <c r="I194" s="106"/>
      <c r="J194" s="106">
        <f t="shared" si="30"/>
        <v>28829.642723609933</v>
      </c>
      <c r="K194" s="106">
        <f t="shared" si="31"/>
        <v>8.4491354259447231</v>
      </c>
      <c r="L194" s="107">
        <v>95146.406011433093</v>
      </c>
      <c r="M194" s="142">
        <v>1</v>
      </c>
      <c r="N194" s="125">
        <f t="shared" si="23"/>
        <v>25</v>
      </c>
      <c r="O194" s="142">
        <v>1.5</v>
      </c>
      <c r="P194" s="38">
        <f t="shared" si="24"/>
        <v>465</v>
      </c>
    </row>
    <row r="195" spans="3:16" x14ac:dyDescent="0.2">
      <c r="C195" s="108" t="s">
        <v>377</v>
      </c>
      <c r="D195" s="109"/>
      <c r="E195" s="110"/>
      <c r="F195" s="110">
        <v>29170.195087514916</v>
      </c>
      <c r="G195" s="110">
        <f t="shared" si="32"/>
        <v>29.170195087514916</v>
      </c>
      <c r="H195" s="110"/>
      <c r="I195" s="110"/>
      <c r="J195" s="110">
        <f t="shared" si="30"/>
        <v>27648.006444695744</v>
      </c>
      <c r="K195" s="110">
        <f t="shared" si="31"/>
        <v>8.1028319687541437</v>
      </c>
      <c r="L195" s="111">
        <v>75915.137965351329</v>
      </c>
      <c r="M195" s="142">
        <v>1</v>
      </c>
      <c r="N195" s="125">
        <f t="shared" si="23"/>
        <v>25</v>
      </c>
      <c r="O195" s="142">
        <v>1.5</v>
      </c>
      <c r="P195" s="38">
        <f t="shared" si="24"/>
        <v>465</v>
      </c>
    </row>
    <row r="196" spans="3:16" x14ac:dyDescent="0.2">
      <c r="C196" s="104" t="s">
        <v>378</v>
      </c>
      <c r="D196" s="105"/>
      <c r="E196" s="106"/>
      <c r="F196" s="106">
        <v>31212.294776583451</v>
      </c>
      <c r="G196" s="106">
        <f t="shared" si="32"/>
        <v>31.212294776583452</v>
      </c>
      <c r="H196" s="106"/>
      <c r="I196" s="106"/>
      <c r="J196" s="106">
        <f t="shared" si="30"/>
        <v>29583.543221007654</v>
      </c>
      <c r="K196" s="106">
        <f t="shared" si="31"/>
        <v>8.6700818823842916</v>
      </c>
      <c r="L196" s="107">
        <v>80341.164884007187</v>
      </c>
      <c r="M196" s="142">
        <v>1</v>
      </c>
      <c r="N196" s="125">
        <f t="shared" si="23"/>
        <v>25</v>
      </c>
      <c r="O196" s="142">
        <v>1.5</v>
      </c>
      <c r="P196" s="38">
        <f t="shared" si="24"/>
        <v>465</v>
      </c>
    </row>
    <row r="197" spans="3:16" x14ac:dyDescent="0.2">
      <c r="C197" s="108" t="s">
        <v>379</v>
      </c>
      <c r="D197" s="109"/>
      <c r="E197" s="110"/>
      <c r="F197" s="110">
        <v>31229.263666666669</v>
      </c>
      <c r="G197" s="110">
        <f t="shared" si="32"/>
        <v>31.229263666666668</v>
      </c>
      <c r="H197" s="110"/>
      <c r="I197" s="110"/>
      <c r="J197" s="110">
        <f t="shared" si="30"/>
        <v>29599.62662329456</v>
      </c>
      <c r="K197" s="110">
        <f t="shared" si="31"/>
        <v>8.6747954629629636</v>
      </c>
      <c r="L197" s="111">
        <v>90067.932924215478</v>
      </c>
      <c r="M197" s="142">
        <v>1</v>
      </c>
      <c r="N197" s="125">
        <f t="shared" si="23"/>
        <v>25</v>
      </c>
      <c r="O197" s="142">
        <v>1.5</v>
      </c>
      <c r="P197" s="38">
        <f t="shared" si="24"/>
        <v>465</v>
      </c>
    </row>
    <row r="198" spans="3:16" x14ac:dyDescent="0.2">
      <c r="C198" s="104" t="s">
        <v>380</v>
      </c>
      <c r="D198" s="105"/>
      <c r="E198" s="106"/>
      <c r="F198" s="106">
        <v>20947.59350251879</v>
      </c>
      <c r="G198" s="106">
        <f t="shared" si="32"/>
        <v>20.947593502518789</v>
      </c>
      <c r="H198" s="106"/>
      <c r="I198" s="106"/>
      <c r="J198" s="106">
        <f t="shared" si="30"/>
        <v>19854.484977592456</v>
      </c>
      <c r="K198" s="106">
        <f t="shared" si="31"/>
        <v>5.8187759729218858</v>
      </c>
      <c r="L198" s="107">
        <v>90854.391229956236</v>
      </c>
      <c r="M198" s="142">
        <v>1</v>
      </c>
      <c r="N198" s="125">
        <f t="shared" si="23"/>
        <v>25</v>
      </c>
      <c r="O198" s="142">
        <v>1.5</v>
      </c>
      <c r="P198" s="38">
        <f t="shared" si="24"/>
        <v>465</v>
      </c>
    </row>
    <row r="199" spans="3:16" x14ac:dyDescent="0.2">
      <c r="C199" s="108" t="s">
        <v>381</v>
      </c>
      <c r="D199" s="109"/>
      <c r="E199" s="110"/>
      <c r="F199" s="110">
        <v>33076.688699879494</v>
      </c>
      <c r="G199" s="110">
        <f t="shared" si="32"/>
        <v>33.076688699879497</v>
      </c>
      <c r="H199" s="110"/>
      <c r="I199" s="110"/>
      <c r="J199" s="110">
        <f t="shared" si="30"/>
        <v>31350.647453670226</v>
      </c>
      <c r="K199" s="110">
        <f t="shared" si="31"/>
        <v>9.1879690832998602</v>
      </c>
      <c r="L199" s="111">
        <v>77405.137520676377</v>
      </c>
      <c r="M199" s="142">
        <v>1</v>
      </c>
      <c r="N199" s="125">
        <f t="shared" si="23"/>
        <v>25</v>
      </c>
      <c r="O199" s="142">
        <v>1.5</v>
      </c>
      <c r="P199" s="38">
        <f t="shared" si="24"/>
        <v>465</v>
      </c>
    </row>
    <row r="200" spans="3:16" x14ac:dyDescent="0.2">
      <c r="C200" s="104" t="s">
        <v>382</v>
      </c>
      <c r="D200" s="105"/>
      <c r="E200" s="106"/>
      <c r="F200" s="106">
        <v>29204.713770792197</v>
      </c>
      <c r="G200" s="106">
        <f t="shared" si="32"/>
        <v>29.204713770792196</v>
      </c>
      <c r="H200" s="106"/>
      <c r="I200" s="106"/>
      <c r="J200" s="106">
        <f t="shared" si="30"/>
        <v>27680.723839106358</v>
      </c>
      <c r="K200" s="106">
        <f t="shared" si="31"/>
        <v>8.1124204918867218</v>
      </c>
      <c r="L200" s="107">
        <v>92142.04125478481</v>
      </c>
      <c r="M200" s="142">
        <v>1</v>
      </c>
      <c r="N200" s="125">
        <f t="shared" si="23"/>
        <v>25</v>
      </c>
      <c r="O200" s="142">
        <v>1.5</v>
      </c>
      <c r="P200" s="38">
        <f t="shared" si="24"/>
        <v>465</v>
      </c>
    </row>
    <row r="201" spans="3:16" x14ac:dyDescent="0.2">
      <c r="C201" s="108" t="s">
        <v>383</v>
      </c>
      <c r="D201" s="109"/>
      <c r="E201" s="110"/>
      <c r="F201" s="110">
        <v>35206.206224646681</v>
      </c>
      <c r="G201" s="110">
        <f t="shared" si="32"/>
        <v>35.206206224646678</v>
      </c>
      <c r="H201" s="110"/>
      <c r="I201" s="110"/>
      <c r="J201" s="110">
        <f t="shared" si="30"/>
        <v>33369.040339703941</v>
      </c>
      <c r="K201" s="110">
        <f t="shared" si="31"/>
        <v>9.7795017290685227</v>
      </c>
      <c r="L201" s="111">
        <v>86711.808115560081</v>
      </c>
      <c r="M201" s="142">
        <v>1</v>
      </c>
      <c r="N201" s="125">
        <f t="shared" si="23"/>
        <v>25</v>
      </c>
      <c r="O201" s="142">
        <v>1.5</v>
      </c>
      <c r="P201" s="38">
        <f t="shared" si="24"/>
        <v>465</v>
      </c>
    </row>
    <row r="202" spans="3:16" x14ac:dyDescent="0.2">
      <c r="C202" s="104" t="s">
        <v>384</v>
      </c>
      <c r="D202" s="105"/>
      <c r="E202" s="106"/>
      <c r="F202" s="106">
        <v>24405.425301665378</v>
      </c>
      <c r="G202" s="106">
        <f t="shared" si="32"/>
        <v>24.405425301665378</v>
      </c>
      <c r="H202" s="106"/>
      <c r="I202" s="106"/>
      <c r="J202" s="106">
        <f t="shared" si="30"/>
        <v>23131.87669817088</v>
      </c>
      <c r="K202" s="106">
        <f t="shared" si="31"/>
        <v>6.7792848060181603</v>
      </c>
      <c r="L202" s="107">
        <v>93317.236202801345</v>
      </c>
      <c r="M202" s="142">
        <v>1</v>
      </c>
      <c r="N202" s="125">
        <f t="shared" si="23"/>
        <v>25</v>
      </c>
      <c r="O202" s="142">
        <v>1.5</v>
      </c>
      <c r="P202" s="38">
        <f t="shared" si="24"/>
        <v>465</v>
      </c>
    </row>
    <row r="203" spans="3:16" x14ac:dyDescent="0.2">
      <c r="C203" s="108" t="s">
        <v>385</v>
      </c>
      <c r="D203" s="109"/>
      <c r="E203" s="110"/>
      <c r="F203" s="110">
        <v>14742.946948893843</v>
      </c>
      <c r="G203" s="110">
        <f t="shared" si="32"/>
        <v>14.742946948893843</v>
      </c>
      <c r="H203" s="110"/>
      <c r="I203" s="110"/>
      <c r="J203" s="110">
        <f t="shared" si="30"/>
        <v>13973.61557006817</v>
      </c>
      <c r="K203" s="110">
        <f t="shared" si="31"/>
        <v>4.0952630413594004</v>
      </c>
      <c r="L203" s="111">
        <v>112929.71718206792</v>
      </c>
      <c r="M203" s="142">
        <v>30</v>
      </c>
      <c r="N203" s="125">
        <f t="shared" si="23"/>
        <v>750</v>
      </c>
      <c r="O203" s="142">
        <v>4</v>
      </c>
      <c r="P203" s="38">
        <f t="shared" si="24"/>
        <v>1240</v>
      </c>
    </row>
    <row r="204" spans="3:16" x14ac:dyDescent="0.2">
      <c r="C204" s="104" t="s">
        <v>386</v>
      </c>
      <c r="D204" s="105"/>
      <c r="E204" s="106"/>
      <c r="F204" s="106">
        <v>16639.711247080875</v>
      </c>
      <c r="G204" s="106">
        <f t="shared" si="32"/>
        <v>16.639711247080875</v>
      </c>
      <c r="H204" s="106"/>
      <c r="I204" s="106"/>
      <c r="J204" s="106">
        <f t="shared" si="30"/>
        <v>15771.400993957548</v>
      </c>
      <c r="K204" s="106">
        <f t="shared" si="31"/>
        <v>4.6221420130780206</v>
      </c>
      <c r="L204" s="107">
        <v>112371.9449612372</v>
      </c>
      <c r="M204" s="142">
        <v>30</v>
      </c>
      <c r="N204" s="125">
        <f t="shared" si="23"/>
        <v>750</v>
      </c>
      <c r="O204" s="142">
        <v>4</v>
      </c>
      <c r="P204" s="38">
        <f t="shared" si="24"/>
        <v>1240</v>
      </c>
    </row>
    <row r="205" spans="3:16" x14ac:dyDescent="0.2">
      <c r="C205" s="108" t="s">
        <v>387</v>
      </c>
      <c r="D205" s="109"/>
      <c r="E205" s="110"/>
      <c r="F205" s="110">
        <v>16770.969509684281</v>
      </c>
      <c r="G205" s="110">
        <f t="shared" si="32"/>
        <v>16.770969509684281</v>
      </c>
      <c r="H205" s="110"/>
      <c r="I205" s="110"/>
      <c r="J205" s="110">
        <f t="shared" si="30"/>
        <v>15895.809805057059</v>
      </c>
      <c r="K205" s="110">
        <f t="shared" si="31"/>
        <v>4.658602641578967</v>
      </c>
      <c r="L205" s="111">
        <v>104850.5458247817</v>
      </c>
      <c r="M205" s="142">
        <v>30</v>
      </c>
      <c r="N205" s="125">
        <f t="shared" si="23"/>
        <v>750</v>
      </c>
      <c r="O205" s="142">
        <v>4</v>
      </c>
      <c r="P205" s="38">
        <f t="shared" si="24"/>
        <v>1240</v>
      </c>
    </row>
    <row r="206" spans="3:16" x14ac:dyDescent="0.2">
      <c r="C206" s="104" t="s">
        <v>388</v>
      </c>
      <c r="D206" s="105"/>
      <c r="E206" s="106"/>
      <c r="F206" s="106">
        <v>18297.366669753734</v>
      </c>
      <c r="G206" s="106">
        <f t="shared" si="32"/>
        <v>18.297366669753735</v>
      </c>
      <c r="H206" s="106"/>
      <c r="I206" s="106"/>
      <c r="J206" s="106">
        <f t="shared" si="30"/>
        <v>17342.554963673712</v>
      </c>
      <c r="K206" s="106">
        <f t="shared" si="31"/>
        <v>5.0826018527093701</v>
      </c>
      <c r="L206" s="107">
        <v>107438.3302598291</v>
      </c>
      <c r="M206" s="142">
        <v>30</v>
      </c>
      <c r="N206" s="125">
        <f t="shared" si="23"/>
        <v>750</v>
      </c>
      <c r="O206" s="142">
        <v>4</v>
      </c>
      <c r="P206" s="38">
        <f t="shared" si="24"/>
        <v>1240</v>
      </c>
    </row>
    <row r="207" spans="3:16" x14ac:dyDescent="0.2">
      <c r="C207" s="108" t="s">
        <v>389</v>
      </c>
      <c r="D207" s="109"/>
      <c r="E207" s="110"/>
      <c r="F207" s="110">
        <v>14952.939269862525</v>
      </c>
      <c r="G207" s="110">
        <f t="shared" si="32"/>
        <v>14.952939269862526</v>
      </c>
      <c r="H207" s="110"/>
      <c r="I207" s="110"/>
      <c r="J207" s="110">
        <f t="shared" si="30"/>
        <v>14172.649859213658</v>
      </c>
      <c r="K207" s="110">
        <f t="shared" si="31"/>
        <v>4.153594241628479</v>
      </c>
      <c r="L207" s="111">
        <v>103875.93888249564</v>
      </c>
      <c r="M207" s="142">
        <v>30</v>
      </c>
      <c r="N207" s="125">
        <f t="shared" si="23"/>
        <v>750</v>
      </c>
      <c r="O207" s="142">
        <v>4</v>
      </c>
      <c r="P207" s="38">
        <f t="shared" si="24"/>
        <v>1240</v>
      </c>
    </row>
    <row r="208" spans="3:16" x14ac:dyDescent="0.2">
      <c r="C208" s="104" t="s">
        <v>390</v>
      </c>
      <c r="D208" s="105"/>
      <c r="E208" s="106"/>
      <c r="F208" s="106">
        <v>24506.211785179668</v>
      </c>
      <c r="G208" s="106">
        <f t="shared" si="32"/>
        <v>24.506211785179669</v>
      </c>
      <c r="H208" s="106"/>
      <c r="I208" s="106"/>
      <c r="J208" s="106">
        <f t="shared" si="30"/>
        <v>23227.403839397786</v>
      </c>
      <c r="K208" s="106">
        <f t="shared" si="31"/>
        <v>6.8072810514387969</v>
      </c>
      <c r="L208" s="107">
        <v>90676.956104587094</v>
      </c>
      <c r="M208" s="142">
        <v>30</v>
      </c>
      <c r="N208" s="125">
        <f t="shared" si="23"/>
        <v>750</v>
      </c>
      <c r="O208" s="142">
        <v>4</v>
      </c>
      <c r="P208" s="38">
        <f t="shared" si="24"/>
        <v>1240</v>
      </c>
    </row>
    <row r="209" spans="2:16" x14ac:dyDescent="0.2">
      <c r="C209" s="108" t="s">
        <v>391</v>
      </c>
      <c r="D209" s="109"/>
      <c r="E209" s="110"/>
      <c r="F209" s="110">
        <v>17925.990538607581</v>
      </c>
      <c r="G209" s="110">
        <f t="shared" si="32"/>
        <v>17.925990538607582</v>
      </c>
      <c r="H209" s="110"/>
      <c r="I209" s="110"/>
      <c r="J209" s="110">
        <f t="shared" si="30"/>
        <v>16990.558357667822</v>
      </c>
      <c r="K209" s="110">
        <f t="shared" si="31"/>
        <v>4.9794418162798832</v>
      </c>
      <c r="L209" s="111">
        <v>104410.9003597283</v>
      </c>
      <c r="M209" s="142">
        <v>30</v>
      </c>
      <c r="N209" s="125">
        <f t="shared" si="23"/>
        <v>750</v>
      </c>
      <c r="O209" s="142">
        <v>4</v>
      </c>
      <c r="P209" s="38">
        <f t="shared" si="24"/>
        <v>1240</v>
      </c>
    </row>
    <row r="210" spans="2:16" x14ac:dyDescent="0.2">
      <c r="C210" s="104" t="s">
        <v>392</v>
      </c>
      <c r="D210" s="105"/>
      <c r="E210" s="106"/>
      <c r="F210" s="106">
        <v>16993.451114417207</v>
      </c>
      <c r="G210" s="106">
        <f t="shared" si="32"/>
        <v>16.993451114417205</v>
      </c>
      <c r="H210" s="106"/>
      <c r="I210" s="106"/>
      <c r="J210" s="106">
        <f t="shared" si="30"/>
        <v>16106.681649521168</v>
      </c>
      <c r="K210" s="106">
        <f t="shared" si="31"/>
        <v>4.7204030873381129</v>
      </c>
      <c r="L210" s="107">
        <v>89524.923242345176</v>
      </c>
      <c r="M210" s="142">
        <v>30</v>
      </c>
      <c r="N210" s="125">
        <f t="shared" si="23"/>
        <v>750</v>
      </c>
      <c r="O210" s="142">
        <v>4</v>
      </c>
      <c r="P210" s="38">
        <f t="shared" si="24"/>
        <v>1240</v>
      </c>
    </row>
    <row r="211" spans="2:16" x14ac:dyDescent="0.2">
      <c r="C211" s="108" t="s">
        <v>393</v>
      </c>
      <c r="D211" s="109"/>
      <c r="E211" s="110"/>
      <c r="F211" s="110">
        <v>16979.092464285328</v>
      </c>
      <c r="G211" s="110">
        <f t="shared" si="32"/>
        <v>16.979092464285326</v>
      </c>
      <c r="H211" s="110"/>
      <c r="I211" s="110"/>
      <c r="J211" s="110">
        <f t="shared" si="30"/>
        <v>16093.072277002666</v>
      </c>
      <c r="K211" s="110">
        <f t="shared" si="31"/>
        <v>4.7164145734125915</v>
      </c>
      <c r="L211" s="111">
        <v>115342.94546658927</v>
      </c>
      <c r="M211" s="142">
        <v>30</v>
      </c>
      <c r="N211" s="125">
        <f t="shared" si="23"/>
        <v>750</v>
      </c>
      <c r="O211" s="142">
        <v>4</v>
      </c>
      <c r="P211" s="38">
        <f t="shared" si="24"/>
        <v>1240</v>
      </c>
    </row>
    <row r="212" spans="2:16" x14ac:dyDescent="0.2">
      <c r="C212" s="104" t="s">
        <v>394</v>
      </c>
      <c r="D212" s="105"/>
      <c r="E212" s="106"/>
      <c r="F212" s="106">
        <v>18489</v>
      </c>
      <c r="G212" s="106">
        <f t="shared" si="32"/>
        <v>18.489000000000001</v>
      </c>
      <c r="H212" s="106"/>
      <c r="I212" s="106"/>
      <c r="J212" s="106">
        <f t="shared" si="30"/>
        <v>17524.18828953155</v>
      </c>
      <c r="K212" s="106">
        <f t="shared" si="31"/>
        <v>5.1358333333333333</v>
      </c>
      <c r="L212" s="107">
        <v>105650.94236696765</v>
      </c>
      <c r="M212" s="142">
        <v>30</v>
      </c>
      <c r="N212" s="125">
        <f t="shared" si="23"/>
        <v>750</v>
      </c>
      <c r="O212" s="142">
        <v>4</v>
      </c>
      <c r="P212" s="38">
        <f t="shared" si="24"/>
        <v>1240</v>
      </c>
    </row>
    <row r="213" spans="2:16" x14ac:dyDescent="0.2">
      <c r="C213" s="108" t="s">
        <v>395</v>
      </c>
      <c r="D213" s="109"/>
      <c r="E213" s="110"/>
      <c r="F213" s="110">
        <v>18969</v>
      </c>
      <c r="G213" s="110">
        <f t="shared" si="32"/>
        <v>18.969000000000001</v>
      </c>
      <c r="H213" s="110"/>
      <c r="I213" s="110"/>
      <c r="J213" s="110">
        <f t="shared" si="30"/>
        <v>17979.140443730001</v>
      </c>
      <c r="K213" s="110">
        <f t="shared" si="31"/>
        <v>5.269166666666667</v>
      </c>
      <c r="L213" s="111">
        <v>105720.48009857842</v>
      </c>
      <c r="M213" s="142">
        <v>30</v>
      </c>
      <c r="N213" s="125">
        <f t="shared" si="23"/>
        <v>750</v>
      </c>
      <c r="O213" s="142">
        <v>4</v>
      </c>
      <c r="P213" s="38">
        <f t="shared" si="24"/>
        <v>1240</v>
      </c>
    </row>
    <row r="214" spans="2:16" x14ac:dyDescent="0.2">
      <c r="C214" s="104" t="s">
        <v>396</v>
      </c>
      <c r="D214" s="105"/>
      <c r="E214" s="106"/>
      <c r="F214" s="106">
        <v>18694</v>
      </c>
      <c r="G214" s="106">
        <f t="shared" si="32"/>
        <v>18.693999999999999</v>
      </c>
      <c r="H214" s="106"/>
      <c r="I214" s="106"/>
      <c r="J214" s="106">
        <f t="shared" si="30"/>
        <v>17718.490772053807</v>
      </c>
      <c r="K214" s="106">
        <f t="shared" si="31"/>
        <v>5.1927777777777777</v>
      </c>
      <c r="L214" s="107">
        <v>103923.93919138091</v>
      </c>
      <c r="M214" s="142">
        <v>30</v>
      </c>
      <c r="N214" s="125">
        <f t="shared" si="23"/>
        <v>750</v>
      </c>
      <c r="O214" s="142">
        <v>4</v>
      </c>
      <c r="P214" s="38">
        <f t="shared" si="24"/>
        <v>1240</v>
      </c>
    </row>
    <row r="215" spans="2:16" x14ac:dyDescent="0.2">
      <c r="C215" s="108" t="s">
        <v>397</v>
      </c>
      <c r="D215" s="109"/>
      <c r="E215" s="110"/>
      <c r="F215" s="110">
        <v>18582</v>
      </c>
      <c r="G215" s="110">
        <f t="shared" si="32"/>
        <v>18.582000000000001</v>
      </c>
      <c r="H215" s="110"/>
      <c r="I215" s="110"/>
      <c r="J215" s="110">
        <f t="shared" si="30"/>
        <v>17612.3352694075</v>
      </c>
      <c r="K215" s="110">
        <f t="shared" si="31"/>
        <v>5.1616666666666671</v>
      </c>
      <c r="L215" s="111">
        <v>103978.4719117686</v>
      </c>
      <c r="M215" s="142">
        <v>30</v>
      </c>
      <c r="N215" s="125">
        <f t="shared" si="23"/>
        <v>750</v>
      </c>
      <c r="O215" s="142">
        <v>4</v>
      </c>
      <c r="P215" s="38">
        <f t="shared" si="24"/>
        <v>1240</v>
      </c>
    </row>
    <row r="216" spans="2:16" x14ac:dyDescent="0.2">
      <c r="C216" s="104" t="s">
        <v>398</v>
      </c>
      <c r="D216" s="105"/>
      <c r="E216" s="106"/>
      <c r="F216" s="106">
        <v>37920.740990303515</v>
      </c>
      <c r="G216" s="106">
        <f t="shared" si="32"/>
        <v>37.920740990303514</v>
      </c>
      <c r="H216" s="106"/>
      <c r="I216" s="106"/>
      <c r="J216" s="106">
        <f t="shared" si="30"/>
        <v>35941.92250487511</v>
      </c>
      <c r="K216" s="106">
        <f t="shared" si="31"/>
        <v>10.533539163973199</v>
      </c>
      <c r="L216" s="107">
        <v>77577.487802640724</v>
      </c>
      <c r="M216" s="142">
        <v>30</v>
      </c>
      <c r="N216" s="125">
        <f t="shared" si="23"/>
        <v>750</v>
      </c>
      <c r="O216" s="142">
        <v>0.1</v>
      </c>
      <c r="P216" s="38">
        <f t="shared" si="24"/>
        <v>31</v>
      </c>
    </row>
    <row r="219" spans="2:16" x14ac:dyDescent="0.2">
      <c r="B219" s="83" t="s">
        <v>258</v>
      </c>
      <c r="C219" s="83" t="str">
        <f t="shared" ref="C219:C238" si="33">VLOOKUP(B219,$B$109:$L$138,2,FALSE)</f>
        <v>BAGAZO</v>
      </c>
      <c r="E219" s="83">
        <v>1975</v>
      </c>
    </row>
    <row r="220" spans="2:16" x14ac:dyDescent="0.2">
      <c r="B220" s="88" t="s">
        <v>261</v>
      </c>
      <c r="C220" s="88" t="str">
        <f t="shared" si="33"/>
        <v>CARBÓN MINERAL</v>
      </c>
      <c r="E220" s="88">
        <v>1976</v>
      </c>
    </row>
    <row r="221" spans="2:16" x14ac:dyDescent="0.2">
      <c r="B221" s="83" t="s">
        <v>263</v>
      </c>
      <c r="C221" s="83" t="str">
        <f t="shared" si="33"/>
        <v>GAS NATURAL</v>
      </c>
      <c r="E221" s="83">
        <v>1977</v>
      </c>
    </row>
    <row r="222" spans="2:16" x14ac:dyDescent="0.2">
      <c r="B222" s="88" t="s">
        <v>266</v>
      </c>
      <c r="C222" s="88" t="str">
        <f t="shared" si="33"/>
        <v>HIDROENERGÍA</v>
      </c>
      <c r="E222" s="88">
        <v>1978</v>
      </c>
    </row>
    <row r="223" spans="2:16" x14ac:dyDescent="0.2">
      <c r="B223" s="83" t="s">
        <v>268</v>
      </c>
      <c r="C223" s="83" t="str">
        <f t="shared" si="33"/>
        <v>LEÑA</v>
      </c>
      <c r="E223" s="83">
        <v>1979</v>
      </c>
    </row>
    <row r="224" spans="2:16" x14ac:dyDescent="0.2">
      <c r="B224" s="88" t="s">
        <v>270</v>
      </c>
      <c r="C224" s="88" t="str">
        <f t="shared" si="33"/>
        <v>PETROLEO</v>
      </c>
      <c r="E224" s="88">
        <v>1980</v>
      </c>
    </row>
    <row r="225" spans="2:5" x14ac:dyDescent="0.2">
      <c r="B225" s="83" t="s">
        <v>274</v>
      </c>
      <c r="C225" s="83" t="str">
        <f t="shared" si="33"/>
        <v>RECUPERACIÓN / RESIDUOS</v>
      </c>
      <c r="E225" s="83">
        <v>1981</v>
      </c>
    </row>
    <row r="226" spans="2:5" x14ac:dyDescent="0.2">
      <c r="B226" s="88" t="s">
        <v>283</v>
      </c>
      <c r="C226" s="88" t="str">
        <f t="shared" si="33"/>
        <v>OTROS RENOVABLES</v>
      </c>
      <c r="E226" s="88">
        <v>1982</v>
      </c>
    </row>
    <row r="227" spans="2:5" x14ac:dyDescent="0.2">
      <c r="B227" s="83" t="s">
        <v>291</v>
      </c>
      <c r="C227" s="83" t="str">
        <f t="shared" si="33"/>
        <v>ALCOHOL CARBURANTE</v>
      </c>
      <c r="E227" s="83">
        <v>1983</v>
      </c>
    </row>
    <row r="228" spans="2:5" x14ac:dyDescent="0.2">
      <c r="B228" s="88" t="s">
        <v>293</v>
      </c>
      <c r="C228" s="88" t="str">
        <f t="shared" si="33"/>
        <v>BIODIESEL</v>
      </c>
      <c r="E228" s="88">
        <v>1984</v>
      </c>
    </row>
    <row r="229" spans="2:5" x14ac:dyDescent="0.2">
      <c r="B229" s="83" t="s">
        <v>295</v>
      </c>
      <c r="C229" s="83" t="str">
        <f t="shared" si="33"/>
        <v>CARBÓN LEÑA</v>
      </c>
      <c r="E229" s="83">
        <v>1985</v>
      </c>
    </row>
    <row r="230" spans="2:5" x14ac:dyDescent="0.2">
      <c r="B230" s="88" t="s">
        <v>297</v>
      </c>
      <c r="C230" s="88" t="str">
        <f t="shared" si="33"/>
        <v>COQUE</v>
      </c>
      <c r="E230" s="88">
        <v>1986</v>
      </c>
    </row>
    <row r="231" spans="2:5" x14ac:dyDescent="0.2">
      <c r="B231" s="83" t="s">
        <v>299</v>
      </c>
      <c r="C231" s="83" t="str">
        <f t="shared" si="33"/>
        <v>DIESEL OIL</v>
      </c>
      <c r="E231" s="83">
        <v>1987</v>
      </c>
    </row>
    <row r="232" spans="2:5" x14ac:dyDescent="0.2">
      <c r="B232" s="88" t="s">
        <v>301</v>
      </c>
      <c r="C232" s="88" t="str">
        <f t="shared" si="33"/>
        <v>AUTO &amp; COGENERACIÓN</v>
      </c>
      <c r="E232" s="88">
        <v>1988</v>
      </c>
    </row>
    <row r="233" spans="2:5" x14ac:dyDescent="0.2">
      <c r="B233" s="83" t="s">
        <v>303</v>
      </c>
      <c r="C233" s="83" t="str">
        <f t="shared" si="33"/>
        <v>ENERGÍA ELECTRICA SIN</v>
      </c>
      <c r="E233" s="83">
        <v>1989</v>
      </c>
    </row>
    <row r="234" spans="2:5" x14ac:dyDescent="0.2">
      <c r="B234" s="88" t="s">
        <v>305</v>
      </c>
      <c r="C234" s="88" t="str">
        <f t="shared" si="33"/>
        <v>FUEL OIL</v>
      </c>
      <c r="E234" s="88">
        <v>1990</v>
      </c>
    </row>
    <row r="235" spans="2:5" x14ac:dyDescent="0.2">
      <c r="B235" s="83" t="s">
        <v>307</v>
      </c>
      <c r="C235" s="83" t="str">
        <f t="shared" si="33"/>
        <v>GAS INDUSTRIAL DE ALTO HORNO</v>
      </c>
      <c r="E235" s="83">
        <v>1991</v>
      </c>
    </row>
    <row r="236" spans="2:5" x14ac:dyDescent="0.2">
      <c r="B236" s="88" t="s">
        <v>309</v>
      </c>
      <c r="C236" s="88" t="str">
        <f t="shared" si="33"/>
        <v>GAS LICUADO DE PETRÓLEO</v>
      </c>
      <c r="E236" s="88">
        <v>1992</v>
      </c>
    </row>
    <row r="237" spans="2:5" x14ac:dyDescent="0.2">
      <c r="B237" s="83" t="s">
        <v>311</v>
      </c>
      <c r="C237" s="83" t="str">
        <f t="shared" si="33"/>
        <v>GASOLINA MOTOR</v>
      </c>
      <c r="E237" s="83">
        <v>1993</v>
      </c>
    </row>
    <row r="238" spans="2:5" x14ac:dyDescent="0.2">
      <c r="B238" s="88" t="s">
        <v>315</v>
      </c>
      <c r="C238" s="88" t="str">
        <f t="shared" si="33"/>
        <v>KEROSENE Y JET FUEL</v>
      </c>
      <c r="E238" s="88">
        <v>1994</v>
      </c>
    </row>
    <row r="239" spans="2:5" x14ac:dyDescent="0.2">
      <c r="E239" s="83">
        <v>1995</v>
      </c>
    </row>
    <row r="240" spans="2:5" x14ac:dyDescent="0.2">
      <c r="E240" s="88">
        <v>1996</v>
      </c>
    </row>
    <row r="241" spans="5:5" x14ac:dyDescent="0.2">
      <c r="E241" s="83">
        <v>1997</v>
      </c>
    </row>
    <row r="242" spans="5:5" x14ac:dyDescent="0.2">
      <c r="E242" s="88">
        <v>1998</v>
      </c>
    </row>
    <row r="243" spans="5:5" x14ac:dyDescent="0.2">
      <c r="E243" s="83">
        <v>1999</v>
      </c>
    </row>
    <row r="244" spans="5:5" x14ac:dyDescent="0.2">
      <c r="E244" s="88">
        <v>2000</v>
      </c>
    </row>
    <row r="245" spans="5:5" x14ac:dyDescent="0.2">
      <c r="E245" s="83">
        <v>2001</v>
      </c>
    </row>
    <row r="246" spans="5:5" x14ac:dyDescent="0.2">
      <c r="E246" s="88">
        <v>2002</v>
      </c>
    </row>
    <row r="247" spans="5:5" x14ac:dyDescent="0.2">
      <c r="E247" s="83">
        <v>2003</v>
      </c>
    </row>
    <row r="248" spans="5:5" x14ac:dyDescent="0.2">
      <c r="E248" s="88">
        <v>2004</v>
      </c>
    </row>
    <row r="249" spans="5:5" x14ac:dyDescent="0.2">
      <c r="E249" s="83">
        <v>2005</v>
      </c>
    </row>
    <row r="250" spans="5:5" x14ac:dyDescent="0.2">
      <c r="E250" s="88">
        <v>2006</v>
      </c>
    </row>
    <row r="251" spans="5:5" x14ac:dyDescent="0.2">
      <c r="E251" s="83">
        <v>2007</v>
      </c>
    </row>
    <row r="252" spans="5:5" x14ac:dyDescent="0.2">
      <c r="E252" s="88">
        <v>2008</v>
      </c>
    </row>
    <row r="253" spans="5:5" x14ac:dyDescent="0.2">
      <c r="E253" s="83">
        <v>2009</v>
      </c>
    </row>
    <row r="254" spans="5:5" x14ac:dyDescent="0.2">
      <c r="E254" s="88">
        <v>2010</v>
      </c>
    </row>
    <row r="255" spans="5:5" x14ac:dyDescent="0.2">
      <c r="E255" s="83">
        <v>2011</v>
      </c>
    </row>
    <row r="256" spans="5:5" x14ac:dyDescent="0.2">
      <c r="E256" s="88">
        <v>2012</v>
      </c>
    </row>
    <row r="257" spans="5:5" x14ac:dyDescent="0.2">
      <c r="E257" s="83">
        <v>2013</v>
      </c>
    </row>
    <row r="258" spans="5:5" x14ac:dyDescent="0.2">
      <c r="E258" s="88">
        <v>2014</v>
      </c>
    </row>
    <row r="259" spans="5:5" x14ac:dyDescent="0.2">
      <c r="E259" s="83">
        <v>2015</v>
      </c>
    </row>
    <row r="260" spans="5:5" x14ac:dyDescent="0.2">
      <c r="E260" s="88">
        <v>2016</v>
      </c>
    </row>
    <row r="261" spans="5:5" x14ac:dyDescent="0.2">
      <c r="E261" s="83">
        <v>2017</v>
      </c>
    </row>
    <row r="262" spans="5:5" x14ac:dyDescent="0.2">
      <c r="E262" s="88">
        <v>2018</v>
      </c>
    </row>
    <row r="263" spans="5:5" x14ac:dyDescent="0.2">
      <c r="E263" s="83">
        <v>2019</v>
      </c>
    </row>
    <row r="264" spans="5:5" x14ac:dyDescent="0.2">
      <c r="E264" s="88">
        <v>2020</v>
      </c>
    </row>
    <row r="265" spans="5:5" x14ac:dyDescent="0.2">
      <c r="E265" s="83">
        <v>2021</v>
      </c>
    </row>
  </sheetData>
  <mergeCells count="16">
    <mergeCell ref="F2:G2"/>
    <mergeCell ref="D7:D9"/>
    <mergeCell ref="D107:J107"/>
    <mergeCell ref="B123:L123"/>
    <mergeCell ref="B140:E140"/>
    <mergeCell ref="G140:I140"/>
    <mergeCell ref="G46:G48"/>
    <mergeCell ref="H46:H48"/>
    <mergeCell ref="E46:E48"/>
    <mergeCell ref="F46:F48"/>
    <mergeCell ref="I46:I48"/>
    <mergeCell ref="J46:J48"/>
    <mergeCell ref="E41:F41"/>
    <mergeCell ref="K42:M42"/>
    <mergeCell ref="G41:N41"/>
    <mergeCell ref="B106:L106"/>
  </mergeCells>
  <pageMargins left="0.7" right="0.7" top="1.1865942028985508" bottom="0.75" header="0.3" footer="0.3"/>
  <pageSetup fitToWidth="0" fitToHeight="0" orientation="portrait" horizontalDpi="1200" verticalDpi="1200" r:id="rId1"/>
  <headerFooter>
    <oddHeader>&amp;L&amp;G&amp;C&amp;"-,Bold"&amp;16&amp;K002060Balance Energético Colombia
&amp;A&amp;R&amp;G</oddHeader>
    <oddFooter>&amp;C&amp;F</oddFooter>
  </headerFooter>
  <ignoredErrors>
    <ignoredError sqref="E50:F50" formula="1"/>
  </ignoredErrors>
  <drawing r:id="rId2"/>
  <legacyDrawing r:id="rId3"/>
  <legacyDrawingHF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BBBF6-E167-48D3-927A-A11A4A00D8B9}">
  <dimension ref="B1:AO127"/>
  <sheetViews>
    <sheetView showGridLines="0" topLeftCell="G49" zoomScale="115" zoomScaleNormal="115" workbookViewId="0">
      <selection activeCell="I114" sqref="I114:Q121"/>
    </sheetView>
  </sheetViews>
  <sheetFormatPr baseColWidth="10" defaultRowHeight="15" x14ac:dyDescent="0.25"/>
  <cols>
    <col min="3" max="3" width="11.85546875" bestFit="1" customWidth="1"/>
    <col min="4" max="4" width="14.42578125" customWidth="1"/>
    <col min="9" max="9" width="13.85546875" customWidth="1"/>
    <col min="10" max="10" width="15.28515625" customWidth="1"/>
    <col min="11" max="11" width="34.5703125" customWidth="1"/>
    <col min="13" max="13" width="15.5703125" customWidth="1"/>
    <col min="18" max="18" width="12.28515625" bestFit="1" customWidth="1"/>
    <col min="20" max="20" width="14.85546875" bestFit="1" customWidth="1"/>
  </cols>
  <sheetData>
    <row r="1" spans="9:23" x14ac:dyDescent="0.25">
      <c r="Q1" s="251"/>
      <c r="R1" s="251">
        <v>9.47817E-4</v>
      </c>
      <c r="S1" s="251" t="s">
        <v>234</v>
      </c>
      <c r="T1" s="251"/>
      <c r="U1" s="251"/>
      <c r="V1" s="251"/>
      <c r="W1" s="251"/>
    </row>
    <row r="2" spans="9:23" x14ac:dyDescent="0.25">
      <c r="Q2" s="251"/>
      <c r="R2" s="251">
        <f>+R1/(1000000)</f>
        <v>9.4781700000000002E-10</v>
      </c>
      <c r="S2" s="251" t="s">
        <v>235</v>
      </c>
      <c r="T2" s="251"/>
      <c r="U2" s="251"/>
      <c r="V2" s="251"/>
      <c r="W2" s="251"/>
    </row>
    <row r="3" spans="9:23" x14ac:dyDescent="0.25">
      <c r="Q3" s="251"/>
      <c r="R3" s="251">
        <f>+R2*1000000000000000</f>
        <v>947817</v>
      </c>
      <c r="S3" s="251" t="s">
        <v>236</v>
      </c>
      <c r="T3" s="251">
        <f>1/R3</f>
        <v>1.0550559865459262E-6</v>
      </c>
      <c r="U3" s="251" t="s">
        <v>237</v>
      </c>
      <c r="V3" s="251"/>
      <c r="W3" s="251"/>
    </row>
    <row r="4" spans="9:23" x14ac:dyDescent="0.25">
      <c r="I4" s="14" t="s">
        <v>30</v>
      </c>
      <c r="J4" s="1"/>
      <c r="K4" s="1"/>
      <c r="L4" s="1"/>
      <c r="M4" s="1"/>
      <c r="Q4" s="251"/>
      <c r="R4" s="251"/>
      <c r="S4" s="251"/>
      <c r="T4" s="251"/>
      <c r="U4" s="251"/>
      <c r="V4" s="251"/>
      <c r="W4" s="251"/>
    </row>
    <row r="5" spans="9:23" x14ac:dyDescent="0.25">
      <c r="I5" s="11" t="s">
        <v>32</v>
      </c>
      <c r="J5" s="11" t="s">
        <v>11</v>
      </c>
      <c r="K5" s="11" t="s">
        <v>33</v>
      </c>
      <c r="L5" s="11" t="s">
        <v>34</v>
      </c>
      <c r="M5" s="11" t="s">
        <v>35</v>
      </c>
      <c r="Q5" s="251"/>
      <c r="R5" s="251">
        <v>1.0550559999999999E-6</v>
      </c>
      <c r="S5" s="251" t="s">
        <v>204</v>
      </c>
      <c r="T5" s="251"/>
      <c r="U5" s="251"/>
      <c r="V5" s="251"/>
      <c r="W5" s="251"/>
    </row>
    <row r="6" spans="9:23" s="18" customFormat="1" ht="24" thickBot="1" x14ac:dyDescent="0.3">
      <c r="I6" s="13" t="s">
        <v>36</v>
      </c>
      <c r="J6" s="13" t="s">
        <v>37</v>
      </c>
      <c r="K6" s="13" t="s">
        <v>38</v>
      </c>
      <c r="L6" s="13" t="s">
        <v>39</v>
      </c>
      <c r="M6" s="13" t="s">
        <v>40</v>
      </c>
      <c r="Q6" s="252"/>
      <c r="R6" s="252"/>
      <c r="S6" s="252"/>
      <c r="T6" s="252"/>
      <c r="U6" s="252"/>
      <c r="V6" s="252"/>
      <c r="W6" s="252"/>
    </row>
    <row r="7" spans="9:23" ht="15.75" thickBot="1" x14ac:dyDescent="0.3">
      <c r="I7" s="13" t="s">
        <v>4</v>
      </c>
      <c r="J7" s="13"/>
      <c r="K7" s="13"/>
      <c r="L7" s="13"/>
      <c r="M7" s="13"/>
      <c r="Q7" s="251"/>
      <c r="R7" s="251" t="s">
        <v>131</v>
      </c>
      <c r="S7" s="251" t="s">
        <v>203</v>
      </c>
      <c r="T7" s="251" t="s">
        <v>205</v>
      </c>
      <c r="U7" s="251"/>
      <c r="V7" s="251" t="s">
        <v>205</v>
      </c>
      <c r="W7" s="251" t="s">
        <v>131</v>
      </c>
    </row>
    <row r="8" spans="9:23" x14ac:dyDescent="0.25">
      <c r="I8" t="s">
        <v>116</v>
      </c>
      <c r="J8" t="str" cm="1">
        <f t="array" ref="J8:J18">+$I$8&amp;"-"&amp;COMM!$O$20:$O$30</f>
        <v>EXP-GSL</v>
      </c>
      <c r="K8" t="str" cm="1">
        <f t="array" ref="K8:K18">"Exportacion de "&amp;COMM!$P$20:$P$30</f>
        <v>Exportacion de Gasolina</v>
      </c>
      <c r="L8" t="s">
        <v>9</v>
      </c>
      <c r="M8" t="s">
        <v>42</v>
      </c>
      <c r="Q8" s="251" t="s">
        <v>192</v>
      </c>
      <c r="R8" s="251">
        <v>14.26</v>
      </c>
      <c r="S8" s="251">
        <f>+R8*1000000</f>
        <v>14260000</v>
      </c>
      <c r="T8" s="253">
        <f>+S8*$R$5</f>
        <v>15.04509856</v>
      </c>
      <c r="U8" s="251" t="s">
        <v>85</v>
      </c>
      <c r="V8" s="251">
        <v>22.15</v>
      </c>
      <c r="W8" s="251"/>
    </row>
    <row r="9" spans="9:23" x14ac:dyDescent="0.25">
      <c r="J9" t="str">
        <v>EXP-DSL</v>
      </c>
      <c r="K9" t="str">
        <v>Exportacion de Diesel</v>
      </c>
      <c r="L9" t="s">
        <v>9</v>
      </c>
      <c r="M9" t="s">
        <v>42</v>
      </c>
      <c r="Q9" s="251" t="s">
        <v>193</v>
      </c>
      <c r="R9" s="251">
        <v>16.96</v>
      </c>
      <c r="S9" s="251">
        <f t="shared" ref="S9:S18" si="0">+R9*1000000</f>
        <v>16960000</v>
      </c>
      <c r="T9" s="253">
        <f t="shared" ref="T9:T18" si="1">+S9*$R$5</f>
        <v>17.893749759999999</v>
      </c>
      <c r="U9" s="251" t="s">
        <v>86</v>
      </c>
      <c r="V9" s="251">
        <v>22.06</v>
      </c>
      <c r="W9" s="251"/>
    </row>
    <row r="10" spans="9:23" x14ac:dyDescent="0.25">
      <c r="J10" t="str">
        <v>EXP-KER</v>
      </c>
      <c r="K10" t="str">
        <v>Exportacion de Keroseno-Jet</v>
      </c>
      <c r="L10" t="s">
        <v>9</v>
      </c>
      <c r="M10" t="s">
        <v>42</v>
      </c>
      <c r="Q10" s="251" t="s">
        <v>194</v>
      </c>
      <c r="R10" s="251">
        <v>11.91</v>
      </c>
      <c r="S10" s="251">
        <f t="shared" si="0"/>
        <v>11910000</v>
      </c>
      <c r="T10" s="253">
        <f t="shared" si="1"/>
        <v>12.56571696</v>
      </c>
      <c r="U10" s="251" t="s">
        <v>206</v>
      </c>
      <c r="V10" s="251">
        <v>14.64</v>
      </c>
      <c r="W10" s="251"/>
    </row>
    <row r="11" spans="9:23" x14ac:dyDescent="0.25">
      <c r="J11" t="str">
        <v>EXP-LPG</v>
      </c>
      <c r="K11" t="str">
        <v>Exportacion de LPG</v>
      </c>
      <c r="L11" t="s">
        <v>9</v>
      </c>
      <c r="M11" t="s">
        <v>42</v>
      </c>
      <c r="Q11" s="251" t="s">
        <v>195</v>
      </c>
      <c r="R11" s="251">
        <v>6.34</v>
      </c>
      <c r="S11" s="251">
        <f t="shared" si="0"/>
        <v>6340000</v>
      </c>
      <c r="T11" s="253">
        <f t="shared" si="1"/>
        <v>6.6890550399999995</v>
      </c>
      <c r="U11" s="251" t="s">
        <v>49</v>
      </c>
      <c r="V11" s="251">
        <v>18.52</v>
      </c>
      <c r="W11" s="251"/>
    </row>
    <row r="12" spans="9:23" x14ac:dyDescent="0.25">
      <c r="J12" t="str">
        <v>EXP-HFO</v>
      </c>
      <c r="K12" t="str">
        <v>Exportacion de Combustoleo</v>
      </c>
      <c r="L12" t="s">
        <v>9</v>
      </c>
      <c r="M12" t="s">
        <v>42</v>
      </c>
      <c r="Q12" s="251" t="s">
        <v>196</v>
      </c>
      <c r="R12" s="251">
        <v>8.2100000000000009</v>
      </c>
      <c r="S12" s="251">
        <f t="shared" si="0"/>
        <v>8210000.0000000009</v>
      </c>
      <c r="T12" s="253">
        <f t="shared" si="1"/>
        <v>8.6620097600000001</v>
      </c>
      <c r="U12" s="251" t="s">
        <v>207</v>
      </c>
      <c r="V12" s="251">
        <v>9.75</v>
      </c>
      <c r="W12" s="251"/>
    </row>
    <row r="13" spans="9:23" x14ac:dyDescent="0.25">
      <c r="J13" t="str">
        <v>EXP-ETH</v>
      </c>
      <c r="K13" t="str">
        <v>Exportacion de Etanol</v>
      </c>
      <c r="L13" t="s">
        <v>9</v>
      </c>
      <c r="M13" t="s">
        <v>42</v>
      </c>
      <c r="Q13" s="251" t="s">
        <v>197</v>
      </c>
      <c r="R13" s="251">
        <v>26</v>
      </c>
      <c r="S13" s="251">
        <f t="shared" si="0"/>
        <v>26000000</v>
      </c>
      <c r="T13" s="253">
        <f t="shared" si="1"/>
        <v>27.431455999999997</v>
      </c>
      <c r="U13" s="251" t="s">
        <v>208</v>
      </c>
      <c r="V13" s="251"/>
      <c r="W13" s="251"/>
    </row>
    <row r="14" spans="9:23" x14ac:dyDescent="0.25">
      <c r="J14" t="str">
        <v>EXP-BDSL</v>
      </c>
      <c r="K14" t="str">
        <v>Exportacion de Biodiesel</v>
      </c>
      <c r="L14" t="s">
        <v>9</v>
      </c>
      <c r="M14" t="s">
        <v>42</v>
      </c>
      <c r="Q14" s="251" t="s">
        <v>198</v>
      </c>
      <c r="R14" s="251">
        <v>29</v>
      </c>
      <c r="S14" s="251">
        <f t="shared" si="0"/>
        <v>29000000</v>
      </c>
      <c r="T14" s="253">
        <f t="shared" si="1"/>
        <v>30.596623999999998</v>
      </c>
      <c r="U14" s="251" t="s">
        <v>90</v>
      </c>
      <c r="V14" s="251"/>
      <c r="W14" s="251"/>
    </row>
    <row r="15" spans="9:23" x14ac:dyDescent="0.25">
      <c r="J15" t="str">
        <v>EXP-GAS</v>
      </c>
      <c r="K15" t="str">
        <v>Exportacion de Gasolina natural</v>
      </c>
      <c r="L15" t="s">
        <v>9</v>
      </c>
      <c r="M15" t="s">
        <v>42</v>
      </c>
      <c r="Q15" s="251" t="s">
        <v>199</v>
      </c>
      <c r="R15" s="251">
        <v>5.6</v>
      </c>
      <c r="S15" s="251">
        <f t="shared" si="0"/>
        <v>5600000</v>
      </c>
      <c r="T15" s="253">
        <f t="shared" si="1"/>
        <v>5.9083135999999996</v>
      </c>
      <c r="U15" s="251" t="s">
        <v>209</v>
      </c>
      <c r="V15" s="251">
        <v>5.03</v>
      </c>
      <c r="W15" s="251"/>
    </row>
    <row r="16" spans="9:23" x14ac:dyDescent="0.25">
      <c r="J16" t="str">
        <v>EXP-LOIL</v>
      </c>
      <c r="K16" t="str">
        <v>Exportacion de Petroleo liviano</v>
      </c>
      <c r="L16" t="s">
        <v>9</v>
      </c>
      <c r="M16" t="s">
        <v>42</v>
      </c>
      <c r="Q16" s="251" t="s">
        <v>200</v>
      </c>
      <c r="R16" s="251">
        <v>7.26</v>
      </c>
      <c r="S16" s="251">
        <f t="shared" si="0"/>
        <v>7260000</v>
      </c>
      <c r="T16" s="253">
        <f t="shared" si="1"/>
        <v>7.6597065599999992</v>
      </c>
      <c r="U16" s="251" t="s">
        <v>210</v>
      </c>
      <c r="V16" s="251"/>
      <c r="W16" s="251"/>
    </row>
    <row r="17" spans="2:23" x14ac:dyDescent="0.25">
      <c r="J17" t="str">
        <v>EXP-MOIL</v>
      </c>
      <c r="K17" t="str">
        <v>Exportacion de Petroleo mediano</v>
      </c>
      <c r="L17" t="s">
        <v>9</v>
      </c>
      <c r="M17" t="s">
        <v>42</v>
      </c>
      <c r="Q17" s="251" t="s">
        <v>201</v>
      </c>
      <c r="R17" s="251">
        <f>+R18+(R16-R18)/2</f>
        <v>7.01</v>
      </c>
      <c r="S17" s="251">
        <f t="shared" si="0"/>
        <v>7010000</v>
      </c>
      <c r="T17" s="253">
        <f t="shared" si="1"/>
        <v>7.3959425599999991</v>
      </c>
      <c r="U17" s="251"/>
      <c r="V17" s="251"/>
      <c r="W17" s="251"/>
    </row>
    <row r="18" spans="2:23" x14ac:dyDescent="0.25">
      <c r="J18" t="str">
        <v>EXP-HOIL</v>
      </c>
      <c r="K18" t="str">
        <v>Exportacion de Petroleo pesado</v>
      </c>
      <c r="L18" t="s">
        <v>9</v>
      </c>
      <c r="M18" t="s">
        <v>42</v>
      </c>
      <c r="Q18" s="251" t="s">
        <v>202</v>
      </c>
      <c r="R18" s="251">
        <v>6.76</v>
      </c>
      <c r="S18" s="251">
        <f t="shared" si="0"/>
        <v>6760000</v>
      </c>
      <c r="T18" s="253">
        <f t="shared" si="1"/>
        <v>7.1321785599999998</v>
      </c>
      <c r="U18" s="251"/>
      <c r="V18" s="251"/>
      <c r="W18" s="251"/>
    </row>
    <row r="19" spans="2:23" x14ac:dyDescent="0.25">
      <c r="J19" t="s">
        <v>125</v>
      </c>
      <c r="K19" t="s">
        <v>127</v>
      </c>
      <c r="L19" t="s">
        <v>9</v>
      </c>
      <c r="M19" t="s">
        <v>42</v>
      </c>
      <c r="Q19" s="251"/>
      <c r="R19" s="251"/>
      <c r="S19" s="251"/>
      <c r="T19" s="251"/>
      <c r="U19" s="251"/>
      <c r="V19" s="251"/>
      <c r="W19" s="251"/>
    </row>
    <row r="20" spans="2:23" x14ac:dyDescent="0.25">
      <c r="J20" t="s">
        <v>523</v>
      </c>
      <c r="K20" t="s">
        <v>524</v>
      </c>
      <c r="L20" t="s">
        <v>9</v>
      </c>
      <c r="M20" t="s">
        <v>42</v>
      </c>
      <c r="Q20" s="251"/>
      <c r="R20" s="251"/>
      <c r="S20" s="251"/>
      <c r="T20" s="251"/>
      <c r="U20" s="251"/>
      <c r="V20" s="251"/>
      <c r="W20" s="251"/>
    </row>
    <row r="21" spans="2:23" x14ac:dyDescent="0.25">
      <c r="I21" t="s">
        <v>115</v>
      </c>
      <c r="J21" t="str" cm="1">
        <f t="array" ref="J21:J31">+$I$21&amp;"-"&amp;COMM!$O$20:$O$30</f>
        <v>IMP-GSL</v>
      </c>
      <c r="K21" t="str" cm="1">
        <f t="array" ref="K21:K31">"Importacion de "&amp;COMM!$P$20:$P$30</f>
        <v>Importacion de Gasolina</v>
      </c>
      <c r="L21" t="s">
        <v>9</v>
      </c>
      <c r="M21" t="s">
        <v>42</v>
      </c>
    </row>
    <row r="22" spans="2:23" x14ac:dyDescent="0.25">
      <c r="J22" t="str">
        <v>IMP-DSL</v>
      </c>
      <c r="K22" t="str">
        <v>Importacion de Diesel</v>
      </c>
      <c r="L22" t="s">
        <v>9</v>
      </c>
      <c r="M22" t="s">
        <v>42</v>
      </c>
    </row>
    <row r="23" spans="2:23" x14ac:dyDescent="0.25">
      <c r="J23" t="str">
        <v>IMP-KER</v>
      </c>
      <c r="K23" t="str">
        <v>Importacion de Keroseno-Jet</v>
      </c>
      <c r="L23" t="s">
        <v>9</v>
      </c>
      <c r="M23" t="s">
        <v>42</v>
      </c>
    </row>
    <row r="24" spans="2:23" x14ac:dyDescent="0.25">
      <c r="J24" t="str">
        <v>IMP-LPG</v>
      </c>
      <c r="K24" t="str">
        <v>Importacion de LPG</v>
      </c>
      <c r="L24" t="s">
        <v>9</v>
      </c>
      <c r="M24" t="s">
        <v>42</v>
      </c>
    </row>
    <row r="25" spans="2:23" x14ac:dyDescent="0.25">
      <c r="J25" t="str">
        <v>IMP-HFO</v>
      </c>
      <c r="K25" t="str">
        <v>Importacion de Combustoleo</v>
      </c>
      <c r="L25" t="s">
        <v>9</v>
      </c>
      <c r="M25" t="s">
        <v>42</v>
      </c>
    </row>
    <row r="26" spans="2:23" x14ac:dyDescent="0.25">
      <c r="J26" t="str">
        <v>IMP-ETH</v>
      </c>
      <c r="K26" t="str">
        <v>Importacion de Etanol</v>
      </c>
      <c r="L26" t="s">
        <v>9</v>
      </c>
      <c r="M26" t="s">
        <v>42</v>
      </c>
    </row>
    <row r="27" spans="2:23" x14ac:dyDescent="0.25">
      <c r="J27" t="str">
        <v>IMP-BDSL</v>
      </c>
      <c r="K27" t="str">
        <v>Importacion de Biodiesel</v>
      </c>
      <c r="L27" t="s">
        <v>9</v>
      </c>
      <c r="M27" t="s">
        <v>42</v>
      </c>
    </row>
    <row r="28" spans="2:23" x14ac:dyDescent="0.25">
      <c r="J28" t="str">
        <v>IMP-GAS</v>
      </c>
      <c r="K28" t="str">
        <v>Importacion de Gasolina natural</v>
      </c>
      <c r="L28" t="s">
        <v>9</v>
      </c>
      <c r="M28" t="s">
        <v>42</v>
      </c>
    </row>
    <row r="29" spans="2:23" x14ac:dyDescent="0.25">
      <c r="J29" t="str">
        <v>IMP-LOIL</v>
      </c>
      <c r="K29" t="str">
        <v>Importacion de Petroleo liviano</v>
      </c>
      <c r="L29" t="s">
        <v>9</v>
      </c>
      <c r="M29" t="s">
        <v>42</v>
      </c>
    </row>
    <row r="30" spans="2:23" x14ac:dyDescent="0.25">
      <c r="J30" t="str">
        <v>IMP-MOIL</v>
      </c>
      <c r="K30" t="str">
        <v>Importacion de Petroleo mediano</v>
      </c>
      <c r="L30" t="s">
        <v>9</v>
      </c>
      <c r="M30" t="s">
        <v>42</v>
      </c>
    </row>
    <row r="31" spans="2:23" x14ac:dyDescent="0.25">
      <c r="J31" t="str">
        <v>IMP-HOIL</v>
      </c>
      <c r="K31" t="str">
        <v>Importacion de Petroleo pesado</v>
      </c>
      <c r="L31" t="s">
        <v>9</v>
      </c>
      <c r="M31" t="s">
        <v>42</v>
      </c>
    </row>
    <row r="32" spans="2:23" x14ac:dyDescent="0.25">
      <c r="B32" t="s">
        <v>243</v>
      </c>
      <c r="D32">
        <v>3299</v>
      </c>
      <c r="E32" t="s">
        <v>244</v>
      </c>
      <c r="J32" t="s">
        <v>126</v>
      </c>
      <c r="K32" t="s">
        <v>128</v>
      </c>
      <c r="L32" t="s">
        <v>9</v>
      </c>
      <c r="M32" t="s">
        <v>42</v>
      </c>
    </row>
    <row r="33" spans="2:23" x14ac:dyDescent="0.25">
      <c r="J33" t="s">
        <v>525</v>
      </c>
      <c r="K33" t="s">
        <v>526</v>
      </c>
      <c r="L33" t="s">
        <v>9</v>
      </c>
      <c r="M33" t="s">
        <v>42</v>
      </c>
    </row>
    <row r="35" spans="2:23" x14ac:dyDescent="0.25">
      <c r="D35">
        <v>287</v>
      </c>
      <c r="E35" t="s">
        <v>241</v>
      </c>
    </row>
    <row r="36" spans="2:23" x14ac:dyDescent="0.25">
      <c r="D36" s="75">
        <f>+D35/D32</f>
        <v>8.6996059411943008E-2</v>
      </c>
      <c r="E36" t="s">
        <v>130</v>
      </c>
      <c r="I36" s="3" t="s">
        <v>0</v>
      </c>
      <c r="J36" s="2"/>
      <c r="K36" s="2"/>
      <c r="L36" s="2"/>
      <c r="M36" s="3"/>
    </row>
    <row r="37" spans="2:23" x14ac:dyDescent="0.25">
      <c r="I37" s="4" t="s">
        <v>11</v>
      </c>
      <c r="J37" s="5" t="s">
        <v>12</v>
      </c>
      <c r="K37" s="4" t="s">
        <v>13</v>
      </c>
      <c r="L37" s="6" t="s">
        <v>211</v>
      </c>
      <c r="M37" s="6" t="s">
        <v>227</v>
      </c>
      <c r="N37" s="6" t="s">
        <v>228</v>
      </c>
      <c r="O37" s="6" t="s">
        <v>229</v>
      </c>
      <c r="P37" s="6" t="s">
        <v>230</v>
      </c>
      <c r="Q37" s="6" t="s">
        <v>231</v>
      </c>
      <c r="R37" s="6" t="s">
        <v>232</v>
      </c>
      <c r="S37" s="6" t="s">
        <v>233</v>
      </c>
    </row>
    <row r="38" spans="2:23" ht="15.75" thickBot="1" x14ac:dyDescent="0.3">
      <c r="I38" s="7" t="s">
        <v>15</v>
      </c>
      <c r="J38" s="7" t="s">
        <v>16</v>
      </c>
      <c r="K38" s="7" t="s">
        <v>17</v>
      </c>
      <c r="L38" s="21" t="s">
        <v>18</v>
      </c>
      <c r="M38" s="21" t="s">
        <v>18</v>
      </c>
      <c r="N38" s="21" t="s">
        <v>18</v>
      </c>
      <c r="O38" s="21" t="s">
        <v>18</v>
      </c>
      <c r="P38" s="21" t="s">
        <v>18</v>
      </c>
      <c r="Q38" s="21" t="s">
        <v>18</v>
      </c>
      <c r="R38" s="21" t="s">
        <v>18</v>
      </c>
      <c r="S38" s="21" t="s">
        <v>18</v>
      </c>
    </row>
    <row r="39" spans="2:23" ht="15.75" thickBot="1" x14ac:dyDescent="0.3">
      <c r="I39" s="7"/>
      <c r="J39" s="8"/>
      <c r="K39" s="8"/>
      <c r="L39" s="8" t="s">
        <v>19</v>
      </c>
      <c r="M39" s="8" t="s">
        <v>19</v>
      </c>
      <c r="N39" s="8" t="s">
        <v>19</v>
      </c>
      <c r="O39" s="8" t="s">
        <v>19</v>
      </c>
      <c r="P39" s="8" t="s">
        <v>19</v>
      </c>
      <c r="Q39" s="8" t="s">
        <v>19</v>
      </c>
      <c r="R39" s="8" t="s">
        <v>19</v>
      </c>
      <c r="S39" s="8" t="s">
        <v>19</v>
      </c>
    </row>
    <row r="40" spans="2:23" x14ac:dyDescent="0.25">
      <c r="I40" t="str">
        <f t="shared" ref="I40:I51" si="2">+J8</f>
        <v>EXP-GSL</v>
      </c>
      <c r="J40" s="22" t="str">
        <f>+RIGHT(I40,3)</f>
        <v>GSL</v>
      </c>
      <c r="K40" s="22"/>
      <c r="L40" s="72">
        <f>+J115</f>
        <v>20.996445954041999</v>
      </c>
      <c r="M40" s="72">
        <f t="shared" ref="M40:S40" si="3">+K115</f>
        <v>20.795929580790002</v>
      </c>
      <c r="N40" s="72">
        <f t="shared" si="3"/>
        <v>20.716882590807003</v>
      </c>
      <c r="O40" s="72">
        <f t="shared" si="3"/>
        <v>22.202066334591002</v>
      </c>
      <c r="P40" s="72">
        <f t="shared" si="3"/>
        <v>23.568165402677998</v>
      </c>
      <c r="Q40" s="72">
        <f t="shared" si="3"/>
        <v>24.597135442035</v>
      </c>
      <c r="R40" s="72">
        <f t="shared" si="3"/>
        <v>25.886116327734001</v>
      </c>
      <c r="S40" s="72">
        <f t="shared" si="3"/>
        <v>27.153960894333</v>
      </c>
      <c r="T40" s="72"/>
      <c r="U40" s="72">
        <v>14.26</v>
      </c>
      <c r="V40" s="72"/>
      <c r="W40" s="72"/>
    </row>
    <row r="41" spans="2:23" x14ac:dyDescent="0.25">
      <c r="B41" s="51" t="s">
        <v>242</v>
      </c>
      <c r="C41" s="51"/>
      <c r="D41" s="51"/>
      <c r="E41" s="51">
        <v>0.11600000000000001</v>
      </c>
      <c r="F41" s="51" t="s">
        <v>240</v>
      </c>
      <c r="I41" t="str">
        <f t="shared" si="2"/>
        <v>EXP-DSL</v>
      </c>
      <c r="J41" s="22" t="str">
        <f t="shared" ref="J41:J47" si="4">+RIGHT(I41,3)</f>
        <v>DSL</v>
      </c>
      <c r="K41" s="22"/>
      <c r="L41" s="72">
        <f>+J116</f>
        <v>20.905026160941002</v>
      </c>
      <c r="M41" s="72">
        <f t="shared" ref="M41:S41" si="5">+K116</f>
        <v>20.219447377232999</v>
      </c>
      <c r="N41" s="72">
        <f t="shared" si="5"/>
        <v>20.630671999937999</v>
      </c>
      <c r="O41" s="72">
        <f t="shared" si="5"/>
        <v>21.930071290101001</v>
      </c>
      <c r="P41" s="72">
        <f t="shared" si="5"/>
        <v>23.082531458571001</v>
      </c>
      <c r="Q41" s="72">
        <f t="shared" si="5"/>
        <v>23.875429665555</v>
      </c>
      <c r="R41" s="72">
        <f t="shared" si="5"/>
        <v>25.090517790116998</v>
      </c>
      <c r="S41" s="72">
        <f t="shared" si="5"/>
        <v>25.880965890156002</v>
      </c>
      <c r="T41" s="72"/>
      <c r="U41" s="72">
        <v>16.96</v>
      </c>
      <c r="V41" s="72"/>
      <c r="W41" s="72"/>
    </row>
    <row r="42" spans="2:23" x14ac:dyDescent="0.25">
      <c r="E42">
        <f>+E41*1000000</f>
        <v>116000</v>
      </c>
      <c r="F42" t="s">
        <v>132</v>
      </c>
      <c r="I42" t="str">
        <f t="shared" si="2"/>
        <v>EXP-KER</v>
      </c>
      <c r="J42" s="22" t="str">
        <f t="shared" si="4"/>
        <v>KER</v>
      </c>
      <c r="K42" s="22"/>
      <c r="L42" s="72">
        <f>+J117</f>
        <v>13.877034192216</v>
      </c>
      <c r="M42" s="72">
        <f t="shared" ref="M42:S42" si="6">+K117</f>
        <v>13.695434350650002</v>
      </c>
      <c r="N42" s="72">
        <f t="shared" si="6"/>
        <v>14.458260219857999</v>
      </c>
      <c r="O42" s="72">
        <f t="shared" si="6"/>
        <v>15.795199697939999</v>
      </c>
      <c r="P42" s="72">
        <f t="shared" si="6"/>
        <v>17.191836481949998</v>
      </c>
      <c r="Q42" s="72">
        <f t="shared" si="6"/>
        <v>18.196136740431001</v>
      </c>
      <c r="R42" s="72">
        <f t="shared" si="6"/>
        <v>19.62033319935</v>
      </c>
      <c r="S42" s="72">
        <f t="shared" si="6"/>
        <v>20.718097692200999</v>
      </c>
      <c r="T42" s="72"/>
      <c r="U42" s="72">
        <v>11.91</v>
      </c>
      <c r="V42" s="72"/>
      <c r="W42" s="72"/>
    </row>
    <row r="43" spans="2:23" x14ac:dyDescent="0.25">
      <c r="E43">
        <f>+E42/(1000000)</f>
        <v>0.11600000000000001</v>
      </c>
      <c r="F43" t="s">
        <v>133</v>
      </c>
      <c r="I43" t="str">
        <f t="shared" si="2"/>
        <v>EXP-LPG</v>
      </c>
      <c r="J43" s="22" t="str">
        <f t="shared" si="4"/>
        <v>LPG</v>
      </c>
      <c r="K43" s="22"/>
      <c r="L43" s="72">
        <f>+J118</f>
        <v>17.551047751146001</v>
      </c>
      <c r="M43" s="72">
        <f t="shared" ref="M43:S47" si="7">+K118</f>
        <v>16.867144707893999</v>
      </c>
      <c r="N43" s="72">
        <f t="shared" si="7"/>
        <v>19.872932116751997</v>
      </c>
      <c r="O43" s="72">
        <f t="shared" si="7"/>
        <v>22.022557377326997</v>
      </c>
      <c r="P43" s="72">
        <f t="shared" si="7"/>
        <v>22.891725470484001</v>
      </c>
      <c r="Q43" s="72">
        <f t="shared" si="7"/>
        <v>24.412499742618003</v>
      </c>
      <c r="R43" s="72">
        <f t="shared" si="7"/>
        <v>25.877700660591003</v>
      </c>
      <c r="S43" s="72">
        <f t="shared" si="7"/>
        <v>27.425805235919999</v>
      </c>
      <c r="T43" s="72"/>
      <c r="U43" s="72">
        <v>6.34</v>
      </c>
      <c r="V43" s="72"/>
      <c r="W43" s="72"/>
    </row>
    <row r="44" spans="2:23" x14ac:dyDescent="0.25">
      <c r="E44">
        <f>+E43/0.0036</f>
        <v>32.222222222222221</v>
      </c>
      <c r="F44" t="s">
        <v>131</v>
      </c>
      <c r="I44" t="str">
        <f t="shared" si="2"/>
        <v>EXP-HFO</v>
      </c>
      <c r="J44" s="22" t="str">
        <f t="shared" si="4"/>
        <v>HFO</v>
      </c>
      <c r="K44" s="22"/>
      <c r="L44" s="72">
        <f t="shared" ref="L44:L47" si="8">+J119</f>
        <v>9.2415067298189992</v>
      </c>
      <c r="M44" s="72">
        <f t="shared" si="7"/>
        <v>9.6605963379900004</v>
      </c>
      <c r="N44" s="72">
        <f t="shared" si="7"/>
        <v>9.3615136314569991</v>
      </c>
      <c r="O44" s="72">
        <f t="shared" si="7"/>
        <v>10.777456499940001</v>
      </c>
      <c r="P44" s="72">
        <f t="shared" si="7"/>
        <v>12.03505800822</v>
      </c>
      <c r="Q44" s="72">
        <f t="shared" si="7"/>
        <v>13.376972577735</v>
      </c>
      <c r="R44" s="72">
        <f t="shared" si="7"/>
        <v>14.299692331392</v>
      </c>
      <c r="S44" s="72">
        <f t="shared" si="7"/>
        <v>15.089726235401999</v>
      </c>
      <c r="T44" s="72"/>
      <c r="U44" s="72">
        <v>8.2100000000000009</v>
      </c>
      <c r="V44" s="72"/>
      <c r="W44" s="72"/>
    </row>
    <row r="45" spans="2:23" x14ac:dyDescent="0.25">
      <c r="I45" t="str">
        <f t="shared" si="2"/>
        <v>EXP-ETH</v>
      </c>
      <c r="J45" s="22" t="str">
        <f>+RIGHT(I45,3)</f>
        <v>ETH</v>
      </c>
      <c r="K45" s="22"/>
      <c r="L45" s="72">
        <f t="shared" si="8"/>
        <v>15.484369752577541</v>
      </c>
      <c r="M45" s="72">
        <f t="shared" si="7"/>
        <v>15.076841521470868</v>
      </c>
      <c r="N45" s="72">
        <f t="shared" si="7"/>
        <v>16.842423718223472</v>
      </c>
      <c r="O45" s="72">
        <f t="shared" si="7"/>
        <v>19.600166238545455</v>
      </c>
      <c r="P45" s="72">
        <f t="shared" si="7"/>
        <v>19.747825616593868</v>
      </c>
      <c r="Q45" s="72">
        <f t="shared" si="7"/>
        <v>20.304548193105546</v>
      </c>
      <c r="R45" s="72">
        <f t="shared" si="7"/>
        <v>21.409220503499576</v>
      </c>
      <c r="S45" s="72">
        <f t="shared" si="7"/>
        <v>24.151142776321418</v>
      </c>
      <c r="T45" s="72"/>
      <c r="U45" s="72">
        <v>26</v>
      </c>
      <c r="V45" s="72"/>
      <c r="W45" s="72"/>
    </row>
    <row r="46" spans="2:23" x14ac:dyDescent="0.25">
      <c r="I46" t="str">
        <f t="shared" si="2"/>
        <v>EXP-BDSL</v>
      </c>
      <c r="J46" s="22" t="str">
        <f>+RIGHT(I46,4)</f>
        <v>BDSL</v>
      </c>
      <c r="K46" s="22"/>
      <c r="L46" s="72">
        <f t="shared" si="8"/>
        <v>27.015813128159731</v>
      </c>
      <c r="M46" s="72">
        <f t="shared" si="7"/>
        <v>26.129831538723028</v>
      </c>
      <c r="N46" s="72">
        <f t="shared" si="7"/>
        <v>26.661261993541277</v>
      </c>
      <c r="O46" s="72">
        <f t="shared" si="7"/>
        <v>28.340491100056148</v>
      </c>
      <c r="P46" s="72">
        <f t="shared" si="7"/>
        <v>29.829829037705093</v>
      </c>
      <c r="Q46" s="72">
        <f t="shared" si="7"/>
        <v>30.854500790068418</v>
      </c>
      <c r="R46" s="72">
        <f t="shared" si="7"/>
        <v>32.424773577803386</v>
      </c>
      <c r="S46" s="72">
        <f t="shared" si="7"/>
        <v>33.446279027916688</v>
      </c>
      <c r="T46" s="72"/>
      <c r="U46" s="72">
        <v>29</v>
      </c>
      <c r="V46" s="72"/>
      <c r="W46" s="72"/>
    </row>
    <row r="47" spans="2:23" x14ac:dyDescent="0.25">
      <c r="B47" s="24" t="s">
        <v>134</v>
      </c>
      <c r="C47" s="24"/>
      <c r="D47" s="24"/>
      <c r="E47" s="26">
        <v>0.05</v>
      </c>
      <c r="I47" t="str">
        <f t="shared" si="2"/>
        <v>EXP-GAS</v>
      </c>
      <c r="J47" s="22" t="str">
        <f t="shared" si="4"/>
        <v>GAS</v>
      </c>
      <c r="K47" s="22"/>
      <c r="L47" s="72">
        <f t="shared" si="8"/>
        <v>4.769127007632</v>
      </c>
      <c r="M47" s="72">
        <f t="shared" si="7"/>
        <v>4.5122894526059998</v>
      </c>
      <c r="N47" s="72">
        <f t="shared" si="7"/>
        <v>4.9274484636779992</v>
      </c>
      <c r="O47" s="72">
        <f t="shared" si="7"/>
        <v>5.3827086642029993</v>
      </c>
      <c r="P47" s="72">
        <f t="shared" si="7"/>
        <v>5.4401245746119997</v>
      </c>
      <c r="Q47" s="72">
        <f t="shared" si="7"/>
        <v>5.4800854871490001</v>
      </c>
      <c r="R47" s="72">
        <f t="shared" si="7"/>
        <v>5.5431115263809998</v>
      </c>
      <c r="S47" s="72">
        <f t="shared" si="7"/>
        <v>5.7037579775280003</v>
      </c>
      <c r="T47" s="72"/>
      <c r="U47" s="72">
        <v>5.6</v>
      </c>
      <c r="V47" s="72"/>
      <c r="W47" s="72"/>
    </row>
    <row r="48" spans="2:23" x14ac:dyDescent="0.25">
      <c r="I48" t="str">
        <f t="shared" si="2"/>
        <v>EXP-LOIL</v>
      </c>
      <c r="J48" s="22" t="str">
        <f>+RIGHT(I48,4)</f>
        <v>LOIL</v>
      </c>
      <c r="K48" s="22"/>
      <c r="L48" s="72">
        <f t="shared" ref="L48:S48" si="9">+J126</f>
        <v>9.4202649837693002</v>
      </c>
      <c r="M48" s="72">
        <f t="shared" si="9"/>
        <v>8.8971488688237894</v>
      </c>
      <c r="N48" s="72">
        <f t="shared" si="9"/>
        <v>10.809495075642701</v>
      </c>
      <c r="O48" s="72">
        <f t="shared" si="9"/>
        <v>11.944874310089356</v>
      </c>
      <c r="P48" s="72">
        <f t="shared" si="9"/>
        <v>13.287214218828185</v>
      </c>
      <c r="Q48" s="72">
        <f t="shared" si="9"/>
        <v>14.355702223711937</v>
      </c>
      <c r="R48" s="72">
        <f t="shared" si="9"/>
        <v>15.630732976072419</v>
      </c>
      <c r="S48" s="72">
        <f t="shared" si="9"/>
        <v>16.864994934098721</v>
      </c>
      <c r="T48" s="72"/>
      <c r="U48" s="72">
        <v>7.26</v>
      </c>
      <c r="V48" s="72"/>
      <c r="W48" s="72"/>
    </row>
    <row r="49" spans="9:23" x14ac:dyDescent="0.25">
      <c r="I49" t="str">
        <f t="shared" si="2"/>
        <v>EXP-MOIL</v>
      </c>
      <c r="J49" s="22" t="str">
        <f>+RIGHT(I49,4)</f>
        <v>MOIL</v>
      </c>
      <c r="K49" s="22"/>
      <c r="L49" s="72">
        <f t="shared" ref="L49:S50" si="10">+J124</f>
        <v>8.6667911578505592</v>
      </c>
      <c r="M49" s="72">
        <f t="shared" si="10"/>
        <v>8.1855161483523844</v>
      </c>
      <c r="N49" s="72">
        <f t="shared" si="10"/>
        <v>9.9449045758078007</v>
      </c>
      <c r="O49" s="72">
        <f t="shared" si="10"/>
        <v>10.989471233631489</v>
      </c>
      <c r="P49" s="72">
        <f t="shared" si="10"/>
        <v>12.224444949544161</v>
      </c>
      <c r="Q49" s="72">
        <f t="shared" si="10"/>
        <v>13.207470629708267</v>
      </c>
      <c r="R49" s="72">
        <f t="shared" si="10"/>
        <v>14.380518868753001</v>
      </c>
      <c r="S49" s="72">
        <f t="shared" si="10"/>
        <v>15.516059179213938</v>
      </c>
      <c r="T49" s="72"/>
      <c r="U49" s="72">
        <v>7.01</v>
      </c>
      <c r="V49" s="72"/>
      <c r="W49" s="72"/>
    </row>
    <row r="50" spans="9:23" x14ac:dyDescent="0.25">
      <c r="I50" t="str">
        <f t="shared" si="2"/>
        <v>EXP-HOIL</v>
      </c>
      <c r="J50" s="22" t="str">
        <f>+RIGHT(I50,4)</f>
        <v>HOIL</v>
      </c>
      <c r="K50" s="22"/>
      <c r="L50" s="72">
        <f t="shared" si="10"/>
        <v>7.1598435060130816</v>
      </c>
      <c r="M50" s="72">
        <f t="shared" si="10"/>
        <v>6.7622507074095797</v>
      </c>
      <c r="N50" s="72">
        <f t="shared" si="10"/>
        <v>8.215723576138009</v>
      </c>
      <c r="O50" s="72">
        <f t="shared" si="10"/>
        <v>9.0786650807157603</v>
      </c>
      <c r="P50" s="72">
        <f t="shared" si="10"/>
        <v>10.098906410976124</v>
      </c>
      <c r="Q50" s="72">
        <f t="shared" si="10"/>
        <v>10.911007441700926</v>
      </c>
      <c r="R50" s="72">
        <f t="shared" si="10"/>
        <v>11.88009065411417</v>
      </c>
      <c r="S50" s="72">
        <f t="shared" si="10"/>
        <v>12.818187669444375</v>
      </c>
      <c r="T50" s="72"/>
      <c r="U50" s="72">
        <v>6.76</v>
      </c>
      <c r="V50" s="72"/>
      <c r="W50" s="72"/>
    </row>
    <row r="51" spans="9:23" x14ac:dyDescent="0.25">
      <c r="I51" t="str">
        <f t="shared" si="2"/>
        <v>EXP-SIN</v>
      </c>
      <c r="J51" s="23" t="s">
        <v>129</v>
      </c>
      <c r="K51" s="22"/>
      <c r="L51" s="73">
        <f>+E44</f>
        <v>32.222222222222221</v>
      </c>
      <c r="M51" s="73"/>
      <c r="N51" s="73"/>
      <c r="O51" s="73"/>
      <c r="P51" s="73"/>
      <c r="Q51" s="73"/>
      <c r="R51" s="73"/>
      <c r="S51" s="73"/>
    </row>
    <row r="52" spans="9:23" x14ac:dyDescent="0.25">
      <c r="I52" t="s">
        <v>523</v>
      </c>
      <c r="J52" s="249" t="str">
        <f t="shared" ref="J52" si="11">+RIGHT(I52,3)</f>
        <v>AVG</v>
      </c>
      <c r="L52" s="122">
        <v>21.450884058013838</v>
      </c>
      <c r="M52" s="122">
        <v>21.173796174722664</v>
      </c>
      <c r="N52" s="122">
        <v>22.060639953463127</v>
      </c>
      <c r="O52" s="122">
        <v>24.100563154252466</v>
      </c>
      <c r="P52" s="122">
        <v>26.231573439673227</v>
      </c>
      <c r="Q52" s="122">
        <v>27.763950507910614</v>
      </c>
      <c r="R52" s="122">
        <v>29.937011777070548</v>
      </c>
      <c r="S52" s="122">
        <v>31.611998038364984</v>
      </c>
    </row>
    <row r="53" spans="9:23" x14ac:dyDescent="0.25">
      <c r="I53" t="str">
        <f t="shared" ref="I53:I64" si="12">+J21</f>
        <v>IMP-GSL</v>
      </c>
      <c r="J53" s="22"/>
      <c r="K53" s="22" t="str">
        <f t="shared" ref="K53:K58" si="13">+RIGHT(I53,3)</f>
        <v>GSL</v>
      </c>
      <c r="L53" s="271">
        <f>+L40+($E$47*L40)</f>
        <v>22.046268251744099</v>
      </c>
      <c r="M53" s="25">
        <f t="shared" ref="L53:S63" si="14">+M40+($E$47*M40)</f>
        <v>21.835726059829501</v>
      </c>
      <c r="N53" s="25">
        <f t="shared" si="14"/>
        <v>21.752726720347354</v>
      </c>
      <c r="O53" s="25">
        <f t="shared" si="14"/>
        <v>23.312169651320552</v>
      </c>
      <c r="P53" s="25">
        <f t="shared" si="14"/>
        <v>24.746573672811898</v>
      </c>
      <c r="Q53" s="25">
        <f t="shared" si="14"/>
        <v>25.826992214136752</v>
      </c>
      <c r="R53" s="25">
        <f t="shared" si="14"/>
        <v>27.180422144120701</v>
      </c>
      <c r="S53" s="25">
        <f t="shared" si="14"/>
        <v>28.511658939049649</v>
      </c>
    </row>
    <row r="54" spans="9:23" x14ac:dyDescent="0.25">
      <c r="I54" t="str">
        <f t="shared" si="12"/>
        <v>IMP-DSL</v>
      </c>
      <c r="J54" s="22"/>
      <c r="K54" s="22" t="str">
        <f t="shared" si="13"/>
        <v>DSL</v>
      </c>
      <c r="L54" s="272">
        <f>+L41+($E$47*L41)</f>
        <v>21.950277468988052</v>
      </c>
      <c r="M54" s="25">
        <f t="shared" si="14"/>
        <v>21.23041974609465</v>
      </c>
      <c r="N54" s="25">
        <f t="shared" si="14"/>
        <v>21.6622055999349</v>
      </c>
      <c r="O54" s="25">
        <f t="shared" si="14"/>
        <v>23.02657485460605</v>
      </c>
      <c r="P54" s="25">
        <f t="shared" si="14"/>
        <v>24.236658031499552</v>
      </c>
      <c r="Q54" s="25">
        <f t="shared" si="14"/>
        <v>25.06920114883275</v>
      </c>
      <c r="R54" s="25">
        <f t="shared" si="14"/>
        <v>26.345043679622847</v>
      </c>
      <c r="S54" s="25">
        <f t="shared" si="14"/>
        <v>27.175014184663802</v>
      </c>
    </row>
    <row r="55" spans="9:23" x14ac:dyDescent="0.25">
      <c r="I55" t="str">
        <f t="shared" si="12"/>
        <v>IMP-KER</v>
      </c>
      <c r="J55" s="22"/>
      <c r="K55" s="22" t="str">
        <f t="shared" si="13"/>
        <v>KER</v>
      </c>
      <c r="L55" s="25">
        <f t="shared" si="14"/>
        <v>14.5708859018268</v>
      </c>
      <c r="M55" s="25">
        <f t="shared" si="14"/>
        <v>14.380206068182503</v>
      </c>
      <c r="N55" s="25">
        <f t="shared" si="14"/>
        <v>15.181173230850899</v>
      </c>
      <c r="O55" s="25">
        <f t="shared" si="14"/>
        <v>16.584959682836999</v>
      </c>
      <c r="P55" s="25">
        <f t="shared" si="14"/>
        <v>18.051428306047498</v>
      </c>
      <c r="Q55" s="25">
        <f t="shared" si="14"/>
        <v>19.10594357745255</v>
      </c>
      <c r="R55" s="25">
        <f t="shared" si="14"/>
        <v>20.601349859317502</v>
      </c>
      <c r="S55" s="25">
        <f t="shared" si="14"/>
        <v>21.75400257681105</v>
      </c>
    </row>
    <row r="56" spans="9:23" x14ac:dyDescent="0.25">
      <c r="I56" t="str">
        <f t="shared" si="12"/>
        <v>IMP-LPG</v>
      </c>
      <c r="J56" s="22"/>
      <c r="K56" s="22" t="str">
        <f t="shared" si="13"/>
        <v>LPG</v>
      </c>
      <c r="L56" s="25">
        <f t="shared" si="14"/>
        <v>18.428600138703302</v>
      </c>
      <c r="M56" s="25">
        <f t="shared" si="14"/>
        <v>17.710501943288698</v>
      </c>
      <c r="N56" s="25">
        <f t="shared" si="14"/>
        <v>20.866578722589598</v>
      </c>
      <c r="O56" s="25">
        <f t="shared" si="14"/>
        <v>23.123685246193347</v>
      </c>
      <c r="P56" s="25">
        <f t="shared" si="14"/>
        <v>24.036311744008202</v>
      </c>
      <c r="Q56" s="25">
        <f t="shared" si="14"/>
        <v>25.633124729748904</v>
      </c>
      <c r="R56" s="25">
        <f t="shared" si="14"/>
        <v>27.171585693620553</v>
      </c>
      <c r="S56" s="25">
        <f t="shared" si="14"/>
        <v>28.797095497716001</v>
      </c>
    </row>
    <row r="57" spans="9:23" x14ac:dyDescent="0.25">
      <c r="I57" t="str">
        <f t="shared" si="12"/>
        <v>IMP-HFO</v>
      </c>
      <c r="J57" s="22"/>
      <c r="K57" s="22" t="str">
        <f t="shared" si="13"/>
        <v>HFO</v>
      </c>
      <c r="L57" s="25">
        <f t="shared" si="14"/>
        <v>9.7035820663099486</v>
      </c>
      <c r="M57" s="25">
        <f t="shared" si="14"/>
        <v>10.1436261548895</v>
      </c>
      <c r="N57" s="25">
        <f t="shared" si="14"/>
        <v>9.8295893130298495</v>
      </c>
      <c r="O57" s="25">
        <f t="shared" si="14"/>
        <v>11.316329324937001</v>
      </c>
      <c r="P57" s="25">
        <f t="shared" si="14"/>
        <v>12.636810908631</v>
      </c>
      <c r="Q57" s="25">
        <f t="shared" si="14"/>
        <v>14.045821206621749</v>
      </c>
      <c r="R57" s="25">
        <f t="shared" si="14"/>
        <v>15.0146769479616</v>
      </c>
      <c r="S57" s="25">
        <f t="shared" si="14"/>
        <v>15.844212547172098</v>
      </c>
    </row>
    <row r="58" spans="9:23" x14ac:dyDescent="0.25">
      <c r="I58" t="str">
        <f t="shared" si="12"/>
        <v>IMP-ETH</v>
      </c>
      <c r="J58" s="22"/>
      <c r="K58" s="22" t="str">
        <f t="shared" si="13"/>
        <v>ETH</v>
      </c>
      <c r="L58" s="25">
        <f t="shared" si="14"/>
        <v>16.258588240206418</v>
      </c>
      <c r="M58" s="25">
        <f t="shared" si="14"/>
        <v>15.830683597544411</v>
      </c>
      <c r="N58" s="25">
        <f t="shared" si="14"/>
        <v>17.684544904134647</v>
      </c>
      <c r="O58" s="25">
        <f t="shared" si="14"/>
        <v>20.580174550472726</v>
      </c>
      <c r="P58" s="25">
        <f t="shared" si="14"/>
        <v>20.735216897423562</v>
      </c>
      <c r="Q58" s="25">
        <f t="shared" si="14"/>
        <v>21.319775602760824</v>
      </c>
      <c r="R58" s="25">
        <f t="shared" si="14"/>
        <v>22.479681528674554</v>
      </c>
      <c r="S58" s="25">
        <f t="shared" si="14"/>
        <v>25.358699915137489</v>
      </c>
    </row>
    <row r="59" spans="9:23" x14ac:dyDescent="0.25">
      <c r="I59" t="str">
        <f t="shared" si="12"/>
        <v>IMP-BDSL</v>
      </c>
      <c r="J59" s="22"/>
      <c r="K59" s="22" t="str">
        <f>+RIGHT(I59,4)</f>
        <v>BDSL</v>
      </c>
      <c r="L59" s="25">
        <f t="shared" si="14"/>
        <v>28.366603784567719</v>
      </c>
      <c r="M59" s="25">
        <f t="shared" si="14"/>
        <v>27.436323115659178</v>
      </c>
      <c r="N59" s="25">
        <f t="shared" si="14"/>
        <v>27.994325093218343</v>
      </c>
      <c r="O59" s="25">
        <f t="shared" si="14"/>
        <v>29.757515655058956</v>
      </c>
      <c r="P59" s="25">
        <f t="shared" si="14"/>
        <v>31.321320489590349</v>
      </c>
      <c r="Q59" s="25">
        <f t="shared" si="14"/>
        <v>32.397225829571838</v>
      </c>
      <c r="R59" s="25">
        <f t="shared" si="14"/>
        <v>34.046012256693558</v>
      </c>
      <c r="S59" s="25">
        <f t="shared" si="14"/>
        <v>35.118592979312524</v>
      </c>
    </row>
    <row r="60" spans="9:23" x14ac:dyDescent="0.25">
      <c r="I60" t="str">
        <f t="shared" si="12"/>
        <v>IMP-GAS</v>
      </c>
      <c r="J60" s="22"/>
      <c r="K60" s="22" t="str">
        <f>+RIGHT(I60,3)</f>
        <v>GAS</v>
      </c>
      <c r="L60" s="25">
        <f t="shared" si="14"/>
        <v>5.0075833580136004</v>
      </c>
      <c r="M60" s="25">
        <f t="shared" si="14"/>
        <v>4.7379039252362993</v>
      </c>
      <c r="N60" s="25">
        <f t="shared" si="14"/>
        <v>5.1738208868618987</v>
      </c>
      <c r="O60" s="25">
        <f t="shared" si="14"/>
        <v>5.6518440974131492</v>
      </c>
      <c r="P60" s="25">
        <f t="shared" si="14"/>
        <v>5.7121308033425997</v>
      </c>
      <c r="Q60" s="25">
        <f t="shared" si="14"/>
        <v>5.7540897615064504</v>
      </c>
      <c r="R60" s="25">
        <f t="shared" si="14"/>
        <v>5.8202671027000497</v>
      </c>
      <c r="S60" s="25">
        <f t="shared" si="14"/>
        <v>5.9889458764043999</v>
      </c>
    </row>
    <row r="61" spans="9:23" x14ac:dyDescent="0.25">
      <c r="I61" t="str">
        <f t="shared" si="12"/>
        <v>IMP-LOIL</v>
      </c>
      <c r="J61" s="22"/>
      <c r="K61" s="22" t="str">
        <f>+RIGHT(I61,4)</f>
        <v>LOIL</v>
      </c>
      <c r="L61" s="25">
        <f t="shared" si="14"/>
        <v>9.8912782329577649</v>
      </c>
      <c r="M61" s="25">
        <f t="shared" si="14"/>
        <v>9.3420063122649797</v>
      </c>
      <c r="N61" s="25">
        <f t="shared" si="14"/>
        <v>11.349969829424836</v>
      </c>
      <c r="O61" s="25">
        <f t="shared" si="14"/>
        <v>12.542118025593822</v>
      </c>
      <c r="P61" s="25">
        <f t="shared" si="14"/>
        <v>13.951574929769594</v>
      </c>
      <c r="Q61" s="25">
        <f t="shared" si="14"/>
        <v>15.073487334897534</v>
      </c>
      <c r="R61" s="25">
        <f t="shared" si="14"/>
        <v>16.412269624876039</v>
      </c>
      <c r="S61" s="25">
        <f t="shared" si="14"/>
        <v>17.708244680803656</v>
      </c>
    </row>
    <row r="62" spans="9:23" x14ac:dyDescent="0.25">
      <c r="I62" t="str">
        <f t="shared" si="12"/>
        <v>IMP-MOIL</v>
      </c>
      <c r="J62" s="22"/>
      <c r="K62" s="22" t="str">
        <f>+RIGHT(I62,4)</f>
        <v>MOIL</v>
      </c>
      <c r="L62" s="25">
        <f t="shared" si="14"/>
        <v>9.100130715743088</v>
      </c>
      <c r="M62" s="25">
        <f t="shared" si="14"/>
        <v>8.5947919557700043</v>
      </c>
      <c r="N62" s="25">
        <f t="shared" si="14"/>
        <v>10.442149804598191</v>
      </c>
      <c r="O62" s="25">
        <f t="shared" si="14"/>
        <v>11.538944795313064</v>
      </c>
      <c r="P62" s="25">
        <f t="shared" si="14"/>
        <v>12.835667197021369</v>
      </c>
      <c r="Q62" s="25">
        <f t="shared" si="14"/>
        <v>13.86784416119368</v>
      </c>
      <c r="R62" s="25">
        <f t="shared" si="14"/>
        <v>15.099544812190651</v>
      </c>
      <c r="S62" s="25">
        <f t="shared" si="14"/>
        <v>16.291862138174636</v>
      </c>
    </row>
    <row r="63" spans="9:23" x14ac:dyDescent="0.25">
      <c r="I63" t="str">
        <f t="shared" si="12"/>
        <v>IMP-HOIL</v>
      </c>
      <c r="J63" s="22"/>
      <c r="K63" s="22" t="str">
        <f>+RIGHT(I63,4)</f>
        <v>HOIL</v>
      </c>
      <c r="L63" s="25">
        <f t="shared" si="14"/>
        <v>7.5178356813137359</v>
      </c>
      <c r="M63" s="25">
        <f t="shared" si="14"/>
        <v>7.1003632427800589</v>
      </c>
      <c r="N63" s="25">
        <f t="shared" si="14"/>
        <v>8.6265097549449088</v>
      </c>
      <c r="O63" s="25">
        <f t="shared" si="14"/>
        <v>9.5325983347515475</v>
      </c>
      <c r="P63" s="25">
        <f t="shared" si="14"/>
        <v>10.60385173152493</v>
      </c>
      <c r="Q63" s="25">
        <f t="shared" si="14"/>
        <v>11.456557813785972</v>
      </c>
      <c r="R63" s="25">
        <f t="shared" si="14"/>
        <v>12.474095186819879</v>
      </c>
      <c r="S63" s="25">
        <f t="shared" si="14"/>
        <v>13.459097052916594</v>
      </c>
    </row>
    <row r="64" spans="9:23" x14ac:dyDescent="0.25">
      <c r="I64" t="str">
        <f t="shared" si="12"/>
        <v>IMP-SIN</v>
      </c>
      <c r="J64" s="22"/>
      <c r="K64" s="23" t="s">
        <v>129</v>
      </c>
      <c r="L64" s="74">
        <f>+L51+($E$47*L51)</f>
        <v>33.833333333333336</v>
      </c>
      <c r="M64" s="74"/>
      <c r="N64" s="74"/>
      <c r="O64" s="74"/>
      <c r="P64" s="74"/>
      <c r="Q64" s="74"/>
      <c r="R64" s="74"/>
      <c r="S64" s="74"/>
    </row>
    <row r="65" spans="9:19" x14ac:dyDescent="0.25">
      <c r="I65" t="s">
        <v>525</v>
      </c>
      <c r="K65" s="250" t="str">
        <f>+J52</f>
        <v>AVG</v>
      </c>
      <c r="L65" s="25">
        <f>+L52*(100%+$E$47)</f>
        <v>22.523428260914532</v>
      </c>
      <c r="M65" s="25">
        <f t="shared" ref="M65:S65" si="15">+M52*(100%+$E$47)</f>
        <v>22.232485983458798</v>
      </c>
      <c r="N65" s="25">
        <f t="shared" si="15"/>
        <v>23.163671951136283</v>
      </c>
      <c r="O65" s="25">
        <f t="shared" si="15"/>
        <v>25.305591311965092</v>
      </c>
      <c r="P65" s="25">
        <f t="shared" si="15"/>
        <v>27.543152111656891</v>
      </c>
      <c r="Q65" s="25">
        <f t="shared" si="15"/>
        <v>29.152148033306148</v>
      </c>
      <c r="R65" s="25">
        <f t="shared" si="15"/>
        <v>31.433862365924078</v>
      </c>
      <c r="S65" s="25">
        <f t="shared" si="15"/>
        <v>33.192597940283235</v>
      </c>
    </row>
    <row r="72" spans="9:19" x14ac:dyDescent="0.25">
      <c r="I72" t="s">
        <v>213</v>
      </c>
    </row>
    <row r="73" spans="9:19" x14ac:dyDescent="0.25">
      <c r="J73" t="s">
        <v>222</v>
      </c>
      <c r="K73" s="71" t="s">
        <v>223</v>
      </c>
      <c r="L73" s="71" t="s">
        <v>224</v>
      </c>
      <c r="M73" t="s">
        <v>225</v>
      </c>
    </row>
    <row r="74" spans="9:19" x14ac:dyDescent="0.25">
      <c r="I74" t="s">
        <v>214</v>
      </c>
      <c r="J74" t="s">
        <v>212</v>
      </c>
      <c r="K74" s="71">
        <v>56.261001999999998</v>
      </c>
      <c r="L74" s="71">
        <f>+K74/$J$80</f>
        <v>9.9388771706679382</v>
      </c>
    </row>
    <row r="75" spans="9:19" x14ac:dyDescent="0.25">
      <c r="I75" t="s">
        <v>215</v>
      </c>
      <c r="J75" t="s">
        <v>218</v>
      </c>
      <c r="K75" s="71">
        <f>+K74-4.5</f>
        <v>51.761001999999998</v>
      </c>
      <c r="L75" s="71">
        <f t="shared" ref="L75:L76" si="16">+K75/$J$80</f>
        <v>9.1439224830851291</v>
      </c>
      <c r="M75" s="63">
        <f>+(L75-L74)/L74</f>
        <v>-7.9984355770983381E-2</v>
      </c>
    </row>
    <row r="76" spans="9:19" x14ac:dyDescent="0.25">
      <c r="I76" t="s">
        <v>216</v>
      </c>
      <c r="J76" t="s">
        <v>217</v>
      </c>
      <c r="K76" s="71">
        <f>+K75-9</f>
        <v>42.761001999999998</v>
      </c>
      <c r="L76" s="71">
        <f t="shared" si="16"/>
        <v>7.5540131079195145</v>
      </c>
      <c r="M76" s="63">
        <f>+(L76-L74)/L74</f>
        <v>-0.2399530673129498</v>
      </c>
    </row>
    <row r="80" spans="9:19" x14ac:dyDescent="0.25">
      <c r="I80" t="s">
        <v>219</v>
      </c>
      <c r="J80">
        <v>5.6607000000000003</v>
      </c>
      <c r="K80" t="s">
        <v>224</v>
      </c>
    </row>
    <row r="81" spans="9:41" x14ac:dyDescent="0.25">
      <c r="J81" t="s">
        <v>212</v>
      </c>
      <c r="K81" t="s">
        <v>212</v>
      </c>
    </row>
    <row r="82" spans="9:41" x14ac:dyDescent="0.25">
      <c r="J82">
        <f>4.5/J80</f>
        <v>0.79495468758280774</v>
      </c>
      <c r="K82" t="s">
        <v>220</v>
      </c>
    </row>
    <row r="83" spans="9:41" x14ac:dyDescent="0.25">
      <c r="J83">
        <f>9/J80</f>
        <v>1.5899093751656155</v>
      </c>
      <c r="K83" t="s">
        <v>221</v>
      </c>
    </row>
    <row r="95" spans="9:41" x14ac:dyDescent="0.25">
      <c r="I95" t="s">
        <v>238</v>
      </c>
    </row>
    <row r="96" spans="9:41" x14ac:dyDescent="0.25">
      <c r="J96">
        <v>2019</v>
      </c>
      <c r="K96">
        <v>2020</v>
      </c>
      <c r="L96">
        <v>2021</v>
      </c>
      <c r="M96">
        <v>2022</v>
      </c>
      <c r="N96">
        <v>2023</v>
      </c>
      <c r="O96">
        <v>2024</v>
      </c>
      <c r="P96">
        <v>2025</v>
      </c>
      <c r="Q96">
        <v>2026</v>
      </c>
      <c r="R96">
        <v>2027</v>
      </c>
      <c r="S96">
        <v>2028</v>
      </c>
      <c r="T96">
        <v>2029</v>
      </c>
      <c r="U96">
        <v>2030</v>
      </c>
      <c r="V96">
        <v>2031</v>
      </c>
      <c r="W96">
        <v>2032</v>
      </c>
      <c r="X96">
        <v>2033</v>
      </c>
      <c r="Y96">
        <v>2034</v>
      </c>
      <c r="Z96">
        <v>2035</v>
      </c>
      <c r="AA96">
        <v>2036</v>
      </c>
      <c r="AB96">
        <v>2037</v>
      </c>
      <c r="AC96">
        <v>2038</v>
      </c>
      <c r="AD96">
        <v>2039</v>
      </c>
      <c r="AE96">
        <v>2040</v>
      </c>
      <c r="AF96">
        <v>2041</v>
      </c>
      <c r="AG96">
        <v>2042</v>
      </c>
      <c r="AH96">
        <v>2043</v>
      </c>
      <c r="AI96">
        <v>2044</v>
      </c>
      <c r="AJ96">
        <v>2045</v>
      </c>
      <c r="AK96">
        <v>2046</v>
      </c>
      <c r="AL96">
        <v>2047</v>
      </c>
      <c r="AM96">
        <v>2048</v>
      </c>
      <c r="AN96">
        <v>2049</v>
      </c>
      <c r="AO96">
        <v>2050</v>
      </c>
    </row>
    <row r="97" spans="9:41" x14ac:dyDescent="0.25">
      <c r="I97" t="s">
        <v>45</v>
      </c>
      <c r="J97" s="70">
        <v>22.152425999999998</v>
      </c>
      <c r="K97" s="69">
        <v>21.94087</v>
      </c>
      <c r="L97" s="70">
        <v>21.968945999999999</v>
      </c>
      <c r="M97" s="69">
        <v>21.978165000000001</v>
      </c>
      <c r="N97" s="70">
        <v>21.894269999999999</v>
      </c>
      <c r="O97" s="69">
        <v>21.607965</v>
      </c>
      <c r="P97" s="70">
        <v>21.857471</v>
      </c>
      <c r="Q97" s="69">
        <v>22.043116000000001</v>
      </c>
      <c r="R97" s="70">
        <v>22.312280999999999</v>
      </c>
      <c r="S97" s="69">
        <v>22.424955000000001</v>
      </c>
      <c r="T97" s="70">
        <v>22.720831</v>
      </c>
      <c r="U97" s="69">
        <v>23.424423000000001</v>
      </c>
      <c r="V97" s="70">
        <v>23.588041</v>
      </c>
      <c r="W97" s="69">
        <v>23.796983999999998</v>
      </c>
      <c r="X97" s="70">
        <v>24.220589</v>
      </c>
      <c r="Y97" s="69">
        <v>24.608730000000001</v>
      </c>
      <c r="Z97" s="70">
        <v>24.865734</v>
      </c>
      <c r="AA97" s="69">
        <v>25.162941</v>
      </c>
      <c r="AB97" s="70">
        <v>25.240604000000001</v>
      </c>
      <c r="AC97" s="69">
        <v>25.517137999999999</v>
      </c>
      <c r="AD97" s="70">
        <v>25.858951999999999</v>
      </c>
      <c r="AE97" s="69">
        <v>25.951355</v>
      </c>
      <c r="AF97" s="70">
        <v>26.136623</v>
      </c>
      <c r="AG97" s="69">
        <v>26.539719000000002</v>
      </c>
      <c r="AH97" s="70">
        <v>26.75515</v>
      </c>
      <c r="AI97" s="69">
        <v>26.964805999999999</v>
      </c>
      <c r="AJ97" s="70">
        <v>27.311302000000001</v>
      </c>
      <c r="AK97" s="69">
        <v>27.396849</v>
      </c>
      <c r="AL97" s="70">
        <v>27.872745999999999</v>
      </c>
      <c r="AM97" s="69">
        <v>28.194441000000001</v>
      </c>
      <c r="AN97" s="70">
        <v>28.439672000000002</v>
      </c>
      <c r="AO97" s="69">
        <v>28.648949000000002</v>
      </c>
    </row>
    <row r="98" spans="9:41" x14ac:dyDescent="0.25">
      <c r="I98" t="s">
        <v>47</v>
      </c>
      <c r="J98" s="70">
        <v>22.055973000000002</v>
      </c>
      <c r="K98" s="69">
        <v>21.332649</v>
      </c>
      <c r="L98" s="70">
        <v>21.307634</v>
      </c>
      <c r="M98" s="69">
        <v>21.509706000000001</v>
      </c>
      <c r="N98" s="70">
        <v>21.507311000000001</v>
      </c>
      <c r="O98" s="69">
        <v>21.769124999999999</v>
      </c>
      <c r="P98" s="70">
        <v>21.766514000000001</v>
      </c>
      <c r="Q98" s="69">
        <v>22.167186999999998</v>
      </c>
      <c r="R98" s="70">
        <v>22.215661999999998</v>
      </c>
      <c r="S98" s="69">
        <v>22.559709999999999</v>
      </c>
      <c r="T98" s="70">
        <v>22.7668</v>
      </c>
      <c r="U98" s="69">
        <v>23.137453000000001</v>
      </c>
      <c r="V98" s="70">
        <v>23.400127000000001</v>
      </c>
      <c r="W98" s="69">
        <v>23.565245000000001</v>
      </c>
      <c r="X98" s="70">
        <v>23.939878</v>
      </c>
      <c r="Y98" s="69">
        <v>24.132757000000002</v>
      </c>
      <c r="Z98" s="70">
        <v>24.353363000000002</v>
      </c>
      <c r="AA98" s="69">
        <v>24.599989000000001</v>
      </c>
      <c r="AB98" s="70">
        <v>24.760366000000001</v>
      </c>
      <c r="AC98" s="69">
        <v>24.966681000000001</v>
      </c>
      <c r="AD98" s="70">
        <v>25.188585</v>
      </c>
      <c r="AE98" s="69">
        <v>25.189914999999999</v>
      </c>
      <c r="AF98" s="70">
        <v>25.361546000000001</v>
      </c>
      <c r="AG98" s="69">
        <v>25.739941000000002</v>
      </c>
      <c r="AH98" s="70">
        <v>25.903061000000001</v>
      </c>
      <c r="AI98" s="69">
        <v>26.101400000000002</v>
      </c>
      <c r="AJ98" s="70">
        <v>26.471900999999999</v>
      </c>
      <c r="AK98" s="69">
        <v>26.487107999999999</v>
      </c>
      <c r="AL98" s="70">
        <v>26.746400999999999</v>
      </c>
      <c r="AM98" s="69">
        <v>26.985009999999999</v>
      </c>
      <c r="AN98" s="70">
        <v>27.152633999999999</v>
      </c>
      <c r="AO98" s="69">
        <v>27.305868</v>
      </c>
    </row>
    <row r="99" spans="9:41" x14ac:dyDescent="0.25">
      <c r="I99" t="s">
        <v>48</v>
      </c>
      <c r="J99" s="70">
        <v>14.641048</v>
      </c>
      <c r="K99" s="69">
        <v>14.449450000000001</v>
      </c>
      <c r="L99" s="70">
        <v>14.469915</v>
      </c>
      <c r="M99" s="69">
        <v>14.677915</v>
      </c>
      <c r="N99" s="70">
        <v>14.784328</v>
      </c>
      <c r="O99" s="69">
        <v>15.181978000000001</v>
      </c>
      <c r="P99" s="70">
        <v>15.254274000000001</v>
      </c>
      <c r="Q99" s="69">
        <v>15.71048</v>
      </c>
      <c r="R99" s="70">
        <v>15.739540999999999</v>
      </c>
      <c r="S99" s="69">
        <v>16.214652999999998</v>
      </c>
      <c r="T99" s="70">
        <v>16.425370999999998</v>
      </c>
      <c r="U99" s="69">
        <v>16.664819999999999</v>
      </c>
      <c r="V99" s="70">
        <v>17.012841999999999</v>
      </c>
      <c r="W99" s="69">
        <v>17.187419999999999</v>
      </c>
      <c r="X99" s="70">
        <v>17.583839000000001</v>
      </c>
      <c r="Y99" s="69">
        <v>17.868292</v>
      </c>
      <c r="Z99" s="70">
        <v>18.138349999999999</v>
      </c>
      <c r="AA99" s="69">
        <v>18.383088999999998</v>
      </c>
      <c r="AB99" s="70">
        <v>18.624289999999998</v>
      </c>
      <c r="AC99" s="69">
        <v>18.83005</v>
      </c>
      <c r="AD99" s="70">
        <v>19.106794000000001</v>
      </c>
      <c r="AE99" s="69">
        <v>19.197942999999999</v>
      </c>
      <c r="AF99" s="70">
        <v>19.450199000000001</v>
      </c>
      <c r="AG99" s="69">
        <v>19.834574</v>
      </c>
      <c r="AH99" s="70">
        <v>20.040814999999998</v>
      </c>
      <c r="AI99" s="69">
        <v>20.276285000000001</v>
      </c>
      <c r="AJ99" s="70">
        <v>20.70055</v>
      </c>
      <c r="AK99" s="69">
        <v>20.752966000000001</v>
      </c>
      <c r="AL99" s="70">
        <v>21.175343999999999</v>
      </c>
      <c r="AM99" s="69">
        <v>21.518598999999998</v>
      </c>
      <c r="AN99" s="70">
        <v>21.766680000000001</v>
      </c>
      <c r="AO99" s="69">
        <v>21.858753</v>
      </c>
    </row>
    <row r="100" spans="9:41" x14ac:dyDescent="0.25">
      <c r="I100" t="s">
        <v>49</v>
      </c>
      <c r="J100" s="70">
        <v>18.517337999999999</v>
      </c>
      <c r="K100" s="69">
        <v>17.795781999999999</v>
      </c>
      <c r="L100" s="70">
        <v>18.164116</v>
      </c>
      <c r="M100" s="69">
        <v>18.891821</v>
      </c>
      <c r="N100" s="70">
        <v>19.477640000000001</v>
      </c>
      <c r="O100" s="69">
        <v>20.115549000000001</v>
      </c>
      <c r="P100" s="70">
        <v>20.967055999999999</v>
      </c>
      <c r="Q100" s="69">
        <v>21.841379</v>
      </c>
      <c r="R100" s="70">
        <v>22.424021</v>
      </c>
      <c r="S100" s="69">
        <v>22.825673999999999</v>
      </c>
      <c r="T100" s="70">
        <v>23.067326999999999</v>
      </c>
      <c r="U100" s="69">
        <v>23.235030999999999</v>
      </c>
      <c r="V100" s="70">
        <v>23.271035999999999</v>
      </c>
      <c r="W100" s="69">
        <v>23.351419</v>
      </c>
      <c r="X100" s="70">
        <v>23.62575</v>
      </c>
      <c r="Y100" s="69">
        <v>23.87743</v>
      </c>
      <c r="Z100" s="70">
        <v>24.152052000000001</v>
      </c>
      <c r="AA100" s="69">
        <v>24.470886</v>
      </c>
      <c r="AB100" s="70">
        <v>24.818118999999999</v>
      </c>
      <c r="AC100" s="69">
        <v>25.156732999999999</v>
      </c>
      <c r="AD100" s="70">
        <v>25.476082000000002</v>
      </c>
      <c r="AE100" s="69">
        <v>25.756554000000001</v>
      </c>
      <c r="AF100" s="70">
        <v>26.017603000000001</v>
      </c>
      <c r="AG100" s="69">
        <v>26.396612000000001</v>
      </c>
      <c r="AH100" s="70">
        <v>26.704369</v>
      </c>
      <c r="AI100" s="69">
        <v>27.004362</v>
      </c>
      <c r="AJ100" s="70">
        <v>27.302423000000001</v>
      </c>
      <c r="AK100" s="69">
        <v>27.590530000000001</v>
      </c>
      <c r="AL100" s="70">
        <v>27.952341000000001</v>
      </c>
      <c r="AM100" s="69">
        <v>28.331855999999998</v>
      </c>
      <c r="AN100" s="70">
        <v>28.642916</v>
      </c>
      <c r="AO100" s="69">
        <v>28.935759999999998</v>
      </c>
    </row>
    <row r="101" spans="9:41" x14ac:dyDescent="0.25">
      <c r="I101" t="s">
        <v>50</v>
      </c>
      <c r="J101" s="70">
        <v>9.7503069999999994</v>
      </c>
      <c r="K101" s="69">
        <v>10.19247</v>
      </c>
      <c r="L101" s="70">
        <v>10.271381</v>
      </c>
      <c r="M101" s="69">
        <v>10.173702</v>
      </c>
      <c r="N101" s="70">
        <v>9.1834290000000003</v>
      </c>
      <c r="O101" s="69">
        <v>9.5545159999999996</v>
      </c>
      <c r="P101" s="70">
        <v>9.8769209999999994</v>
      </c>
      <c r="Q101" s="69">
        <v>10.457724000000001</v>
      </c>
      <c r="R101" s="70">
        <v>11.210336</v>
      </c>
      <c r="S101" s="69">
        <v>11.536975999999999</v>
      </c>
      <c r="T101" s="70">
        <v>11.842731000000001</v>
      </c>
      <c r="U101" s="69">
        <v>11.37082</v>
      </c>
      <c r="V101" s="70">
        <v>11.605115</v>
      </c>
      <c r="W101" s="69">
        <v>11.676685000000001</v>
      </c>
      <c r="X101" s="70">
        <v>11.933399</v>
      </c>
      <c r="Y101" s="69">
        <v>12.064242</v>
      </c>
      <c r="Z101" s="70">
        <v>12.697660000000001</v>
      </c>
      <c r="AA101" s="69">
        <v>13.116432</v>
      </c>
      <c r="AB101" s="70">
        <v>13.224297</v>
      </c>
      <c r="AC101" s="69">
        <v>13.736769000000001</v>
      </c>
      <c r="AD101" s="70">
        <v>13.914393</v>
      </c>
      <c r="AE101" s="69">
        <v>14.113455</v>
      </c>
      <c r="AF101" s="70">
        <v>14.229108</v>
      </c>
      <c r="AG101" s="69">
        <v>14.283981000000001</v>
      </c>
      <c r="AH101" s="70">
        <v>14.843826</v>
      </c>
      <c r="AI101" s="69">
        <v>15.073577</v>
      </c>
      <c r="AJ101" s="70">
        <v>15.086976</v>
      </c>
      <c r="AK101" s="69">
        <v>15.677839000000001</v>
      </c>
      <c r="AL101" s="70">
        <v>15.942997</v>
      </c>
      <c r="AM101" s="69">
        <v>16.146730000000002</v>
      </c>
      <c r="AN101" s="70">
        <v>16.344221000000001</v>
      </c>
      <c r="AO101" s="69">
        <v>15.920506</v>
      </c>
    </row>
    <row r="102" spans="9:41" x14ac:dyDescent="0.25">
      <c r="I102" t="s">
        <v>43</v>
      </c>
      <c r="J102">
        <v>16.336877005347596</v>
      </c>
      <c r="K102">
        <v>15.906911905432029</v>
      </c>
      <c r="L102">
        <v>16.583545735997749</v>
      </c>
      <c r="M102">
        <v>17.425744441317196</v>
      </c>
      <c r="N102">
        <v>17.265841823810863</v>
      </c>
      <c r="O102">
        <v>17.183804109203489</v>
      </c>
      <c r="P102">
        <v>17.76969997185477</v>
      </c>
      <c r="Q102">
        <v>17.949379116239797</v>
      </c>
      <c r="R102">
        <v>18.489267661131436</v>
      </c>
      <c r="S102">
        <v>19.181316070925977</v>
      </c>
      <c r="T102">
        <v>19.59553560371517</v>
      </c>
      <c r="U102">
        <v>20.679272727272728</v>
      </c>
      <c r="V102">
        <v>20.745623979735434</v>
      </c>
      <c r="W102">
        <v>20.815344216155363</v>
      </c>
      <c r="X102">
        <v>20.860866873065014</v>
      </c>
      <c r="Y102">
        <v>20.756759358288768</v>
      </c>
      <c r="Z102">
        <v>20.835061638052352</v>
      </c>
      <c r="AA102">
        <v>20.885974669293553</v>
      </c>
      <c r="AB102">
        <v>20.979112299465239</v>
      </c>
      <c r="AC102">
        <v>21.052343371798479</v>
      </c>
      <c r="AD102">
        <v>21.330976076555025</v>
      </c>
      <c r="AE102">
        <v>21.42243512524627</v>
      </c>
      <c r="AF102">
        <v>21.491599774838164</v>
      </c>
      <c r="AG102">
        <v>21.928314663664509</v>
      </c>
      <c r="AH102">
        <v>22.202857303687022</v>
      </c>
      <c r="AI102">
        <v>22.659845201238387</v>
      </c>
      <c r="AJ102">
        <v>22.587926259499014</v>
      </c>
      <c r="AK102">
        <v>22.963514776245425</v>
      </c>
      <c r="AL102">
        <v>23.469701660568532</v>
      </c>
      <c r="AM102">
        <v>23.726725584013508</v>
      </c>
      <c r="AN102">
        <v>24.321664508865748</v>
      </c>
      <c r="AO102">
        <v>25.480807768083309</v>
      </c>
    </row>
    <row r="103" spans="9:41" x14ac:dyDescent="0.25">
      <c r="I103" t="s">
        <v>44</v>
      </c>
      <c r="J103">
        <v>28.503195372270948</v>
      </c>
      <c r="K103">
        <v>27.56843519236628</v>
      </c>
      <c r="L103">
        <v>27.536108011323876</v>
      </c>
      <c r="M103">
        <v>27.797248052403248</v>
      </c>
      <c r="N103">
        <v>27.794152965511518</v>
      </c>
      <c r="O103">
        <v>28.132498301407413</v>
      </c>
      <c r="P103">
        <v>28.129124075155097</v>
      </c>
      <c r="Q103">
        <v>28.646918542866576</v>
      </c>
      <c r="R103">
        <v>28.709563360017508</v>
      </c>
      <c r="S103">
        <v>29.154180668963214</v>
      </c>
      <c r="T103">
        <v>29.421805530928889</v>
      </c>
      <c r="U103">
        <v>29.90080479676578</v>
      </c>
      <c r="V103">
        <v>30.240261520856617</v>
      </c>
      <c r="W103">
        <v>30.453645469661708</v>
      </c>
      <c r="X103">
        <v>30.937788136679849</v>
      </c>
      <c r="Y103">
        <v>31.187047954880036</v>
      </c>
      <c r="Z103">
        <v>31.472139703872259</v>
      </c>
      <c r="AA103">
        <v>31.79085740732074</v>
      </c>
      <c r="AB103">
        <v>31.99811450562326</v>
      </c>
      <c r="AC103">
        <v>32.264737825901626</v>
      </c>
      <c r="AD103">
        <v>32.551506995681095</v>
      </c>
      <c r="AE103">
        <v>32.553225770447689</v>
      </c>
      <c r="AF103">
        <v>32.775026546361701</v>
      </c>
      <c r="AG103">
        <v>33.264030890576777</v>
      </c>
      <c r="AH103">
        <v>33.474832800296412</v>
      </c>
      <c r="AI103">
        <v>33.731148641222632</v>
      </c>
      <c r="AJ103">
        <v>34.209951475657626</v>
      </c>
      <c r="AK103">
        <v>34.229603662030271</v>
      </c>
      <c r="AL103">
        <v>34.564691079740761</v>
      </c>
      <c r="AM103">
        <v>34.873048319051037</v>
      </c>
      <c r="AN103">
        <v>35.089670801363731</v>
      </c>
      <c r="AO103">
        <v>35.287696916088954</v>
      </c>
    </row>
    <row r="104" spans="9:41" x14ac:dyDescent="0.25">
      <c r="I104" t="s">
        <v>51</v>
      </c>
      <c r="J104" s="70">
        <v>5.0316960000000002</v>
      </c>
      <c r="K104" s="69">
        <v>4.7607179999999998</v>
      </c>
      <c r="L104" s="70">
        <v>4.8476780000000002</v>
      </c>
      <c r="M104" s="69">
        <v>4.8332069999999998</v>
      </c>
      <c r="N104" s="70">
        <v>4.8686489999999996</v>
      </c>
      <c r="O104" s="69">
        <v>4.9797479999999998</v>
      </c>
      <c r="P104" s="70">
        <v>5.198734</v>
      </c>
      <c r="Q104" s="69">
        <v>5.4027200000000004</v>
      </c>
      <c r="R104" s="70">
        <v>5.5522840000000002</v>
      </c>
      <c r="S104" s="69">
        <v>5.6320800000000002</v>
      </c>
      <c r="T104" s="70">
        <v>5.6439170000000001</v>
      </c>
      <c r="U104" s="69">
        <v>5.6790589999999996</v>
      </c>
      <c r="V104" s="70">
        <v>5.6373389999999999</v>
      </c>
      <c r="W104" s="69">
        <v>5.6477459999999997</v>
      </c>
      <c r="X104" s="70">
        <v>5.7140750000000002</v>
      </c>
      <c r="Y104" s="69">
        <v>5.7420039999999997</v>
      </c>
      <c r="Z104" s="70">
        <v>5.739636</v>
      </c>
      <c r="AA104" s="69">
        <v>5.7297529999999997</v>
      </c>
      <c r="AB104" s="70">
        <v>5.7619749999999996</v>
      </c>
      <c r="AC104" s="69">
        <v>5.7804820000000001</v>
      </c>
      <c r="AD104" s="70">
        <v>5.7848649999999999</v>
      </c>
      <c r="AE104" s="69">
        <v>5.7817970000000001</v>
      </c>
      <c r="AF104" s="70">
        <v>5.7831630000000001</v>
      </c>
      <c r="AG104" s="69">
        <v>5.7969949999999999</v>
      </c>
      <c r="AH104" s="70">
        <v>5.8079429999999999</v>
      </c>
      <c r="AI104" s="69">
        <v>5.8250010000000003</v>
      </c>
      <c r="AJ104" s="70">
        <v>5.848293</v>
      </c>
      <c r="AK104" s="69">
        <v>5.8874190000000004</v>
      </c>
      <c r="AL104" s="70">
        <v>5.9310219999999996</v>
      </c>
      <c r="AM104" s="69">
        <v>5.9516270000000002</v>
      </c>
      <c r="AN104" s="70">
        <v>5.9727379999999997</v>
      </c>
      <c r="AO104" s="69">
        <v>6.0177839999999998</v>
      </c>
    </row>
    <row r="105" spans="9:41" ht="16.5" customHeight="1" x14ac:dyDescent="0.25">
      <c r="I105" t="s">
        <v>52</v>
      </c>
      <c r="J105">
        <f t="shared" ref="J105:AO105" si="17">+J108</f>
        <v>9.9389069659747609</v>
      </c>
      <c r="K105">
        <f t="shared" si="17"/>
        <v>9.3869901772428523</v>
      </c>
      <c r="L105">
        <f t="shared" si="17"/>
        <v>10.287079260646848</v>
      </c>
      <c r="M105">
        <f t="shared" si="17"/>
        <v>10.535673289409495</v>
      </c>
      <c r="N105">
        <f t="shared" si="17"/>
        <v>10.74174170797278</v>
      </c>
      <c r="O105">
        <f t="shared" si="17"/>
        <v>11.129993971580372</v>
      </c>
      <c r="P105">
        <f t="shared" si="17"/>
        <v>11.404622491095539</v>
      </c>
      <c r="Q105">
        <f t="shared" si="17"/>
        <v>11.693615001593368</v>
      </c>
      <c r="R105">
        <f t="shared" si="17"/>
        <v>11.97288183063062</v>
      </c>
      <c r="S105">
        <f t="shared" si="17"/>
        <v>12.106750658115047</v>
      </c>
      <c r="T105">
        <f t="shared" si="17"/>
        <v>12.377995487022886</v>
      </c>
      <c r="U105">
        <f t="shared" si="17"/>
        <v>12.602511149398413</v>
      </c>
      <c r="V105">
        <f t="shared" si="17"/>
        <v>12.89947849257279</v>
      </c>
      <c r="W105">
        <f t="shared" si="17"/>
        <v>13.05019617018589</v>
      </c>
      <c r="X105">
        <f t="shared" si="17"/>
        <v>13.528408425775462</v>
      </c>
      <c r="Y105">
        <f t="shared" si="17"/>
        <v>13.746138157938017</v>
      </c>
      <c r="Z105">
        <f t="shared" si="17"/>
        <v>14.018754906092827</v>
      </c>
      <c r="AA105">
        <f t="shared" si="17"/>
        <v>14.383410900612422</v>
      </c>
      <c r="AB105">
        <f t="shared" si="17"/>
        <v>14.451363477705129</v>
      </c>
      <c r="AC105">
        <f t="shared" si="17"/>
        <v>14.722348267322275</v>
      </c>
      <c r="AD105">
        <f t="shared" si="17"/>
        <v>14.97849385828558</v>
      </c>
      <c r="AE105">
        <f t="shared" si="17"/>
        <v>15.146069572197943</v>
      </c>
      <c r="AF105">
        <f t="shared" si="17"/>
        <v>15.324567642948036</v>
      </c>
      <c r="AG105">
        <f t="shared" si="17"/>
        <v>15.726956186501802</v>
      </c>
      <c r="AH105">
        <f t="shared" si="17"/>
        <v>15.920432485064548</v>
      </c>
      <c r="AI105">
        <f t="shared" si="17"/>
        <v>16.14669086999627</v>
      </c>
      <c r="AJ105">
        <f t="shared" si="17"/>
        <v>16.491298400506025</v>
      </c>
      <c r="AK105">
        <f t="shared" si="17"/>
        <v>16.614746224078669</v>
      </c>
      <c r="AL105">
        <f t="shared" si="17"/>
        <v>17.032564177747016</v>
      </c>
      <c r="AM105">
        <f t="shared" si="17"/>
        <v>17.354044993811897</v>
      </c>
      <c r="AN105">
        <f t="shared" si="17"/>
        <v>17.615031873336019</v>
      </c>
      <c r="AO105">
        <f t="shared" si="17"/>
        <v>17.793513868287572</v>
      </c>
    </row>
    <row r="106" spans="9:41" x14ac:dyDescent="0.25">
      <c r="I106" t="s">
        <v>67</v>
      </c>
      <c r="J106">
        <f>+J105*(100%+$M$75)</f>
        <v>9.143949895233531</v>
      </c>
      <c r="K106">
        <f t="shared" ref="K106:AO106" si="18">+K105*(100%+$M$75)</f>
        <v>8.6361778152875335</v>
      </c>
      <c r="L106">
        <f t="shared" si="18"/>
        <v>9.4642738532189661</v>
      </c>
      <c r="M106">
        <f t="shared" si="18"/>
        <v>9.6929842487425191</v>
      </c>
      <c r="N106">
        <f t="shared" si="18"/>
        <v>9.8825704176022739</v>
      </c>
      <c r="O106">
        <f t="shared" si="18"/>
        <v>10.239768574028588</v>
      </c>
      <c r="P106">
        <f t="shared" si="18"/>
        <v>10.492431108333994</v>
      </c>
      <c r="Q106">
        <f t="shared" si="18"/>
        <v>10.758308739057016</v>
      </c>
      <c r="R106">
        <f t="shared" si="18"/>
        <v>11.015238590685517</v>
      </c>
      <c r="S106">
        <f t="shared" si="18"/>
        <v>11.138400006245785</v>
      </c>
      <c r="T106">
        <f t="shared" si="18"/>
        <v>11.387949492257221</v>
      </c>
      <c r="U106">
        <f t="shared" si="18"/>
        <v>11.594507414017146</v>
      </c>
      <c r="V106">
        <f t="shared" si="18"/>
        <v>11.8677220155627</v>
      </c>
      <c r="W106">
        <f t="shared" si="18"/>
        <v>12.006384636828617</v>
      </c>
      <c r="X106">
        <f t="shared" si="18"/>
        <v>12.446347393233069</v>
      </c>
      <c r="Y106">
        <f t="shared" si="18"/>
        <v>12.646662153036411</v>
      </c>
      <c r="Z106">
        <f t="shared" si="18"/>
        <v>12.897473826217679</v>
      </c>
      <c r="AA106">
        <f t="shared" si="18"/>
        <v>13.232963045937597</v>
      </c>
      <c r="AB106">
        <f t="shared" si="18"/>
        <v>13.295480479928566</v>
      </c>
      <c r="AC106">
        <f t="shared" si="18"/>
        <v>13.544790725724448</v>
      </c>
      <c r="AD106">
        <f t="shared" si="18"/>
        <v>13.780448676610977</v>
      </c>
      <c r="AE106">
        <f t="shared" si="18"/>
        <v>13.934620955003197</v>
      </c>
      <c r="AF106">
        <f t="shared" si="18"/>
        <v>14.098841972557979</v>
      </c>
      <c r="AG106">
        <f t="shared" si="18"/>
        <v>14.469045727685973</v>
      </c>
      <c r="AH106">
        <f t="shared" si="18"/>
        <v>14.647046949151225</v>
      </c>
      <c r="AI106">
        <f t="shared" si="18"/>
        <v>14.855208202926399</v>
      </c>
      <c r="AJ106">
        <f t="shared" si="18"/>
        <v>15.172252522114501</v>
      </c>
      <c r="AK106">
        <f t="shared" si="18"/>
        <v>15.285826451047358</v>
      </c>
      <c r="AL106">
        <f t="shared" si="18"/>
        <v>15.670225504861991</v>
      </c>
      <c r="AM106">
        <f t="shared" si="18"/>
        <v>15.965992884961192</v>
      </c>
      <c r="AN106">
        <f t="shared" si="18"/>
        <v>16.206104897061898</v>
      </c>
      <c r="AO106">
        <f t="shared" si="18"/>
        <v>16.370311124630533</v>
      </c>
    </row>
    <row r="107" spans="9:41" x14ac:dyDescent="0.25">
      <c r="I107" t="s">
        <v>226</v>
      </c>
      <c r="J107">
        <f>+J105*(100%+$M$76)</f>
        <v>7.5540357537510738</v>
      </c>
      <c r="K107">
        <f t="shared" ref="K107:AO107" si="19">+K105*(100%+$M$76)</f>
        <v>7.1345530913769002</v>
      </c>
      <c r="L107">
        <f t="shared" si="19"/>
        <v>7.8186630383632059</v>
      </c>
      <c r="M107">
        <f t="shared" si="19"/>
        <v>8.0076061674085715</v>
      </c>
      <c r="N107">
        <f t="shared" si="19"/>
        <v>8.1642278368612686</v>
      </c>
      <c r="O107">
        <f t="shared" si="19"/>
        <v>8.4593177789250227</v>
      </c>
      <c r="P107">
        <f t="shared" si="19"/>
        <v>8.668048342810911</v>
      </c>
      <c r="Q107">
        <f t="shared" si="19"/>
        <v>8.8876962139843165</v>
      </c>
      <c r="R107">
        <f t="shared" si="19"/>
        <v>9.0999521107953179</v>
      </c>
      <c r="S107">
        <f t="shared" si="19"/>
        <v>9.2016987025072687</v>
      </c>
      <c r="T107">
        <f t="shared" si="19"/>
        <v>9.4078575027258964</v>
      </c>
      <c r="U107">
        <f t="shared" si="19"/>
        <v>9.5784999432546165</v>
      </c>
      <c r="V107">
        <f t="shared" si="19"/>
        <v>9.8042090615425241</v>
      </c>
      <c r="W107">
        <f t="shared" si="19"/>
        <v>9.9187615701140768</v>
      </c>
      <c r="X107">
        <f t="shared" si="19"/>
        <v>10.282225328148286</v>
      </c>
      <c r="Y107">
        <f t="shared" si="19"/>
        <v>10.447710143233209</v>
      </c>
      <c r="Z107">
        <f t="shared" si="19"/>
        <v>10.65491166646739</v>
      </c>
      <c r="AA107">
        <f t="shared" si="19"/>
        <v>10.932067336587954</v>
      </c>
      <c r="AB107">
        <f t="shared" si="19"/>
        <v>10.983714484375447</v>
      </c>
      <c r="AC107">
        <f t="shared" si="19"/>
        <v>11.189675642528805</v>
      </c>
      <c r="AD107">
        <f t="shared" si="19"/>
        <v>11.384358313261776</v>
      </c>
      <c r="AE107">
        <f t="shared" si="19"/>
        <v>11.511723720613711</v>
      </c>
      <c r="AF107">
        <f t="shared" si="19"/>
        <v>11.647390631777874</v>
      </c>
      <c r="AG107">
        <f t="shared" si="19"/>
        <v>11.953224810054323</v>
      </c>
      <c r="AH107">
        <f t="shared" si="19"/>
        <v>12.100275877324583</v>
      </c>
      <c r="AI107">
        <f t="shared" si="19"/>
        <v>12.272242868786664</v>
      </c>
      <c r="AJ107">
        <f t="shared" si="19"/>
        <v>12.534160765331462</v>
      </c>
      <c r="AK107">
        <f t="shared" si="19"/>
        <v>12.627986904984743</v>
      </c>
      <c r="AL107">
        <f t="shared" si="19"/>
        <v>12.945548159091949</v>
      </c>
      <c r="AM107">
        <f t="shared" si="19"/>
        <v>13.189888667259792</v>
      </c>
      <c r="AN107">
        <f t="shared" si="19"/>
        <v>13.388250944513667</v>
      </c>
      <c r="AO107">
        <f t="shared" si="19"/>
        <v>13.52390563731646</v>
      </c>
    </row>
    <row r="108" spans="9:41" x14ac:dyDescent="0.25">
      <c r="I108" t="s">
        <v>212</v>
      </c>
      <c r="J108">
        <v>9.9389069659747609</v>
      </c>
      <c r="K108">
        <v>9.3869901772428523</v>
      </c>
      <c r="L108">
        <v>10.287079260646848</v>
      </c>
      <c r="M108">
        <v>10.535673289409495</v>
      </c>
      <c r="N108">
        <v>10.74174170797278</v>
      </c>
      <c r="O108">
        <v>11.129993971580372</v>
      </c>
      <c r="P108">
        <v>11.404622491095539</v>
      </c>
      <c r="Q108">
        <v>11.693615001593368</v>
      </c>
      <c r="R108">
        <v>11.97288183063062</v>
      </c>
      <c r="S108">
        <v>12.106750658115047</v>
      </c>
      <c r="T108">
        <v>12.377995487022886</v>
      </c>
      <c r="U108">
        <v>12.602511149398413</v>
      </c>
      <c r="V108">
        <v>12.89947849257279</v>
      </c>
      <c r="W108">
        <v>13.05019617018589</v>
      </c>
      <c r="X108">
        <v>13.528408425775462</v>
      </c>
      <c r="Y108">
        <v>13.746138157938017</v>
      </c>
      <c r="Z108">
        <v>14.018754906092827</v>
      </c>
      <c r="AA108">
        <v>14.383410900612422</v>
      </c>
      <c r="AB108">
        <v>14.451363477705129</v>
      </c>
      <c r="AC108">
        <v>14.722348267322275</v>
      </c>
      <c r="AD108">
        <v>14.97849385828558</v>
      </c>
      <c r="AE108">
        <v>15.146069572197943</v>
      </c>
      <c r="AF108">
        <v>15.324567642948036</v>
      </c>
      <c r="AG108">
        <v>15.726956186501802</v>
      </c>
      <c r="AH108">
        <v>15.920432485064548</v>
      </c>
      <c r="AI108">
        <v>16.14669086999627</v>
      </c>
      <c r="AJ108">
        <v>16.491298400506025</v>
      </c>
      <c r="AK108">
        <v>16.614746224078669</v>
      </c>
      <c r="AL108">
        <v>17.032564177747016</v>
      </c>
      <c r="AM108">
        <v>17.354044993811897</v>
      </c>
      <c r="AN108">
        <v>17.615031873336019</v>
      </c>
      <c r="AO108">
        <v>17.793513868287572</v>
      </c>
    </row>
    <row r="109" spans="9:41" x14ac:dyDescent="0.25">
      <c r="I109" t="s">
        <v>519</v>
      </c>
      <c r="J109">
        <v>22.631883642110068</v>
      </c>
      <c r="K109">
        <v>22.339540412044375</v>
      </c>
      <c r="L109">
        <v>22.078422999593137</v>
      </c>
      <c r="M109">
        <v>22.39579265822039</v>
      </c>
      <c r="N109">
        <v>22.558159280737229</v>
      </c>
      <c r="O109">
        <v>23.164899880511875</v>
      </c>
      <c r="P109">
        <v>23.275210249935512</v>
      </c>
      <c r="Q109">
        <v>23.971296511876403</v>
      </c>
      <c r="R109">
        <v>24.015638240959891</v>
      </c>
      <c r="S109">
        <v>24.740571573891199</v>
      </c>
      <c r="T109">
        <v>25.062088399499931</v>
      </c>
      <c r="U109">
        <v>25.42744343502223</v>
      </c>
      <c r="V109">
        <v>25.958460854900952</v>
      </c>
      <c r="W109">
        <v>26.224834702323204</v>
      </c>
      <c r="X109">
        <v>26.829697023012422</v>
      </c>
      <c r="Y109">
        <v>27.263719866788854</v>
      </c>
      <c r="Z109">
        <v>27.675778594046346</v>
      </c>
      <c r="AA109">
        <v>28.049205194444301</v>
      </c>
      <c r="AB109">
        <v>28.417233459014266</v>
      </c>
      <c r="AC109">
        <v>28.731185290548609</v>
      </c>
      <c r="AD109">
        <v>29.153445621352176</v>
      </c>
      <c r="AE109">
        <v>29.292522193535898</v>
      </c>
      <c r="AF109">
        <v>29.677418350298769</v>
      </c>
      <c r="AG109">
        <v>30.263903747100933</v>
      </c>
      <c r="AH109">
        <v>30.578589495970853</v>
      </c>
      <c r="AI109">
        <v>30.937873310956238</v>
      </c>
      <c r="AJ109">
        <v>31.585223494694176</v>
      </c>
      <c r="AK109">
        <v>31.665200648668247</v>
      </c>
      <c r="AL109">
        <v>32.309671618243542</v>
      </c>
      <c r="AM109">
        <v>32.833415474840166</v>
      </c>
      <c r="AN109">
        <v>33.211941351195492</v>
      </c>
      <c r="AO109">
        <v>33.352427777055048</v>
      </c>
    </row>
    <row r="113" spans="9:17" x14ac:dyDescent="0.25">
      <c r="I113" t="s">
        <v>239</v>
      </c>
    </row>
    <row r="114" spans="9:17" x14ac:dyDescent="0.25">
      <c r="J114">
        <v>2019</v>
      </c>
      <c r="K114">
        <v>2020</v>
      </c>
      <c r="L114">
        <v>2025</v>
      </c>
      <c r="M114">
        <v>2030</v>
      </c>
      <c r="N114">
        <v>2035</v>
      </c>
      <c r="O114">
        <v>2040</v>
      </c>
      <c r="P114">
        <v>2045</v>
      </c>
      <c r="Q114">
        <v>2050</v>
      </c>
    </row>
    <row r="115" spans="9:17" x14ac:dyDescent="0.25">
      <c r="I115" t="s">
        <v>45</v>
      </c>
      <c r="J115" s="70">
        <f>+J97*$R$3/1000000</f>
        <v>20.996445954041999</v>
      </c>
      <c r="K115" s="70">
        <f t="shared" ref="K115" si="20">+K97*$R$3/1000000</f>
        <v>20.795929580790002</v>
      </c>
      <c r="L115" s="70">
        <f>+P97*$R$3/1000000</f>
        <v>20.716882590807003</v>
      </c>
      <c r="M115" s="70">
        <f>+U97*$R$3/1000000</f>
        <v>22.202066334591002</v>
      </c>
      <c r="N115" s="70">
        <f>+Z97*$R$3/1000000</f>
        <v>23.568165402677998</v>
      </c>
      <c r="O115" s="70">
        <f>+AE97*$R$3/1000000</f>
        <v>24.597135442035</v>
      </c>
      <c r="P115" s="70">
        <f>+AJ97*$R$3/1000000</f>
        <v>25.886116327734001</v>
      </c>
      <c r="Q115" s="70">
        <f>+AO97*$R$3/1000000</f>
        <v>27.153960894333</v>
      </c>
    </row>
    <row r="116" spans="9:17" x14ac:dyDescent="0.25">
      <c r="I116" t="s">
        <v>47</v>
      </c>
      <c r="J116" s="70">
        <f t="shared" ref="J116:K125" si="21">+J98*$R$3/1000000</f>
        <v>20.905026160941002</v>
      </c>
      <c r="K116" s="70">
        <f t="shared" si="21"/>
        <v>20.219447377232999</v>
      </c>
      <c r="L116" s="70">
        <f t="shared" ref="L116:L126" si="22">+P98*$R$3/1000000</f>
        <v>20.630671999937999</v>
      </c>
      <c r="M116" s="70">
        <f t="shared" ref="M116:M126" si="23">+U98*$R$3/1000000</f>
        <v>21.930071290101001</v>
      </c>
      <c r="N116" s="70">
        <f t="shared" ref="N116:N125" si="24">+Z98*$R$3/1000000</f>
        <v>23.082531458571001</v>
      </c>
      <c r="O116" s="70">
        <f t="shared" ref="O116:O126" si="25">+AE98*$R$3/1000000</f>
        <v>23.875429665555</v>
      </c>
      <c r="P116" s="70">
        <f t="shared" ref="P116:P126" si="26">+AJ98*$R$3/1000000</f>
        <v>25.090517790116998</v>
      </c>
      <c r="Q116" s="70">
        <f t="shared" ref="Q116:Q126" si="27">+AO98*$R$3/1000000</f>
        <v>25.880965890156002</v>
      </c>
    </row>
    <row r="117" spans="9:17" x14ac:dyDescent="0.25">
      <c r="I117" t="s">
        <v>48</v>
      </c>
      <c r="J117" s="70">
        <f t="shared" si="21"/>
        <v>13.877034192216</v>
      </c>
      <c r="K117" s="70">
        <f t="shared" si="21"/>
        <v>13.695434350650002</v>
      </c>
      <c r="L117" s="70">
        <f t="shared" si="22"/>
        <v>14.458260219857999</v>
      </c>
      <c r="M117" s="70">
        <f t="shared" si="23"/>
        <v>15.795199697939999</v>
      </c>
      <c r="N117" s="70">
        <f t="shared" si="24"/>
        <v>17.191836481949998</v>
      </c>
      <c r="O117" s="70">
        <f t="shared" si="25"/>
        <v>18.196136740431001</v>
      </c>
      <c r="P117" s="70">
        <f t="shared" si="26"/>
        <v>19.62033319935</v>
      </c>
      <c r="Q117" s="70">
        <f t="shared" si="27"/>
        <v>20.718097692200999</v>
      </c>
    </row>
    <row r="118" spans="9:17" x14ac:dyDescent="0.25">
      <c r="I118" t="s">
        <v>49</v>
      </c>
      <c r="J118" s="70">
        <f t="shared" si="21"/>
        <v>17.551047751146001</v>
      </c>
      <c r="K118" s="70">
        <f t="shared" si="21"/>
        <v>16.867144707893999</v>
      </c>
      <c r="L118" s="70">
        <f t="shared" si="22"/>
        <v>19.872932116751997</v>
      </c>
      <c r="M118" s="70">
        <f t="shared" si="23"/>
        <v>22.022557377326997</v>
      </c>
      <c r="N118" s="70">
        <f t="shared" si="24"/>
        <v>22.891725470484001</v>
      </c>
      <c r="O118" s="70">
        <f t="shared" si="25"/>
        <v>24.412499742618003</v>
      </c>
      <c r="P118" s="70">
        <f t="shared" si="26"/>
        <v>25.877700660591003</v>
      </c>
      <c r="Q118" s="70">
        <f t="shared" si="27"/>
        <v>27.425805235919999</v>
      </c>
    </row>
    <row r="119" spans="9:17" x14ac:dyDescent="0.25">
      <c r="I119" t="s">
        <v>50</v>
      </c>
      <c r="J119" s="70">
        <f t="shared" si="21"/>
        <v>9.2415067298189992</v>
      </c>
      <c r="K119" s="70">
        <f t="shared" si="21"/>
        <v>9.6605963379900004</v>
      </c>
      <c r="L119" s="70">
        <f t="shared" si="22"/>
        <v>9.3615136314569991</v>
      </c>
      <c r="M119" s="70">
        <f t="shared" si="23"/>
        <v>10.777456499940001</v>
      </c>
      <c r="N119" s="70">
        <f t="shared" si="24"/>
        <v>12.03505800822</v>
      </c>
      <c r="O119" s="70">
        <f t="shared" si="25"/>
        <v>13.376972577735</v>
      </c>
      <c r="P119" s="70">
        <f t="shared" si="26"/>
        <v>14.299692331392</v>
      </c>
      <c r="Q119" s="70">
        <f t="shared" si="27"/>
        <v>15.089726235401999</v>
      </c>
    </row>
    <row r="120" spans="9:17" x14ac:dyDescent="0.25">
      <c r="I120" t="s">
        <v>43</v>
      </c>
      <c r="J120" s="70">
        <f t="shared" si="21"/>
        <v>15.484369752577541</v>
      </c>
      <c r="K120" s="70">
        <f t="shared" si="21"/>
        <v>15.076841521470868</v>
      </c>
      <c r="L120" s="70">
        <f t="shared" si="22"/>
        <v>16.842423718223472</v>
      </c>
      <c r="M120" s="70">
        <f t="shared" si="23"/>
        <v>19.600166238545455</v>
      </c>
      <c r="N120" s="70">
        <f t="shared" si="24"/>
        <v>19.747825616593868</v>
      </c>
      <c r="O120" s="70">
        <f t="shared" si="25"/>
        <v>20.304548193105546</v>
      </c>
      <c r="P120" s="70">
        <f t="shared" si="26"/>
        <v>21.409220503499576</v>
      </c>
      <c r="Q120" s="70">
        <f t="shared" si="27"/>
        <v>24.151142776321418</v>
      </c>
    </row>
    <row r="121" spans="9:17" x14ac:dyDescent="0.25">
      <c r="I121" t="s">
        <v>44</v>
      </c>
      <c r="J121" s="70">
        <f t="shared" si="21"/>
        <v>27.015813128159731</v>
      </c>
      <c r="K121" s="70">
        <f>+K103*$R$3/1000000</f>
        <v>26.129831538723028</v>
      </c>
      <c r="L121" s="70">
        <f t="shared" si="22"/>
        <v>26.661261993541277</v>
      </c>
      <c r="M121" s="70">
        <f t="shared" si="23"/>
        <v>28.340491100056148</v>
      </c>
      <c r="N121" s="70">
        <f t="shared" si="24"/>
        <v>29.829829037705093</v>
      </c>
      <c r="O121" s="70">
        <f t="shared" si="25"/>
        <v>30.854500790068418</v>
      </c>
      <c r="P121" s="70">
        <f t="shared" si="26"/>
        <v>32.424773577803386</v>
      </c>
      <c r="Q121" s="70">
        <f t="shared" si="27"/>
        <v>33.446279027916688</v>
      </c>
    </row>
    <row r="122" spans="9:17" x14ac:dyDescent="0.25">
      <c r="I122" t="s">
        <v>51</v>
      </c>
      <c r="J122" s="70">
        <f t="shared" si="21"/>
        <v>4.769127007632</v>
      </c>
      <c r="K122" s="70">
        <f t="shared" si="21"/>
        <v>4.5122894526059998</v>
      </c>
      <c r="L122" s="70">
        <f t="shared" si="22"/>
        <v>4.9274484636779992</v>
      </c>
      <c r="M122" s="70">
        <f t="shared" si="23"/>
        <v>5.3827086642029993</v>
      </c>
      <c r="N122" s="70">
        <f t="shared" si="24"/>
        <v>5.4401245746119997</v>
      </c>
      <c r="O122" s="70">
        <f t="shared" si="25"/>
        <v>5.4800854871490001</v>
      </c>
      <c r="P122" s="70">
        <f t="shared" si="26"/>
        <v>5.5431115263809998</v>
      </c>
      <c r="Q122" s="70">
        <f t="shared" si="27"/>
        <v>5.7037579775280003</v>
      </c>
    </row>
    <row r="123" spans="9:17" x14ac:dyDescent="0.25">
      <c r="I123" t="s">
        <v>52</v>
      </c>
      <c r="J123" s="70">
        <f t="shared" si="21"/>
        <v>9.4202649837693002</v>
      </c>
      <c r="K123" s="70">
        <f t="shared" si="21"/>
        <v>8.8971488688237894</v>
      </c>
      <c r="L123" s="70">
        <f t="shared" si="22"/>
        <v>10.809495075642701</v>
      </c>
      <c r="M123" s="70">
        <f t="shared" si="23"/>
        <v>11.944874310089356</v>
      </c>
      <c r="N123" s="70">
        <f t="shared" si="24"/>
        <v>13.287214218828185</v>
      </c>
      <c r="O123" s="70">
        <f t="shared" si="25"/>
        <v>14.355702223711937</v>
      </c>
      <c r="P123" s="70">
        <f t="shared" si="26"/>
        <v>15.630732976072419</v>
      </c>
      <c r="Q123" s="70">
        <f t="shared" si="27"/>
        <v>16.864994934098721</v>
      </c>
    </row>
    <row r="124" spans="9:17" x14ac:dyDescent="0.25">
      <c r="I124" t="s">
        <v>67</v>
      </c>
      <c r="J124" s="70">
        <f t="shared" si="21"/>
        <v>8.6667911578505592</v>
      </c>
      <c r="K124" s="70">
        <f t="shared" si="21"/>
        <v>8.1855161483523844</v>
      </c>
      <c r="L124" s="70">
        <f t="shared" si="22"/>
        <v>9.9449045758078007</v>
      </c>
      <c r="M124" s="70">
        <f t="shared" si="23"/>
        <v>10.989471233631489</v>
      </c>
      <c r="N124" s="70">
        <f t="shared" si="24"/>
        <v>12.224444949544161</v>
      </c>
      <c r="O124" s="70">
        <f t="shared" si="25"/>
        <v>13.207470629708267</v>
      </c>
      <c r="P124" s="70">
        <f t="shared" si="26"/>
        <v>14.380518868753001</v>
      </c>
      <c r="Q124" s="70">
        <f t="shared" si="27"/>
        <v>15.516059179213938</v>
      </c>
    </row>
    <row r="125" spans="9:17" x14ac:dyDescent="0.25">
      <c r="I125" t="s">
        <v>226</v>
      </c>
      <c r="J125" s="70">
        <f t="shared" si="21"/>
        <v>7.1598435060130816</v>
      </c>
      <c r="K125" s="70">
        <f t="shared" si="21"/>
        <v>6.7622507074095797</v>
      </c>
      <c r="L125" s="70">
        <f t="shared" si="22"/>
        <v>8.215723576138009</v>
      </c>
      <c r="M125" s="70">
        <f t="shared" si="23"/>
        <v>9.0786650807157603</v>
      </c>
      <c r="N125" s="70">
        <f t="shared" si="24"/>
        <v>10.098906410976124</v>
      </c>
      <c r="O125" s="70">
        <f t="shared" si="25"/>
        <v>10.911007441700926</v>
      </c>
      <c r="P125" s="70">
        <f t="shared" si="26"/>
        <v>11.88009065411417</v>
      </c>
      <c r="Q125" s="70">
        <f t="shared" si="27"/>
        <v>12.818187669444375</v>
      </c>
    </row>
    <row r="126" spans="9:17" x14ac:dyDescent="0.25">
      <c r="I126" t="s">
        <v>212</v>
      </c>
      <c r="J126" s="70">
        <f>+J108*$R$3/1000000</f>
        <v>9.4202649837693002</v>
      </c>
      <c r="K126" s="70">
        <f t="shared" ref="K126" si="28">+K108*$R$3/1000000</f>
        <v>8.8971488688237894</v>
      </c>
      <c r="L126" s="70">
        <f t="shared" si="22"/>
        <v>10.809495075642701</v>
      </c>
      <c r="M126" s="70">
        <f t="shared" si="23"/>
        <v>11.944874310089356</v>
      </c>
      <c r="N126" s="70">
        <f>+Z108*$R$3/1000000</f>
        <v>13.287214218828185</v>
      </c>
      <c r="O126" s="70">
        <f t="shared" si="25"/>
        <v>14.355702223711937</v>
      </c>
      <c r="P126" s="70">
        <f t="shared" si="26"/>
        <v>15.630732976072419</v>
      </c>
      <c r="Q126" s="70">
        <f t="shared" si="27"/>
        <v>16.864994934098721</v>
      </c>
    </row>
    <row r="127" spans="9:17" x14ac:dyDescent="0.25">
      <c r="I127" t="str">
        <f>+I109</f>
        <v>AVG</v>
      </c>
      <c r="J127" s="70">
        <f>+J109*$R$3/1000000</f>
        <v>21.450884058013838</v>
      </c>
      <c r="K127" s="70">
        <f>+K109*$R$3/1000000</f>
        <v>21.173796174722664</v>
      </c>
      <c r="L127" s="70">
        <f>+P109*$R$3/1000000</f>
        <v>22.060639953463127</v>
      </c>
      <c r="M127" s="70">
        <f t="shared" ref="M127" si="29">+U109*$R$3/1000000</f>
        <v>24.100563154252466</v>
      </c>
      <c r="N127" s="70">
        <f>+Z109*$R$3/1000000</f>
        <v>26.231573439673227</v>
      </c>
      <c r="O127" s="70">
        <f t="shared" ref="O127" si="30">+AE109*$R$3/1000000</f>
        <v>27.763950507910614</v>
      </c>
      <c r="P127" s="70">
        <f t="shared" ref="P127" si="31">+AJ109*$R$3/1000000</f>
        <v>29.937011777070548</v>
      </c>
      <c r="Q127" s="70">
        <f>+AO109*$R$3/1000000</f>
        <v>31.611998038364984</v>
      </c>
    </row>
  </sheetData>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FA78E-F7FE-438A-B26E-4E2AFA28C187}">
  <dimension ref="B4:T106"/>
  <sheetViews>
    <sheetView showGridLines="0" topLeftCell="E60" zoomScaleNormal="100" workbookViewId="0">
      <selection activeCell="I103" sqref="I103"/>
    </sheetView>
  </sheetViews>
  <sheetFormatPr baseColWidth="10" defaultRowHeight="15" x14ac:dyDescent="0.25"/>
  <cols>
    <col min="3" max="3" width="16.140625" customWidth="1"/>
    <col min="8" max="8" width="21.7109375" customWidth="1"/>
    <col min="9" max="9" width="20.28515625" bestFit="1" customWidth="1"/>
    <col min="11" max="11" width="14.7109375" customWidth="1"/>
    <col min="16" max="16" width="15.140625" customWidth="1"/>
    <col min="17" max="17" width="55.5703125" customWidth="1"/>
  </cols>
  <sheetData>
    <row r="4" spans="2:19" x14ac:dyDescent="0.25">
      <c r="B4" s="35"/>
      <c r="C4" s="44"/>
      <c r="D4" s="44"/>
      <c r="E4" s="35"/>
      <c r="H4" s="36" t="s">
        <v>0</v>
      </c>
      <c r="I4" s="27"/>
      <c r="J4" s="27"/>
      <c r="K4" s="37"/>
      <c r="L4" s="37"/>
      <c r="M4" s="38"/>
      <c r="O4" s="28" t="s">
        <v>30</v>
      </c>
      <c r="P4" s="38"/>
      <c r="Q4" s="38"/>
      <c r="R4" s="38"/>
      <c r="S4" s="38"/>
    </row>
    <row r="5" spans="2:19" x14ac:dyDescent="0.25">
      <c r="B5" s="45" t="s">
        <v>1</v>
      </c>
      <c r="C5" s="45" t="s">
        <v>2</v>
      </c>
      <c r="D5" s="45" t="s">
        <v>3</v>
      </c>
      <c r="E5" s="45">
        <v>2019</v>
      </c>
      <c r="H5" s="29" t="s">
        <v>11</v>
      </c>
      <c r="I5" s="29" t="s">
        <v>12</v>
      </c>
      <c r="J5" s="29" t="s">
        <v>13</v>
      </c>
      <c r="K5" s="30" t="s">
        <v>31</v>
      </c>
      <c r="L5" s="31"/>
      <c r="M5" s="38"/>
      <c r="O5" s="32" t="s">
        <v>32</v>
      </c>
      <c r="P5" s="32" t="s">
        <v>11</v>
      </c>
      <c r="Q5" s="32" t="s">
        <v>33</v>
      </c>
      <c r="R5" s="32" t="s">
        <v>34</v>
      </c>
      <c r="S5" s="32" t="s">
        <v>35</v>
      </c>
    </row>
    <row r="6" spans="2:19" ht="20.25" customHeight="1" x14ac:dyDescent="0.25">
      <c r="B6" s="48" t="s">
        <v>4</v>
      </c>
      <c r="C6" s="48" t="s">
        <v>5</v>
      </c>
      <c r="D6" s="48" t="s">
        <v>6</v>
      </c>
      <c r="E6" s="48" t="s">
        <v>7</v>
      </c>
      <c r="H6" s="27" t="str">
        <f t="shared" ref="H6:H11" si="0">+"FTE-"&amp;J6</f>
        <v>FTE-DKER</v>
      </c>
      <c r="I6" s="33" t="s">
        <v>48</v>
      </c>
      <c r="J6" s="67" t="str">
        <f>+C10</f>
        <v>DKER</v>
      </c>
      <c r="K6" s="34">
        <v>1</v>
      </c>
      <c r="L6" s="39"/>
      <c r="M6" s="38"/>
      <c r="O6" s="35" t="s">
        <v>46</v>
      </c>
      <c r="P6" s="38" t="str">
        <f t="shared" ref="P6:P11" si="1">+H6</f>
        <v>FTE-DKER</v>
      </c>
      <c r="Q6" s="38" t="s">
        <v>135</v>
      </c>
      <c r="R6" s="38" t="s">
        <v>9</v>
      </c>
      <c r="S6" s="38" t="s">
        <v>42</v>
      </c>
    </row>
    <row r="7" spans="2:19" x14ac:dyDescent="0.25">
      <c r="B7" s="49" t="s">
        <v>8</v>
      </c>
      <c r="C7" s="49"/>
      <c r="D7" s="49"/>
      <c r="E7" s="49" t="s">
        <v>9</v>
      </c>
      <c r="H7" s="27" t="str">
        <f t="shared" si="0"/>
        <v>FTE-DLPG</v>
      </c>
      <c r="I7" s="33" t="s">
        <v>49</v>
      </c>
      <c r="J7" s="67" t="str">
        <f>+C11</f>
        <v>DLPG</v>
      </c>
      <c r="K7" s="34">
        <v>1</v>
      </c>
      <c r="L7" s="40"/>
      <c r="M7" s="38"/>
      <c r="O7" s="38"/>
      <c r="P7" s="38" t="str">
        <f t="shared" si="1"/>
        <v>FTE-DLPG</v>
      </c>
      <c r="Q7" s="38" t="s">
        <v>136</v>
      </c>
      <c r="R7" s="38" t="s">
        <v>9</v>
      </c>
      <c r="S7" s="38" t="s">
        <v>42</v>
      </c>
    </row>
    <row r="8" spans="2:19" x14ac:dyDescent="0.25">
      <c r="B8" s="46" t="s">
        <v>10</v>
      </c>
      <c r="C8" s="46" t="str" cm="1">
        <f t="array" ref="C8:C14">+COMM!Z20:Z26</f>
        <v>DGSL</v>
      </c>
      <c r="D8" s="46" t="s">
        <v>9</v>
      </c>
      <c r="E8" s="50">
        <v>249.2398</v>
      </c>
      <c r="H8" s="27" t="str">
        <f t="shared" si="0"/>
        <v>FTE-DHFO</v>
      </c>
      <c r="I8" s="33" t="s">
        <v>50</v>
      </c>
      <c r="J8" s="67" t="str">
        <f>+C12</f>
        <v>DHFO</v>
      </c>
      <c r="K8" s="34">
        <v>1</v>
      </c>
      <c r="L8" s="34"/>
      <c r="M8" s="38"/>
      <c r="O8" s="38"/>
      <c r="P8" s="38" t="str">
        <f t="shared" si="1"/>
        <v>FTE-DHFO</v>
      </c>
      <c r="Q8" s="38" t="s">
        <v>137</v>
      </c>
      <c r="R8" s="38" t="s">
        <v>9</v>
      </c>
      <c r="S8" s="38" t="s">
        <v>42</v>
      </c>
    </row>
    <row r="9" spans="2:19" x14ac:dyDescent="0.25">
      <c r="B9" s="46" t="s">
        <v>10</v>
      </c>
      <c r="C9" s="46" t="str">
        <v>DDSL</v>
      </c>
      <c r="D9" s="46" t="s">
        <v>9</v>
      </c>
      <c r="E9" s="50">
        <v>269.4325</v>
      </c>
      <c r="H9" s="27" t="str">
        <f t="shared" si="0"/>
        <v>FTE-DGAS</v>
      </c>
      <c r="I9" s="33" t="s">
        <v>51</v>
      </c>
      <c r="J9" s="67" t="str">
        <f>+C13</f>
        <v>DGAS</v>
      </c>
      <c r="K9" s="34">
        <v>1</v>
      </c>
      <c r="L9" s="34"/>
      <c r="M9" s="38"/>
      <c r="O9" s="38"/>
      <c r="P9" s="38" t="str">
        <f t="shared" si="1"/>
        <v>FTE-DGAS</v>
      </c>
      <c r="Q9" s="38" t="s">
        <v>138</v>
      </c>
      <c r="R9" s="38" t="s">
        <v>9</v>
      </c>
      <c r="S9" s="38" t="s">
        <v>42</v>
      </c>
    </row>
    <row r="10" spans="2:19" x14ac:dyDescent="0.25">
      <c r="B10" s="46" t="s">
        <v>10</v>
      </c>
      <c r="C10" s="46" t="str">
        <v>DKER</v>
      </c>
      <c r="D10" s="46" t="s">
        <v>9</v>
      </c>
      <c r="E10" s="50">
        <v>59.134499999999996</v>
      </c>
      <c r="H10" s="27" t="str">
        <f t="shared" si="0"/>
        <v>FTE-DLOIL</v>
      </c>
      <c r="I10" s="33" t="s">
        <v>52</v>
      </c>
      <c r="J10" s="67" t="str">
        <f>+C14</f>
        <v>DLOIL</v>
      </c>
      <c r="K10" s="34">
        <v>1</v>
      </c>
      <c r="L10" s="34"/>
      <c r="M10" s="38"/>
      <c r="O10" s="38"/>
      <c r="P10" s="38" t="str">
        <f t="shared" si="1"/>
        <v>FTE-DLOIL</v>
      </c>
      <c r="Q10" s="38" t="s">
        <v>139</v>
      </c>
      <c r="R10" s="38" t="s">
        <v>9</v>
      </c>
      <c r="S10" s="38" t="s">
        <v>42</v>
      </c>
    </row>
    <row r="11" spans="2:19" x14ac:dyDescent="0.25">
      <c r="B11" s="46" t="s">
        <v>10</v>
      </c>
      <c r="C11" s="46" t="str">
        <v>DLPG</v>
      </c>
      <c r="D11" s="46" t="s">
        <v>9</v>
      </c>
      <c r="E11" s="50">
        <v>25.486199999999997</v>
      </c>
      <c r="H11" s="27" t="str">
        <f t="shared" si="0"/>
        <v>FTE-DAVG</v>
      </c>
      <c r="I11" s="163" t="s">
        <v>519</v>
      </c>
      <c r="J11" s="38" t="s">
        <v>520</v>
      </c>
      <c r="K11" s="149">
        <v>1</v>
      </c>
      <c r="L11" s="34"/>
      <c r="M11" s="38"/>
      <c r="O11" s="38"/>
      <c r="P11" s="38" t="str">
        <f t="shared" si="1"/>
        <v>FTE-DAVG</v>
      </c>
      <c r="Q11" s="38" t="s">
        <v>521</v>
      </c>
      <c r="R11" s="38" t="s">
        <v>9</v>
      </c>
      <c r="S11" s="38" t="s">
        <v>42</v>
      </c>
    </row>
    <row r="12" spans="2:19" x14ac:dyDescent="0.25">
      <c r="B12" s="46" t="s">
        <v>10</v>
      </c>
      <c r="C12" s="46" t="str">
        <v>DHFO</v>
      </c>
      <c r="D12" s="46" t="s">
        <v>9</v>
      </c>
      <c r="E12" s="50">
        <v>1.1855</v>
      </c>
      <c r="H12" s="38"/>
      <c r="I12" s="38"/>
      <c r="J12" s="38"/>
      <c r="K12" s="38"/>
      <c r="L12" s="34"/>
      <c r="M12" s="38"/>
      <c r="O12" s="38"/>
      <c r="P12" s="38"/>
      <c r="Q12" s="38"/>
      <c r="R12" s="38"/>
      <c r="S12" s="38"/>
    </row>
    <row r="13" spans="2:19" x14ac:dyDescent="0.25">
      <c r="B13" s="46" t="s">
        <v>10</v>
      </c>
      <c r="C13" s="46" t="str">
        <v>DGAS</v>
      </c>
      <c r="D13" s="46" t="s">
        <v>9</v>
      </c>
      <c r="E13" s="50">
        <v>238.81580000000002</v>
      </c>
      <c r="H13" s="38"/>
      <c r="I13" s="38"/>
      <c r="J13" s="38"/>
      <c r="K13" s="38"/>
      <c r="L13" s="38"/>
      <c r="M13" s="38"/>
      <c r="O13" s="38"/>
      <c r="P13" s="38"/>
      <c r="Q13" s="38"/>
      <c r="R13" s="38"/>
      <c r="S13" s="38"/>
    </row>
    <row r="14" spans="2:19" x14ac:dyDescent="0.25">
      <c r="B14" s="46" t="s">
        <v>10</v>
      </c>
      <c r="C14" s="46" t="str">
        <v>DLOIL</v>
      </c>
      <c r="D14" s="46" t="s">
        <v>9</v>
      </c>
      <c r="E14" s="50">
        <v>7.3300000000000004E-2</v>
      </c>
      <c r="H14" s="36"/>
      <c r="I14" s="38"/>
      <c r="J14" s="38"/>
      <c r="K14" s="38"/>
      <c r="L14" s="38"/>
      <c r="M14" s="38"/>
      <c r="O14" s="28"/>
      <c r="P14" s="38"/>
      <c r="Q14" s="38"/>
      <c r="R14" s="38"/>
      <c r="S14" s="38"/>
    </row>
    <row r="15" spans="2:19" x14ac:dyDescent="0.25">
      <c r="B15" s="46"/>
      <c r="C15" s="46"/>
      <c r="D15" s="46"/>
      <c r="E15" s="47"/>
      <c r="H15" s="29" t="s">
        <v>11</v>
      </c>
      <c r="I15" s="29" t="s">
        <v>12</v>
      </c>
      <c r="J15" s="29" t="s">
        <v>13</v>
      </c>
      <c r="K15" s="30" t="s">
        <v>153</v>
      </c>
      <c r="L15" s="30" t="s">
        <v>31</v>
      </c>
      <c r="M15" s="38"/>
      <c r="O15" s="32" t="s">
        <v>32</v>
      </c>
      <c r="P15" s="32" t="s">
        <v>11</v>
      </c>
      <c r="Q15" s="32" t="s">
        <v>33</v>
      </c>
      <c r="R15" s="32" t="s">
        <v>34</v>
      </c>
      <c r="S15" s="32" t="s">
        <v>35</v>
      </c>
    </row>
    <row r="16" spans="2:19" s="18" customFormat="1" x14ac:dyDescent="0.25">
      <c r="B16" s="58"/>
      <c r="C16" s="58"/>
      <c r="D16" s="58"/>
      <c r="E16" s="59"/>
      <c r="H16" s="60" t="str">
        <f>+P16</f>
        <v>BLE-GSL-10</v>
      </c>
      <c r="I16" s="61" t="s">
        <v>45</v>
      </c>
      <c r="J16" s="61" t="s">
        <v>54</v>
      </c>
      <c r="K16" s="263">
        <v>1</v>
      </c>
      <c r="L16" s="62">
        <v>1</v>
      </c>
      <c r="M16" s="61"/>
      <c r="O16" s="43" t="s">
        <v>46</v>
      </c>
      <c r="P16" s="43" t="s">
        <v>543</v>
      </c>
      <c r="Q16" s="43" t="s">
        <v>140</v>
      </c>
      <c r="R16" s="43" t="s">
        <v>9</v>
      </c>
      <c r="S16" s="43" t="s">
        <v>42</v>
      </c>
    </row>
    <row r="17" spans="2:19" s="18" customFormat="1" x14ac:dyDescent="0.25">
      <c r="E17" s="15"/>
      <c r="H17" s="61"/>
      <c r="I17" s="61" t="s">
        <v>43</v>
      </c>
      <c r="J17" s="61"/>
      <c r="K17" s="263">
        <f>+'Bases de Cálculo'!C22</f>
        <v>5.7621225008503835E-2</v>
      </c>
      <c r="L17" s="61"/>
      <c r="M17" s="61"/>
      <c r="O17" s="43"/>
      <c r="P17" s="43" t="s">
        <v>544</v>
      </c>
      <c r="Q17" s="43" t="s">
        <v>141</v>
      </c>
      <c r="R17" s="43" t="s">
        <v>9</v>
      </c>
      <c r="S17" s="43" t="s">
        <v>42</v>
      </c>
    </row>
    <row r="18" spans="2:19" x14ac:dyDescent="0.25">
      <c r="H18" s="41" t="str">
        <f>+P17</f>
        <v>BLE-DSL-10</v>
      </c>
      <c r="I18" s="38" t="s">
        <v>47</v>
      </c>
      <c r="J18" s="38" t="s">
        <v>55</v>
      </c>
      <c r="K18" s="264">
        <v>1</v>
      </c>
      <c r="L18" s="42">
        <v>1</v>
      </c>
      <c r="M18" s="38"/>
      <c r="O18" s="38"/>
      <c r="P18" s="38"/>
      <c r="Q18" s="38"/>
      <c r="R18" s="38"/>
      <c r="S18" s="38"/>
    </row>
    <row r="19" spans="2:19" x14ac:dyDescent="0.25">
      <c r="B19" t="s">
        <v>10</v>
      </c>
      <c r="C19" t="s">
        <v>146</v>
      </c>
      <c r="D19" t="s">
        <v>9</v>
      </c>
      <c r="E19">
        <v>249.2398</v>
      </c>
      <c r="H19" s="38"/>
      <c r="I19" s="38" t="str">
        <f>+COMM!F9</f>
        <v>BDSL</v>
      </c>
      <c r="J19" s="38"/>
      <c r="K19" s="264">
        <f>+'Bases de Cálculo'!D22</f>
        <v>9.3659149944684009E-2</v>
      </c>
      <c r="L19" s="38"/>
      <c r="M19" s="38"/>
      <c r="O19" s="38"/>
      <c r="P19" s="38"/>
      <c r="Q19" s="38"/>
      <c r="R19" s="38"/>
      <c r="S19" s="38"/>
    </row>
    <row r="20" spans="2:19" x14ac:dyDescent="0.25">
      <c r="B20" t="s">
        <v>10</v>
      </c>
      <c r="C20" t="s">
        <v>147</v>
      </c>
      <c r="D20" t="s">
        <v>9</v>
      </c>
      <c r="E20">
        <v>269.4325</v>
      </c>
      <c r="H20" s="38"/>
      <c r="I20" s="38"/>
      <c r="J20" s="38"/>
      <c r="K20" s="38"/>
      <c r="L20" s="38"/>
      <c r="M20" s="38"/>
      <c r="O20" s="38"/>
      <c r="P20" s="38"/>
      <c r="Q20" s="38"/>
      <c r="R20" s="38"/>
      <c r="S20" s="38"/>
    </row>
    <row r="21" spans="2:19" x14ac:dyDescent="0.25">
      <c r="B21" t="s">
        <v>10</v>
      </c>
      <c r="C21" t="s">
        <v>148</v>
      </c>
      <c r="D21" t="s">
        <v>9</v>
      </c>
      <c r="E21">
        <v>59.134499999999996</v>
      </c>
      <c r="H21" s="38"/>
      <c r="I21" s="38"/>
      <c r="J21" s="38"/>
      <c r="K21" s="38"/>
      <c r="L21" s="38"/>
      <c r="M21" s="38"/>
      <c r="O21" s="38"/>
      <c r="P21" s="38"/>
      <c r="Q21" s="38"/>
      <c r="R21" s="38"/>
      <c r="S21" s="38"/>
    </row>
    <row r="22" spans="2:19" x14ac:dyDescent="0.25">
      <c r="B22" t="s">
        <v>10</v>
      </c>
      <c r="C22" t="s">
        <v>149</v>
      </c>
      <c r="D22" t="s">
        <v>9</v>
      </c>
      <c r="E22">
        <v>25.486199999999997</v>
      </c>
      <c r="H22" s="36" t="s">
        <v>0</v>
      </c>
      <c r="I22" s="27"/>
      <c r="J22" s="27"/>
      <c r="K22" s="37"/>
      <c r="L22" s="38"/>
      <c r="M22" s="38"/>
      <c r="O22" s="28" t="s">
        <v>30</v>
      </c>
      <c r="P22" s="38"/>
      <c r="Q22" s="38"/>
      <c r="R22" s="38"/>
      <c r="S22" s="38"/>
    </row>
    <row r="23" spans="2:19" x14ac:dyDescent="0.25">
      <c r="B23" t="s">
        <v>10</v>
      </c>
      <c r="C23" t="s">
        <v>150</v>
      </c>
      <c r="D23" t="s">
        <v>9</v>
      </c>
      <c r="E23">
        <v>1.1855</v>
      </c>
      <c r="H23" s="29" t="s">
        <v>11</v>
      </c>
      <c r="I23" s="29" t="s">
        <v>12</v>
      </c>
      <c r="J23" s="29" t="s">
        <v>13</v>
      </c>
      <c r="K23" s="30" t="s">
        <v>31</v>
      </c>
      <c r="L23" s="38"/>
      <c r="M23" s="38"/>
      <c r="O23" s="32" t="s">
        <v>32</v>
      </c>
      <c r="P23" s="32" t="s">
        <v>11</v>
      </c>
      <c r="Q23" s="32" t="s">
        <v>33</v>
      </c>
      <c r="R23" s="32" t="s">
        <v>34</v>
      </c>
      <c r="S23" s="32" t="s">
        <v>35</v>
      </c>
    </row>
    <row r="24" spans="2:19" x14ac:dyDescent="0.25">
      <c r="B24" t="s">
        <v>10</v>
      </c>
      <c r="C24" t="s">
        <v>151</v>
      </c>
      <c r="D24" t="s">
        <v>9</v>
      </c>
      <c r="E24">
        <v>238.81580000000002</v>
      </c>
      <c r="H24" s="38" t="s">
        <v>142</v>
      </c>
      <c r="I24" s="38" t="s">
        <v>45</v>
      </c>
      <c r="J24" s="38" t="str">
        <f>+C8</f>
        <v>DGSL</v>
      </c>
      <c r="K24" s="163">
        <v>1</v>
      </c>
      <c r="L24" s="38"/>
      <c r="M24" s="38"/>
      <c r="O24" s="35" t="s">
        <v>46</v>
      </c>
      <c r="P24" s="38" t="str">
        <f>+H24</f>
        <v>FTE-DGSL</v>
      </c>
      <c r="Q24" s="38" t="s">
        <v>144</v>
      </c>
      <c r="R24" s="38" t="s">
        <v>9</v>
      </c>
      <c r="S24" s="38" t="s">
        <v>42</v>
      </c>
    </row>
    <row r="25" spans="2:19" x14ac:dyDescent="0.25">
      <c r="B25" t="s">
        <v>10</v>
      </c>
      <c r="C25" t="s">
        <v>152</v>
      </c>
      <c r="D25" t="s">
        <v>9</v>
      </c>
      <c r="E25">
        <v>7.3300000000000004E-2</v>
      </c>
      <c r="H25" s="38" t="s">
        <v>143</v>
      </c>
      <c r="I25" s="38" t="s">
        <v>47</v>
      </c>
      <c r="J25" s="38" t="str">
        <f>+C9</f>
        <v>DDSL</v>
      </c>
      <c r="K25" s="163">
        <v>1</v>
      </c>
      <c r="L25" s="38"/>
      <c r="M25" s="38"/>
      <c r="O25" s="38"/>
      <c r="P25" s="38" t="str">
        <f>+H25</f>
        <v>FTE-DDSL</v>
      </c>
      <c r="Q25" s="38" t="s">
        <v>145</v>
      </c>
      <c r="R25" s="38" t="s">
        <v>9</v>
      </c>
      <c r="S25" s="38" t="s">
        <v>42</v>
      </c>
    </row>
    <row r="26" spans="2:19" x14ac:dyDescent="0.25">
      <c r="H26" s="38" t="s">
        <v>545</v>
      </c>
      <c r="I26" s="38" t="s">
        <v>43</v>
      </c>
      <c r="J26" s="38" t="s">
        <v>549</v>
      </c>
      <c r="K26" s="163">
        <v>1</v>
      </c>
      <c r="L26" s="38"/>
      <c r="M26" s="38"/>
      <c r="O26" s="38"/>
      <c r="P26" s="38" t="str">
        <f>+H26</f>
        <v>FTE-ETH</v>
      </c>
      <c r="Q26" s="38" t="s">
        <v>547</v>
      </c>
      <c r="R26" s="38" t="s">
        <v>9</v>
      </c>
      <c r="S26" s="38" t="s">
        <v>42</v>
      </c>
    </row>
    <row r="27" spans="2:19" x14ac:dyDescent="0.25">
      <c r="H27" s="38" t="s">
        <v>546</v>
      </c>
      <c r="I27" s="38" t="s">
        <v>44</v>
      </c>
      <c r="J27" s="38" t="s">
        <v>550</v>
      </c>
      <c r="K27" s="163">
        <v>1</v>
      </c>
      <c r="P27" s="38" t="str">
        <f>+H27</f>
        <v>FTE-BDSL</v>
      </c>
      <c r="Q27" s="38" t="s">
        <v>548</v>
      </c>
      <c r="R27" s="38" t="s">
        <v>9</v>
      </c>
      <c r="S27" s="38" t="s">
        <v>42</v>
      </c>
    </row>
    <row r="56" spans="8:12" x14ac:dyDescent="0.25">
      <c r="H56" s="28" t="s">
        <v>30</v>
      </c>
      <c r="I56" s="38"/>
      <c r="J56" s="38"/>
      <c r="K56" s="38"/>
      <c r="L56" s="38"/>
    </row>
    <row r="57" spans="8:12" x14ac:dyDescent="0.25">
      <c r="H57" s="32" t="s">
        <v>32</v>
      </c>
      <c r="I57" s="32" t="s">
        <v>11</v>
      </c>
      <c r="J57" s="32" t="s">
        <v>33</v>
      </c>
      <c r="K57" s="32" t="s">
        <v>34</v>
      </c>
      <c r="L57" s="32" t="s">
        <v>35</v>
      </c>
    </row>
    <row r="58" spans="8:12" x14ac:dyDescent="0.25">
      <c r="H58" t="s">
        <v>41</v>
      </c>
      <c r="I58" t="str">
        <f>+H67</f>
        <v>FTD-AGR</v>
      </c>
      <c r="J58" t="s">
        <v>179</v>
      </c>
      <c r="K58" t="s">
        <v>9</v>
      </c>
      <c r="L58" t="s">
        <v>184</v>
      </c>
    </row>
    <row r="59" spans="8:12" x14ac:dyDescent="0.25">
      <c r="I59" t="str">
        <f>+H72</f>
        <v>FTD-TER</v>
      </c>
      <c r="J59" t="s">
        <v>180</v>
      </c>
      <c r="K59" t="s">
        <v>9</v>
      </c>
      <c r="L59" t="s">
        <v>184</v>
      </c>
    </row>
    <row r="60" spans="8:12" x14ac:dyDescent="0.25">
      <c r="I60" t="str">
        <f>+H74</f>
        <v>FTD-RSD</v>
      </c>
      <c r="J60" t="s">
        <v>181</v>
      </c>
      <c r="K60" t="s">
        <v>9</v>
      </c>
      <c r="L60" t="s">
        <v>184</v>
      </c>
    </row>
    <row r="61" spans="8:12" x14ac:dyDescent="0.25">
      <c r="I61" t="str">
        <f>+H76</f>
        <v>FTD-IND</v>
      </c>
      <c r="J61" t="s">
        <v>182</v>
      </c>
      <c r="K61" t="s">
        <v>9</v>
      </c>
      <c r="L61" t="s">
        <v>184</v>
      </c>
    </row>
    <row r="62" spans="8:12" x14ac:dyDescent="0.25">
      <c r="I62" t="str">
        <f>+H86</f>
        <v>FTD-TRA</v>
      </c>
      <c r="J62" t="s">
        <v>183</v>
      </c>
      <c r="K62" t="s">
        <v>9</v>
      </c>
      <c r="L62" t="s">
        <v>184</v>
      </c>
    </row>
    <row r="65" spans="2:20" x14ac:dyDescent="0.25">
      <c r="H65" s="36" t="s">
        <v>0</v>
      </c>
    </row>
    <row r="66" spans="2:20" x14ac:dyDescent="0.25">
      <c r="H66" s="29" t="s">
        <v>11</v>
      </c>
      <c r="I66" s="29" t="s">
        <v>12</v>
      </c>
      <c r="J66" s="29" t="s">
        <v>13</v>
      </c>
      <c r="K66" s="52" t="s">
        <v>14</v>
      </c>
      <c r="L66" s="30" t="s">
        <v>31</v>
      </c>
      <c r="M66" s="29" t="s">
        <v>169</v>
      </c>
      <c r="N66" s="29" t="s">
        <v>185</v>
      </c>
      <c r="O66" s="29" t="s">
        <v>186</v>
      </c>
      <c r="P66" s="29" t="s">
        <v>187</v>
      </c>
      <c r="Q66" s="29" t="s">
        <v>188</v>
      </c>
      <c r="R66" s="29" t="s">
        <v>189</v>
      </c>
      <c r="S66" s="29" t="s">
        <v>190</v>
      </c>
      <c r="T66" s="29" t="s">
        <v>191</v>
      </c>
    </row>
    <row r="67" spans="2:20" x14ac:dyDescent="0.25">
      <c r="H67" t="s">
        <v>168</v>
      </c>
      <c r="I67" s="266" t="s">
        <v>147</v>
      </c>
      <c r="J67" s="269" t="s">
        <v>167</v>
      </c>
      <c r="K67" s="270" t="s">
        <v>553</v>
      </c>
      <c r="L67" s="267">
        <v>1</v>
      </c>
      <c r="M67" s="268">
        <v>0.70492284759636947</v>
      </c>
      <c r="N67" s="268">
        <v>0.71393822850931155</v>
      </c>
      <c r="O67" s="268">
        <v>0.71446486124964681</v>
      </c>
      <c r="P67" s="268">
        <v>0.71752787053189593</v>
      </c>
      <c r="Q67" s="268">
        <v>0.71924314150809932</v>
      </c>
      <c r="R67" s="268">
        <v>0.71947452206965223</v>
      </c>
      <c r="S67" s="268">
        <v>0.71849531385010945</v>
      </c>
      <c r="T67" s="268">
        <v>0.71650902714452402</v>
      </c>
    </row>
    <row r="68" spans="2:20" x14ac:dyDescent="0.25">
      <c r="I68" s="266" t="s">
        <v>550</v>
      </c>
      <c r="J68" s="269"/>
      <c r="K68" s="270" t="s">
        <v>553</v>
      </c>
      <c r="L68" s="267">
        <v>1</v>
      </c>
      <c r="M68" s="268">
        <f>+M67*$D$74</f>
        <v>6.6022474682462001E-2</v>
      </c>
      <c r="N68" s="268">
        <f t="shared" ref="N68:T68" si="2">+N67*$D$74</f>
        <v>6.6866847595195691E-2</v>
      </c>
      <c r="O68" s="268">
        <f t="shared" si="2"/>
        <v>6.6916171569988525E-2</v>
      </c>
      <c r="P68" s="268">
        <f t="shared" si="2"/>
        <v>6.720305041563665E-2</v>
      </c>
      <c r="Q68" s="268">
        <f t="shared" si="2"/>
        <v>6.7363701237192652E-2</v>
      </c>
      <c r="R68" s="268">
        <f t="shared" si="2"/>
        <v>6.7385372143901417E-2</v>
      </c>
      <c r="S68" s="268">
        <f t="shared" si="2"/>
        <v>6.7293660334440203E-2</v>
      </c>
      <c r="T68" s="268">
        <f t="shared" si="2"/>
        <v>6.7107626410048637E-2</v>
      </c>
    </row>
    <row r="69" spans="2:20" x14ac:dyDescent="0.25">
      <c r="I69" s="266" t="s">
        <v>146</v>
      </c>
      <c r="J69" s="269"/>
      <c r="K69" s="270" t="s">
        <v>553</v>
      </c>
      <c r="L69" s="267">
        <v>1</v>
      </c>
      <c r="M69" s="268">
        <v>6.6920156894449958E-3</v>
      </c>
      <c r="N69" s="268">
        <v>7.1142331301549495E-3</v>
      </c>
      <c r="O69" s="268">
        <v>6.884185400222554E-3</v>
      </c>
      <c r="P69" s="268">
        <v>6.7217875799148548E-3</v>
      </c>
      <c r="Q69" s="268">
        <v>6.6017020910173795E-3</v>
      </c>
      <c r="R69" s="268">
        <v>6.5185070900598899E-3</v>
      </c>
      <c r="S69" s="268">
        <v>6.4624611243749045E-3</v>
      </c>
      <c r="T69" s="268">
        <v>6.4287265996042856E-3</v>
      </c>
    </row>
    <row r="70" spans="2:20" x14ac:dyDescent="0.25">
      <c r="I70" s="266" t="s">
        <v>549</v>
      </c>
      <c r="J70" s="269"/>
      <c r="K70" s="270" t="s">
        <v>553</v>
      </c>
      <c r="L70" s="267">
        <v>1</v>
      </c>
      <c r="M70" s="268">
        <f>+M69*$D$73</f>
        <v>3.8560214180194803E-4</v>
      </c>
      <c r="N70" s="268">
        <f t="shared" ref="N70:T70" si="3">+N69*$D$73</f>
        <v>4.0993082795561089E-4</v>
      </c>
      <c r="O70" s="268">
        <f t="shared" si="3"/>
        <v>3.9667519594648081E-4</v>
      </c>
      <c r="P70" s="268">
        <f t="shared" si="3"/>
        <v>3.8731763460164031E-4</v>
      </c>
      <c r="Q70" s="268">
        <f t="shared" si="3"/>
        <v>3.8039816162562266E-4</v>
      </c>
      <c r="R70" s="268">
        <f t="shared" si="3"/>
        <v>3.756043637558685E-4</v>
      </c>
      <c r="S70" s="268">
        <f t="shared" si="3"/>
        <v>3.7237492655631504E-4</v>
      </c>
      <c r="T70" s="268">
        <f t="shared" si="3"/>
        <v>3.7043110191395227E-4</v>
      </c>
    </row>
    <row r="71" spans="2:20" x14ac:dyDescent="0.25">
      <c r="I71" t="s">
        <v>151</v>
      </c>
      <c r="J71" s="20"/>
      <c r="K71" s="19" t="s">
        <v>175</v>
      </c>
      <c r="L71" s="22">
        <v>1</v>
      </c>
      <c r="M71" s="63">
        <v>0.28838513671418559</v>
      </c>
      <c r="N71" s="63">
        <v>0.27894753836053338</v>
      </c>
      <c r="O71" s="63">
        <v>0.27865095335013057</v>
      </c>
      <c r="P71" s="63">
        <v>0.27575034188818925</v>
      </c>
      <c r="Q71" s="63">
        <v>0.27415515640088323</v>
      </c>
      <c r="R71" s="63">
        <v>0.2740069708402878</v>
      </c>
      <c r="S71" s="63">
        <v>0.27504222502551567</v>
      </c>
      <c r="T71" s="63">
        <v>0.27706224625587167</v>
      </c>
    </row>
    <row r="72" spans="2:20" x14ac:dyDescent="0.25">
      <c r="H72" t="s">
        <v>170</v>
      </c>
      <c r="I72" t="s">
        <v>151</v>
      </c>
      <c r="J72" s="20" t="s">
        <v>176</v>
      </c>
      <c r="K72" s="19" t="s">
        <v>175</v>
      </c>
      <c r="L72" s="22">
        <v>1</v>
      </c>
      <c r="M72" s="63">
        <v>0.94914717262718429</v>
      </c>
      <c r="N72" s="63">
        <v>0.94909397992018851</v>
      </c>
      <c r="O72" s="63">
        <v>0.94381625559454663</v>
      </c>
      <c r="P72" s="63">
        <v>0.94089342504252638</v>
      </c>
      <c r="Q72" s="63">
        <v>0.93845062398555323</v>
      </c>
      <c r="R72" s="63">
        <v>0.93558574737128919</v>
      </c>
      <c r="S72" s="63">
        <v>0.93394802666463828</v>
      </c>
      <c r="T72" s="63">
        <v>0.933269906252853</v>
      </c>
    </row>
    <row r="73" spans="2:20" x14ac:dyDescent="0.25">
      <c r="B73" t="s">
        <v>552</v>
      </c>
      <c r="D73" s="265">
        <f>+'Bases de Cálculo'!C22</f>
        <v>5.7621225008503835E-2</v>
      </c>
      <c r="I73" t="s">
        <v>149</v>
      </c>
      <c r="J73" s="20"/>
      <c r="K73" s="19" t="s">
        <v>175</v>
      </c>
      <c r="L73" s="22">
        <v>1</v>
      </c>
      <c r="M73" s="63">
        <v>5.0852827372815664E-2</v>
      </c>
      <c r="N73" s="63">
        <v>5.0906020079811459E-2</v>
      </c>
      <c r="O73" s="63">
        <v>5.6183744405453408E-2</v>
      </c>
      <c r="P73" s="63">
        <v>5.9106574957473554E-2</v>
      </c>
      <c r="Q73" s="63">
        <v>6.1549376014446808E-2</v>
      </c>
      <c r="R73" s="63">
        <v>6.4414252628710852E-2</v>
      </c>
      <c r="S73" s="63">
        <v>6.6051973335361724E-2</v>
      </c>
      <c r="T73" s="63">
        <v>6.6730093747146987E-2</v>
      </c>
    </row>
    <row r="74" spans="2:20" x14ac:dyDescent="0.25">
      <c r="B74" t="s">
        <v>551</v>
      </c>
      <c r="D74" s="265">
        <f>+'Bases de Cálculo'!D22</f>
        <v>9.3659149944684009E-2</v>
      </c>
      <c r="H74" t="s">
        <v>171</v>
      </c>
      <c r="I74" t="s">
        <v>151</v>
      </c>
      <c r="J74" s="20" t="s">
        <v>177</v>
      </c>
      <c r="K74" s="19" t="s">
        <v>175</v>
      </c>
      <c r="L74" s="22">
        <v>1</v>
      </c>
      <c r="M74" s="63">
        <v>0.73862618670258562</v>
      </c>
      <c r="N74" s="63">
        <v>0.74554154285971541</v>
      </c>
      <c r="O74" s="63">
        <v>0.75129509265895111</v>
      </c>
      <c r="P74" s="63">
        <v>0.75734173890202261</v>
      </c>
      <c r="Q74" s="63">
        <v>0.76288003210832334</v>
      </c>
      <c r="R74" s="63">
        <v>0.76798679968770389</v>
      </c>
      <c r="S74" s="63">
        <v>0.77271043225491287</v>
      </c>
      <c r="T74" s="63">
        <v>0.7770943916548716</v>
      </c>
    </row>
    <row r="75" spans="2:20" x14ac:dyDescent="0.25">
      <c r="I75" t="s">
        <v>149</v>
      </c>
      <c r="J75" s="20"/>
      <c r="K75" s="19" t="s">
        <v>175</v>
      </c>
      <c r="L75" s="22">
        <v>1</v>
      </c>
      <c r="M75" s="63">
        <v>0.26137381329741433</v>
      </c>
      <c r="N75" s="63">
        <v>0.25445845714028453</v>
      </c>
      <c r="O75" s="63">
        <v>0.24870490734104891</v>
      </c>
      <c r="P75" s="63">
        <v>0.24265826109797739</v>
      </c>
      <c r="Q75" s="63">
        <v>0.23711996789167664</v>
      </c>
      <c r="R75" s="63">
        <v>0.23201320031229605</v>
      </c>
      <c r="S75" s="63">
        <v>0.22728956774508716</v>
      </c>
      <c r="T75" s="63">
        <v>0.22290560834512835</v>
      </c>
    </row>
    <row r="76" spans="2:20" x14ac:dyDescent="0.25">
      <c r="H76" t="s">
        <v>172</v>
      </c>
      <c r="I76" s="266" t="s">
        <v>147</v>
      </c>
      <c r="J76" s="269" t="s">
        <v>178</v>
      </c>
      <c r="K76" s="270" t="s">
        <v>553</v>
      </c>
      <c r="L76" s="267">
        <v>1</v>
      </c>
      <c r="M76" s="268">
        <v>2.3815208477444158E-2</v>
      </c>
      <c r="N76" s="268">
        <v>2.2130945027794936E-2</v>
      </c>
      <c r="O76" s="268">
        <v>2.2932665713608379E-2</v>
      </c>
      <c r="P76" s="268">
        <v>2.2896265372607132E-2</v>
      </c>
      <c r="Q76" s="268">
        <v>2.2391833159756083E-2</v>
      </c>
      <c r="R76" s="268">
        <v>2.177574009314618E-2</v>
      </c>
      <c r="S76" s="268">
        <v>2.1387985767026867E-2</v>
      </c>
      <c r="T76" s="268">
        <v>2.1105475060029102E-2</v>
      </c>
    </row>
    <row r="77" spans="2:20" x14ac:dyDescent="0.25">
      <c r="I77" s="266" t="s">
        <v>550</v>
      </c>
      <c r="J77" s="269"/>
      <c r="K77" s="270" t="s">
        <v>553</v>
      </c>
      <c r="L77" s="267">
        <v>1</v>
      </c>
      <c r="M77" s="268">
        <f>+M76*$D$74</f>
        <v>2.230512181752852E-3</v>
      </c>
      <c r="N77" s="268">
        <f t="shared" ref="N77:T77" si="4">+N76*$D$74</f>
        <v>2.0727654987758048E-3</v>
      </c>
      <c r="O77" s="268">
        <f t="shared" si="4"/>
        <v>2.1478539767021609E-3</v>
      </c>
      <c r="P77" s="268">
        <f t="shared" si="4"/>
        <v>2.1444447517062876E-3</v>
      </c>
      <c r="Q77" s="268">
        <f t="shared" si="4"/>
        <v>2.0972000594459425E-3</v>
      </c>
      <c r="R77" s="268">
        <f t="shared" si="4"/>
        <v>2.0394973065404453E-3</v>
      </c>
      <c r="S77" s="268">
        <f>+S76*$D$74</f>
        <v>2.003180565968737E-3</v>
      </c>
      <c r="T77" s="268">
        <f t="shared" si="4"/>
        <v>1.9767208533010543E-3</v>
      </c>
    </row>
    <row r="78" spans="2:20" x14ac:dyDescent="0.25">
      <c r="I78" s="266" t="s">
        <v>146</v>
      </c>
      <c r="J78" s="269"/>
      <c r="K78" s="270" t="s">
        <v>553</v>
      </c>
      <c r="L78" s="267">
        <v>1</v>
      </c>
      <c r="M78" s="268">
        <v>2.0733084888629265E-3</v>
      </c>
      <c r="N78" s="268">
        <v>1.605929586164299E-3</v>
      </c>
      <c r="O78" s="268">
        <v>1.6549809268611576E-3</v>
      </c>
      <c r="P78" s="268">
        <v>1.6409824262324721E-3</v>
      </c>
      <c r="Q78" s="268">
        <v>1.58464374956299E-3</v>
      </c>
      <c r="R78" s="268">
        <v>1.5202058455406398E-3</v>
      </c>
      <c r="S78" s="268">
        <v>1.4820495625786701E-3</v>
      </c>
      <c r="T78" s="268">
        <v>1.4573539790034261E-3</v>
      </c>
    </row>
    <row r="79" spans="2:20" x14ac:dyDescent="0.25">
      <c r="I79" s="266" t="s">
        <v>549</v>
      </c>
      <c r="J79" s="269"/>
      <c r="K79" s="270" t="s">
        <v>553</v>
      </c>
      <c r="L79" s="267">
        <v>1</v>
      </c>
      <c r="M79" s="268">
        <f>+M78*$D$73</f>
        <v>1.1946657494881176E-4</v>
      </c>
      <c r="N79" s="268">
        <f t="shared" ref="N79:T79" si="5">+N78*$D$73</f>
        <v>9.2535630032186518E-5</v>
      </c>
      <c r="O79" s="268">
        <f t="shared" si="5"/>
        <v>9.5362028371448988E-5</v>
      </c>
      <c r="P79" s="268">
        <f t="shared" si="5"/>
        <v>9.455541761694182E-5</v>
      </c>
      <c r="Q79" s="268">
        <f t="shared" si="5"/>
        <v>9.1309114051888244E-5</v>
      </c>
      <c r="R79" s="268">
        <f t="shared" si="5"/>
        <v>8.7596123085140028E-5</v>
      </c>
      <c r="S79" s="268">
        <f t="shared" si="5"/>
        <v>8.5397511319100229E-5</v>
      </c>
      <c r="T79" s="268">
        <f t="shared" si="5"/>
        <v>8.3974521541194786E-5</v>
      </c>
    </row>
    <row r="80" spans="2:20" x14ac:dyDescent="0.25">
      <c r="I80" t="s">
        <v>151</v>
      </c>
      <c r="J80" s="20"/>
      <c r="K80" s="19" t="s">
        <v>175</v>
      </c>
      <c r="L80" s="22">
        <v>1</v>
      </c>
      <c r="M80" s="63">
        <v>0.92987932910492899</v>
      </c>
      <c r="N80" s="63">
        <v>0.93058884084826032</v>
      </c>
      <c r="O80" s="63">
        <v>0.93376663960747408</v>
      </c>
      <c r="P80" s="63">
        <v>0.93688069662246576</v>
      </c>
      <c r="Q80" s="63">
        <v>0.94004040731158889</v>
      </c>
      <c r="R80" s="63">
        <v>0.94314873307226621</v>
      </c>
      <c r="S80" s="63">
        <v>0.94608397598622218</v>
      </c>
      <c r="T80" s="63">
        <v>0.94882285301864444</v>
      </c>
    </row>
    <row r="81" spans="8:20" x14ac:dyDescent="0.25">
      <c r="I81" t="s">
        <v>148</v>
      </c>
      <c r="J81" s="20"/>
      <c r="K81" s="19" t="s">
        <v>175</v>
      </c>
      <c r="L81" s="22">
        <v>1</v>
      </c>
      <c r="M81" s="63">
        <v>3.7747992514573081E-5</v>
      </c>
      <c r="N81" s="63">
        <v>3.9118797611694459E-5</v>
      </c>
      <c r="O81" s="63">
        <v>3.9511210407971213E-5</v>
      </c>
      <c r="P81" s="63">
        <v>3.7937124462826458E-5</v>
      </c>
      <c r="Q81" s="63">
        <v>3.6800830226729914E-5</v>
      </c>
      <c r="R81" s="63">
        <v>3.4916388678495262E-5</v>
      </c>
      <c r="S81" s="63">
        <v>3.3710306866127345E-5</v>
      </c>
      <c r="T81" s="63">
        <v>3.2563587076633333E-5</v>
      </c>
    </row>
    <row r="82" spans="8:20" x14ac:dyDescent="0.25">
      <c r="I82" t="s">
        <v>149</v>
      </c>
      <c r="J82" s="20"/>
      <c r="K82" s="19" t="s">
        <v>175</v>
      </c>
      <c r="L82" s="22">
        <v>1</v>
      </c>
      <c r="M82" s="63">
        <v>3.934284519831379E-2</v>
      </c>
      <c r="N82" s="63">
        <v>4.1462837142268893E-2</v>
      </c>
      <c r="O82" s="63">
        <v>3.7275235091701928E-2</v>
      </c>
      <c r="P82" s="63">
        <v>3.4209600191138528E-2</v>
      </c>
      <c r="Q82" s="63">
        <v>3.1685514825214457E-2</v>
      </c>
      <c r="R82" s="63">
        <v>2.9354610843418796E-2</v>
      </c>
      <c r="S82" s="63">
        <v>2.6908650486120688E-2</v>
      </c>
      <c r="T82" s="63">
        <v>2.4527320849557291E-2</v>
      </c>
    </row>
    <row r="83" spans="8:20" x14ac:dyDescent="0.25">
      <c r="I83" t="s">
        <v>150</v>
      </c>
      <c r="J83" s="20"/>
      <c r="K83" s="19" t="s">
        <v>175</v>
      </c>
      <c r="L83" s="22">
        <v>1</v>
      </c>
      <c r="M83" s="63">
        <v>4.1598287751059542E-3</v>
      </c>
      <c r="N83" s="63">
        <v>3.4764257772287419E-3</v>
      </c>
      <c r="O83" s="63">
        <v>3.6098878600010062E-3</v>
      </c>
      <c r="P83" s="63">
        <v>3.6177487626040034E-3</v>
      </c>
      <c r="Q83" s="63">
        <v>3.5682084987837324E-3</v>
      </c>
      <c r="R83" s="63">
        <v>3.5017109030452461E-3</v>
      </c>
      <c r="S83" s="63">
        <v>3.4559084235435194E-3</v>
      </c>
      <c r="T83" s="63">
        <v>3.4159736672684702E-3</v>
      </c>
    </row>
    <row r="84" spans="8:20" x14ac:dyDescent="0.25">
      <c r="I84" t="s">
        <v>152</v>
      </c>
      <c r="J84" s="20"/>
      <c r="K84" s="19" t="s">
        <v>175</v>
      </c>
      <c r="L84" s="22">
        <v>1</v>
      </c>
      <c r="M84" s="63">
        <v>6.9173196282955177E-4</v>
      </c>
      <c r="N84" s="63">
        <v>6.9590282067119613E-4</v>
      </c>
      <c r="O84" s="63">
        <v>7.2107958994547454E-4</v>
      </c>
      <c r="P84" s="63">
        <v>7.1676950048914668E-4</v>
      </c>
      <c r="Q84" s="63">
        <v>6.9259162486705697E-4</v>
      </c>
      <c r="R84" s="63">
        <v>6.6408285390445808E-4</v>
      </c>
      <c r="S84" s="63">
        <v>6.4771946764201826E-4</v>
      </c>
      <c r="T84" s="63">
        <v>6.3845983842054856E-4</v>
      </c>
    </row>
    <row r="85" spans="8:20" x14ac:dyDescent="0.25">
      <c r="I85" t="s">
        <v>173</v>
      </c>
      <c r="J85" s="20"/>
      <c r="K85" s="19" t="s">
        <v>175</v>
      </c>
      <c r="L85" s="22">
        <v>1</v>
      </c>
      <c r="M85" s="63">
        <v>0</v>
      </c>
      <c r="N85" s="63">
        <v>0</v>
      </c>
      <c r="O85" s="63">
        <v>0</v>
      </c>
      <c r="P85" s="63">
        <v>0</v>
      </c>
      <c r="Q85" s="63">
        <v>0</v>
      </c>
      <c r="R85" s="63">
        <v>0</v>
      </c>
      <c r="S85" s="63">
        <v>0</v>
      </c>
      <c r="T85" s="63">
        <v>0</v>
      </c>
    </row>
    <row r="86" spans="8:20" x14ac:dyDescent="0.25">
      <c r="H86" t="s">
        <v>165</v>
      </c>
      <c r="I86" s="266" t="s">
        <v>147</v>
      </c>
      <c r="J86" s="269" t="s">
        <v>166</v>
      </c>
      <c r="K86" s="270" t="s">
        <v>553</v>
      </c>
      <c r="L86" s="267">
        <v>1</v>
      </c>
      <c r="M86" s="268">
        <v>0.42556332971371874</v>
      </c>
      <c r="N86" s="268">
        <v>0.42885227003017673</v>
      </c>
      <c r="O86" s="268">
        <v>0.4301288355256343</v>
      </c>
      <c r="P86" s="268">
        <v>0.42782773669978968</v>
      </c>
      <c r="Q86" s="268">
        <v>0.41668817229295235</v>
      </c>
      <c r="R86" s="268">
        <v>0.39409044952974615</v>
      </c>
      <c r="S86" s="268">
        <v>0.36101605214575999</v>
      </c>
      <c r="T86" s="268">
        <v>0.32619321607544083</v>
      </c>
    </row>
    <row r="87" spans="8:20" x14ac:dyDescent="0.25">
      <c r="I87" s="266" t="s">
        <v>550</v>
      </c>
      <c r="J87" s="269"/>
      <c r="K87" s="270" t="s">
        <v>553</v>
      </c>
      <c r="L87" s="267">
        <v>1</v>
      </c>
      <c r="M87" s="268">
        <f>+M86*$D$74</f>
        <v>3.9857899708616182E-2</v>
      </c>
      <c r="N87" s="268">
        <f t="shared" ref="N87:T87" si="6">+N86*$D$74</f>
        <v>4.0165939062874439E-2</v>
      </c>
      <c r="O87" s="268">
        <f t="shared" si="6"/>
        <v>4.0285501102027707E-2</v>
      </c>
      <c r="P87" s="268">
        <f t="shared" si="6"/>
        <v>4.0069982142060388E-2</v>
      </c>
      <c r="Q87" s="268">
        <f t="shared" si="6"/>
        <v>3.9026660008961947E-2</v>
      </c>
      <c r="R87" s="268">
        <f t="shared" si="6"/>
        <v>3.6910176504274417E-2</v>
      </c>
      <c r="S87" s="268">
        <f t="shared" si="6"/>
        <v>3.3812456560357598E-2</v>
      </c>
      <c r="T87" s="268">
        <f t="shared" si="6"/>
        <v>3.0550979335348422E-2</v>
      </c>
    </row>
    <row r="88" spans="8:20" x14ac:dyDescent="0.25">
      <c r="I88" s="266" t="s">
        <v>146</v>
      </c>
      <c r="J88" s="269"/>
      <c r="K88" s="270" t="s">
        <v>553</v>
      </c>
      <c r="L88" s="267">
        <v>1</v>
      </c>
      <c r="M88" s="268">
        <v>0.43290649023408723</v>
      </c>
      <c r="N88" s="268">
        <v>0.43334520055606424</v>
      </c>
      <c r="O88" s="268">
        <v>0.42676689042599353</v>
      </c>
      <c r="P88" s="268">
        <v>0.41280956616074077</v>
      </c>
      <c r="Q88" s="268">
        <v>0.39470185013541281</v>
      </c>
      <c r="R88" s="268">
        <v>0.37375110178859372</v>
      </c>
      <c r="S88" s="268">
        <v>0.35412901955996318</v>
      </c>
      <c r="T88" s="268">
        <v>0.33610432900293752</v>
      </c>
    </row>
    <row r="89" spans="8:20" x14ac:dyDescent="0.25">
      <c r="I89" s="266" t="s">
        <v>549</v>
      </c>
      <c r="J89" s="269"/>
      <c r="K89" s="270" t="s">
        <v>553</v>
      </c>
      <c r="L89" s="267">
        <v>1</v>
      </c>
      <c r="M89" s="268">
        <f>+M88*$D$73</f>
        <v>2.4944602281420009E-2</v>
      </c>
      <c r="N89" s="268">
        <f t="shared" ref="N89:T89" si="7">+N88*$D$73</f>
        <v>2.4969881307596198E-2</v>
      </c>
      <c r="O89" s="268">
        <f t="shared" si="7"/>
        <v>2.4590831019415674E-2</v>
      </c>
      <c r="P89" s="268">
        <f t="shared" si="7"/>
        <v>2.3786592897410894E-2</v>
      </c>
      <c r="Q89" s="268">
        <f t="shared" si="7"/>
        <v>2.2743204117925381E-2</v>
      </c>
      <c r="R89" s="268">
        <f t="shared" si="7"/>
        <v>2.153599633333678E-2</v>
      </c>
      <c r="S89" s="268">
        <f t="shared" si="7"/>
        <v>2.0405347918105495E-2</v>
      </c>
      <c r="T89" s="268">
        <f t="shared" si="7"/>
        <v>1.9366743167810466E-2</v>
      </c>
    </row>
    <row r="90" spans="8:20" x14ac:dyDescent="0.25">
      <c r="I90" t="s">
        <v>151</v>
      </c>
      <c r="J90" s="20"/>
      <c r="K90" s="19" t="s">
        <v>175</v>
      </c>
      <c r="L90" s="22">
        <v>1</v>
      </c>
      <c r="M90" s="63">
        <v>3.638539169699493E-2</v>
      </c>
      <c r="N90" s="63">
        <v>3.4195910894110469E-2</v>
      </c>
      <c r="O90" s="63">
        <v>2.7821777272638556E-2</v>
      </c>
      <c r="P90" s="63">
        <v>2.934035639254148E-2</v>
      </c>
      <c r="Q90" s="63">
        <v>4.0087103729669921E-2</v>
      </c>
      <c r="R90" s="63">
        <v>6.3024887052906611E-2</v>
      </c>
      <c r="S90" s="63">
        <v>9.4953571196556966E-2</v>
      </c>
      <c r="T90" s="63">
        <v>0.1300448131911226</v>
      </c>
    </row>
    <row r="91" spans="8:20" x14ac:dyDescent="0.25">
      <c r="I91" t="s">
        <v>148</v>
      </c>
      <c r="J91" s="20"/>
      <c r="K91" s="19" t="s">
        <v>175</v>
      </c>
      <c r="L91" s="22">
        <v>1</v>
      </c>
      <c r="M91" s="63">
        <v>0.10288236971605716</v>
      </c>
      <c r="N91" s="63">
        <v>0.1011779066219103</v>
      </c>
      <c r="O91" s="63">
        <v>0.11262576139978951</v>
      </c>
      <c r="P91" s="63">
        <v>0.12700802912736228</v>
      </c>
      <c r="Q91" s="63">
        <v>0.14454567570501695</v>
      </c>
      <c r="R91" s="63">
        <v>0.16327899835227158</v>
      </c>
      <c r="S91" s="63">
        <v>0.18201419157065585</v>
      </c>
      <c r="T91" s="63">
        <v>0.19787361201483947</v>
      </c>
    </row>
    <row r="92" spans="8:20" x14ac:dyDescent="0.25">
      <c r="I92" t="s">
        <v>149</v>
      </c>
      <c r="J92" s="20"/>
      <c r="K92" s="19" t="s">
        <v>175</v>
      </c>
      <c r="L92" s="22">
        <v>1</v>
      </c>
      <c r="M92" s="63">
        <v>5.4111527860738156E-5</v>
      </c>
      <c r="N92" s="63">
        <v>5.1707184755704752E-5</v>
      </c>
      <c r="O92" s="63">
        <v>5.5852249779668886E-5</v>
      </c>
      <c r="P92" s="63">
        <v>1.2206842866928591E-4</v>
      </c>
      <c r="Q92" s="63">
        <v>7.216381291188117E-4</v>
      </c>
      <c r="R92" s="63">
        <v>2.2095540563750854E-3</v>
      </c>
      <c r="S92" s="63">
        <v>3.8226339316975969E-3</v>
      </c>
      <c r="T92" s="63">
        <v>5.3272777283629074E-3</v>
      </c>
    </row>
    <row r="93" spans="8:20" x14ac:dyDescent="0.25">
      <c r="I93" t="s">
        <v>150</v>
      </c>
      <c r="J93" s="20"/>
      <c r="K93" s="19" t="s">
        <v>175</v>
      </c>
      <c r="L93" s="22">
        <v>1</v>
      </c>
      <c r="M93" s="63">
        <v>1.2957188037907301E-3</v>
      </c>
      <c r="N93" s="63">
        <v>1.4795036110263455E-3</v>
      </c>
      <c r="O93" s="63">
        <v>1.6018485292991595E-3</v>
      </c>
      <c r="P93" s="63">
        <v>1.7656822825739534E-3</v>
      </c>
      <c r="Q93" s="63">
        <v>1.9734108574841298E-3</v>
      </c>
      <c r="R93" s="63">
        <v>2.1965936880489674E-3</v>
      </c>
      <c r="S93" s="63">
        <v>2.4499520724434688E-3</v>
      </c>
      <c r="T93" s="63">
        <v>2.7014653486442395E-3</v>
      </c>
    </row>
    <row r="94" spans="8:20" x14ac:dyDescent="0.25">
      <c r="I94" t="s">
        <v>520</v>
      </c>
      <c r="J94" s="20"/>
      <c r="K94" s="19" t="s">
        <v>175</v>
      </c>
      <c r="L94" s="22">
        <v>1</v>
      </c>
      <c r="M94" s="63">
        <v>9.1258830749058398E-4</v>
      </c>
      <c r="N94" s="63">
        <v>8.9750110195639654E-4</v>
      </c>
      <c r="O94" s="63">
        <v>9.9903459686536767E-4</v>
      </c>
      <c r="P94" s="63">
        <v>1.1265609083225784E-3</v>
      </c>
      <c r="Q94" s="63">
        <v>1.282149150345063E-3</v>
      </c>
      <c r="R94" s="63">
        <v>1.4484155320577225E-3</v>
      </c>
      <c r="S94" s="63">
        <v>1.6145795229228466E-3</v>
      </c>
      <c r="T94" s="63">
        <v>1.7552866386524909E-3</v>
      </c>
    </row>
    <row r="95" spans="8:20" x14ac:dyDescent="0.25">
      <c r="I95" t="s">
        <v>173</v>
      </c>
      <c r="J95" s="20"/>
      <c r="K95" s="19" t="s">
        <v>175</v>
      </c>
      <c r="L95" s="22">
        <v>1</v>
      </c>
      <c r="M95" s="63">
        <v>0</v>
      </c>
      <c r="N95" s="63">
        <v>0</v>
      </c>
      <c r="O95" s="63">
        <v>0</v>
      </c>
      <c r="P95" s="63">
        <v>0</v>
      </c>
      <c r="Q95" s="63">
        <v>0</v>
      </c>
      <c r="R95" s="63">
        <v>0</v>
      </c>
      <c r="S95" s="63">
        <v>0</v>
      </c>
      <c r="T95" s="63">
        <v>0</v>
      </c>
    </row>
    <row r="96" spans="8:20" x14ac:dyDescent="0.25">
      <c r="M96" s="248"/>
      <c r="N96" s="248"/>
      <c r="O96" s="248"/>
      <c r="P96" s="248"/>
      <c r="Q96" s="248"/>
      <c r="R96" s="248"/>
      <c r="S96" s="248"/>
      <c r="T96" s="248"/>
    </row>
    <row r="98" spans="8:18" x14ac:dyDescent="0.25">
      <c r="H98" s="53" t="s">
        <v>0</v>
      </c>
      <c r="J98" s="53"/>
      <c r="K98" s="54"/>
    </row>
    <row r="99" spans="8:18" x14ac:dyDescent="0.25">
      <c r="H99" s="55" t="s">
        <v>1</v>
      </c>
      <c r="I99" s="55" t="s">
        <v>2</v>
      </c>
      <c r="J99" s="55" t="s">
        <v>3</v>
      </c>
      <c r="K99" s="56">
        <v>2019</v>
      </c>
      <c r="L99" s="56">
        <v>2020</v>
      </c>
      <c r="M99" s="56">
        <v>2025</v>
      </c>
      <c r="N99" s="56">
        <v>2030</v>
      </c>
      <c r="O99" s="56">
        <v>2035</v>
      </c>
      <c r="P99" s="56">
        <v>2040</v>
      </c>
      <c r="Q99" s="56">
        <v>2045</v>
      </c>
      <c r="R99" s="56">
        <v>2050</v>
      </c>
    </row>
    <row r="100" spans="8:18" x14ac:dyDescent="0.25">
      <c r="H100" t="s">
        <v>10</v>
      </c>
      <c r="I100" t="str" cm="1">
        <f t="array" ref="I100:I104">+_xlfn.ANCHORARRAY(COMM!Z30)</f>
        <v>DAGR</v>
      </c>
      <c r="J100" t="s">
        <v>9</v>
      </c>
      <c r="K100" s="64">
        <v>31.6646</v>
      </c>
      <c r="L100" s="65">
        <v>27.873699999999999</v>
      </c>
      <c r="M100" s="65">
        <v>34.688200000000002</v>
      </c>
      <c r="N100" s="65">
        <v>41.387799999999999</v>
      </c>
      <c r="O100" s="65">
        <v>48.775300000000001</v>
      </c>
      <c r="P100" s="65">
        <v>57.037600000000005</v>
      </c>
      <c r="Q100" s="65">
        <v>66.4298</v>
      </c>
      <c r="R100" s="65">
        <v>76.873699999999999</v>
      </c>
    </row>
    <row r="101" spans="8:18" x14ac:dyDescent="0.25">
      <c r="H101" t="s">
        <v>10</v>
      </c>
      <c r="I101" t="str">
        <v>DTER</v>
      </c>
      <c r="J101" s="54" t="s">
        <v>9</v>
      </c>
      <c r="K101" s="65">
        <v>62.181400000000004</v>
      </c>
      <c r="L101" s="65">
        <v>54.353099999999998</v>
      </c>
      <c r="M101" s="65">
        <v>60.013800000000003</v>
      </c>
      <c r="N101" s="65">
        <v>67.605000000000004</v>
      </c>
      <c r="O101" s="65">
        <v>74.424799999999991</v>
      </c>
      <c r="P101" s="65">
        <v>80.742999999999995</v>
      </c>
      <c r="Q101" s="65">
        <v>90.7119</v>
      </c>
      <c r="R101" s="65">
        <v>104.0565</v>
      </c>
    </row>
    <row r="102" spans="8:18" x14ac:dyDescent="0.25">
      <c r="H102" s="54" t="s">
        <v>10</v>
      </c>
      <c r="I102" s="54" t="str">
        <v>DRSD</v>
      </c>
      <c r="J102" s="54" t="s">
        <v>9</v>
      </c>
      <c r="K102" s="65">
        <v>69.341300000000004</v>
      </c>
      <c r="L102" s="65">
        <v>71.078400000000002</v>
      </c>
      <c r="M102" s="65">
        <v>80.650599999999997</v>
      </c>
      <c r="N102" s="65">
        <v>89.464500000000001</v>
      </c>
      <c r="O102" s="65">
        <v>94.679500000000004</v>
      </c>
      <c r="P102" s="65">
        <v>98.240100000000012</v>
      </c>
      <c r="Q102" s="65">
        <v>103.37649999999999</v>
      </c>
      <c r="R102" s="65">
        <v>109.43870000000001</v>
      </c>
    </row>
    <row r="103" spans="8:18" x14ac:dyDescent="0.25">
      <c r="H103" t="s">
        <v>10</v>
      </c>
      <c r="I103" t="str">
        <v>DIND</v>
      </c>
      <c r="J103" s="54" t="s">
        <v>9</v>
      </c>
      <c r="K103" s="65">
        <v>105.9659</v>
      </c>
      <c r="L103" s="65">
        <v>97.14</v>
      </c>
      <c r="M103" s="65">
        <v>111.3608</v>
      </c>
      <c r="N103" s="65">
        <v>123.88920000000002</v>
      </c>
      <c r="O103" s="65">
        <v>135.8665</v>
      </c>
      <c r="P103" s="65">
        <v>148.9272</v>
      </c>
      <c r="Q103" s="65">
        <v>166.12129999999999</v>
      </c>
      <c r="R103" s="65">
        <v>187.32580000000002</v>
      </c>
    </row>
    <row r="104" spans="8:18" x14ac:dyDescent="0.25">
      <c r="H104" t="s">
        <v>10</v>
      </c>
      <c r="I104" t="str">
        <v>DTRA</v>
      </c>
      <c r="J104" s="54" t="s">
        <v>9</v>
      </c>
      <c r="K104" s="64">
        <v>574.73889999999994</v>
      </c>
      <c r="L104" s="65">
        <v>589.8599999999999</v>
      </c>
      <c r="M104" s="65">
        <v>666.04299999999989</v>
      </c>
      <c r="N104" s="65">
        <v>719.26869999999997</v>
      </c>
      <c r="O104" s="65">
        <v>757.1662</v>
      </c>
      <c r="P104" s="65">
        <v>794.73050000000012</v>
      </c>
      <c r="Q104" s="65">
        <v>829.68970000000013</v>
      </c>
      <c r="R104" s="65">
        <v>871.08279999999991</v>
      </c>
    </row>
    <row r="105" spans="8:18" x14ac:dyDescent="0.25">
      <c r="K105" s="66"/>
      <c r="L105" s="66"/>
      <c r="M105" s="66"/>
      <c r="N105" s="66"/>
      <c r="O105" s="66"/>
      <c r="P105" s="66"/>
      <c r="Q105" s="66"/>
      <c r="R105" s="66"/>
    </row>
    <row r="106" spans="8:18" x14ac:dyDescent="0.25">
      <c r="K106" s="57"/>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C82E9-8F73-426D-8F88-3BAEF8827B8F}">
  <dimension ref="B1:O43"/>
  <sheetViews>
    <sheetView showGridLines="0" topLeftCell="A10" zoomScaleNormal="100" workbookViewId="0">
      <selection activeCell="F19" sqref="F19:H19"/>
    </sheetView>
  </sheetViews>
  <sheetFormatPr baseColWidth="10" defaultRowHeight="15" x14ac:dyDescent="0.25"/>
  <cols>
    <col min="2" max="2" width="15" customWidth="1"/>
    <col min="7" max="7" width="12" bestFit="1" customWidth="1"/>
  </cols>
  <sheetData>
    <row r="1" spans="2:8" x14ac:dyDescent="0.25">
      <c r="G1" s="212" t="s">
        <v>405</v>
      </c>
    </row>
    <row r="2" spans="2:8" x14ac:dyDescent="0.25">
      <c r="G2" s="259" t="s">
        <v>282</v>
      </c>
    </row>
    <row r="3" spans="2:8" x14ac:dyDescent="0.25">
      <c r="G3" s="260" t="s">
        <v>473</v>
      </c>
    </row>
    <row r="4" spans="2:8" x14ac:dyDescent="0.25">
      <c r="B4" s="258" t="str" cm="1">
        <f t="array" ref="B4:D19">+COMM!X20:Z35</f>
        <v>NRG</v>
      </c>
      <c r="C4" s="257">
        <v>0</v>
      </c>
      <c r="D4" s="257" t="str">
        <v>DGSL</v>
      </c>
      <c r="F4" t="s">
        <v>146</v>
      </c>
    </row>
    <row r="5" spans="2:8" x14ac:dyDescent="0.25">
      <c r="B5" s="258">
        <v>0</v>
      </c>
      <c r="C5" s="257">
        <v>0</v>
      </c>
      <c r="D5" s="257" t="str">
        <v>DDSL</v>
      </c>
      <c r="F5" t="s">
        <v>147</v>
      </c>
    </row>
    <row r="6" spans="2:8" x14ac:dyDescent="0.25">
      <c r="B6" s="258">
        <v>0</v>
      </c>
      <c r="C6" s="257">
        <v>0</v>
      </c>
      <c r="D6" s="257" t="str">
        <v>DKER</v>
      </c>
      <c r="F6" t="s">
        <v>148</v>
      </c>
      <c r="G6" s="122">
        <f>+'Bases de Cálculo'!G12</f>
        <v>87.735056011523966</v>
      </c>
      <c r="H6" s="257">
        <v>87.735056011523966</v>
      </c>
    </row>
    <row r="7" spans="2:8" x14ac:dyDescent="0.25">
      <c r="B7" s="258">
        <v>0</v>
      </c>
      <c r="C7" s="257">
        <v>0</v>
      </c>
      <c r="D7" s="257" t="str">
        <v>DLPG</v>
      </c>
      <c r="F7" t="s">
        <v>149</v>
      </c>
      <c r="G7" s="122">
        <f>+'Bases de Cálculo'!G13</f>
        <v>47.28933824683137</v>
      </c>
      <c r="H7" s="257">
        <v>47.28933824683137</v>
      </c>
    </row>
    <row r="8" spans="2:8" x14ac:dyDescent="0.25">
      <c r="B8" s="258">
        <v>0</v>
      </c>
      <c r="C8" s="257">
        <v>0</v>
      </c>
      <c r="D8" s="257" t="str">
        <v>DHFO</v>
      </c>
      <c r="F8" t="s">
        <v>150</v>
      </c>
      <c r="G8" s="122">
        <f>+'Bases de Cálculo'!G14</f>
        <v>78.281203343664757</v>
      </c>
      <c r="H8" s="257">
        <v>78.281203343664757</v>
      </c>
    </row>
    <row r="9" spans="2:8" x14ac:dyDescent="0.25">
      <c r="B9" s="258">
        <v>0</v>
      </c>
      <c r="C9" s="257">
        <v>0</v>
      </c>
      <c r="D9" s="257" t="str">
        <v>DGAS</v>
      </c>
      <c r="F9" t="s">
        <v>151</v>
      </c>
      <c r="G9" s="122">
        <f>+'Bases de Cálculo'!G6</f>
        <v>55.539114956987063</v>
      </c>
      <c r="H9" s="257">
        <v>55.539114956987063</v>
      </c>
    </row>
    <row r="10" spans="2:8" x14ac:dyDescent="0.25">
      <c r="B10" s="258">
        <v>0</v>
      </c>
      <c r="C10" s="257">
        <v>0</v>
      </c>
      <c r="D10" s="257" t="str">
        <v>DLOIL</v>
      </c>
      <c r="F10" t="s">
        <v>152</v>
      </c>
      <c r="G10" s="122">
        <f>+'Bases de Cálculo'!G7</f>
        <v>77.841777688967127</v>
      </c>
      <c r="H10" s="257">
        <v>77.841777688967127</v>
      </c>
    </row>
    <row r="11" spans="2:8" x14ac:dyDescent="0.25">
      <c r="B11" s="258">
        <v>0</v>
      </c>
      <c r="C11" s="257">
        <v>0</v>
      </c>
      <c r="D11" s="257" t="str">
        <v>DMOIL</v>
      </c>
      <c r="F11" t="s">
        <v>529</v>
      </c>
      <c r="G11" s="122">
        <v>77.841777688967127</v>
      </c>
      <c r="H11" s="257">
        <v>77.841777688967127</v>
      </c>
    </row>
    <row r="12" spans="2:8" x14ac:dyDescent="0.25">
      <c r="B12" s="258">
        <v>0</v>
      </c>
      <c r="C12" s="257">
        <v>0</v>
      </c>
      <c r="D12" s="257" t="str">
        <v>DHOIL</v>
      </c>
      <c r="F12" t="s">
        <v>530</v>
      </c>
      <c r="G12" s="122">
        <v>77.841777688967127</v>
      </c>
      <c r="H12" s="257">
        <v>77.841777688967127</v>
      </c>
    </row>
    <row r="13" spans="2:8" x14ac:dyDescent="0.25">
      <c r="B13" s="258">
        <v>0</v>
      </c>
      <c r="C13" s="257">
        <v>0</v>
      </c>
      <c r="D13" s="257" t="str">
        <v>DH2</v>
      </c>
      <c r="F13" t="s">
        <v>173</v>
      </c>
      <c r="G13" s="122">
        <v>0</v>
      </c>
      <c r="H13" s="257">
        <v>0</v>
      </c>
    </row>
    <row r="14" spans="2:8" x14ac:dyDescent="0.25">
      <c r="B14" s="258" t="str">
        <v>DEM</v>
      </c>
      <c r="C14" s="257">
        <v>0</v>
      </c>
      <c r="D14" s="257" t="str">
        <v>DAGR</v>
      </c>
      <c r="F14" t="str">
        <f>+D19</f>
        <v>DAVG</v>
      </c>
      <c r="G14" s="122">
        <f>+'Bases de Cálculo'!G24</f>
        <v>56.337812381502502</v>
      </c>
      <c r="H14" s="257">
        <v>56.337812381502502</v>
      </c>
    </row>
    <row r="15" spans="2:8" x14ac:dyDescent="0.25">
      <c r="B15" s="258">
        <v>0</v>
      </c>
      <c r="C15" s="257">
        <v>0</v>
      </c>
      <c r="D15" s="257" t="str">
        <v>DTER</v>
      </c>
    </row>
    <row r="16" spans="2:8" x14ac:dyDescent="0.25">
      <c r="B16" s="258">
        <v>0</v>
      </c>
      <c r="C16" s="257">
        <v>0</v>
      </c>
      <c r="D16" s="257" t="str">
        <v>DRSD</v>
      </c>
      <c r="F16" t="s">
        <v>771</v>
      </c>
      <c r="G16" s="122">
        <v>0.16600000000000001</v>
      </c>
      <c r="H16" t="s">
        <v>772</v>
      </c>
    </row>
    <row r="17" spans="2:15" x14ac:dyDescent="0.25">
      <c r="B17" s="258">
        <v>0</v>
      </c>
      <c r="C17" s="257">
        <v>0</v>
      </c>
      <c r="D17" s="257" t="str">
        <v>DIND</v>
      </c>
      <c r="F17" t="s">
        <v>771</v>
      </c>
      <c r="G17" s="457">
        <f>+(G16/1000000)</f>
        <v>1.66E-7</v>
      </c>
      <c r="H17" t="s">
        <v>773</v>
      </c>
    </row>
    <row r="18" spans="2:15" x14ac:dyDescent="0.25">
      <c r="B18" s="258">
        <v>0</v>
      </c>
      <c r="C18" s="257">
        <v>0</v>
      </c>
      <c r="D18" s="257" t="str">
        <v>DTRA</v>
      </c>
      <c r="F18" t="s">
        <v>771</v>
      </c>
      <c r="G18">
        <f>+G17*(1000000)</f>
        <v>0.16600000000000001</v>
      </c>
      <c r="H18" t="s">
        <v>775</v>
      </c>
    </row>
    <row r="19" spans="2:15" x14ac:dyDescent="0.25">
      <c r="B19" s="258" t="str">
        <v>NRG</v>
      </c>
      <c r="C19" s="257">
        <v>0</v>
      </c>
      <c r="D19" s="257" t="str">
        <v>DAVG</v>
      </c>
      <c r="F19" s="458" t="s">
        <v>771</v>
      </c>
      <c r="G19" s="458">
        <f>+G18/0.0036</f>
        <v>46.111111111111114</v>
      </c>
      <c r="H19" s="458" t="s">
        <v>776</v>
      </c>
    </row>
    <row r="21" spans="2:15" ht="18.75" x14ac:dyDescent="0.3">
      <c r="B21" s="454" t="s">
        <v>774</v>
      </c>
    </row>
    <row r="23" spans="2:15" x14ac:dyDescent="0.25">
      <c r="B23" s="254" t="s">
        <v>528</v>
      </c>
    </row>
    <row r="24" spans="2:15" ht="15.75" thickBot="1" x14ac:dyDescent="0.3">
      <c r="B24" s="255" t="s">
        <v>2</v>
      </c>
      <c r="C24" s="256" t="s">
        <v>146</v>
      </c>
      <c r="D24" s="256" t="s">
        <v>147</v>
      </c>
      <c r="E24" s="256" t="s">
        <v>549</v>
      </c>
      <c r="F24" s="256" t="s">
        <v>550</v>
      </c>
      <c r="G24" s="256" t="s">
        <v>148</v>
      </c>
      <c r="H24" s="256" t="s">
        <v>149</v>
      </c>
      <c r="I24" s="256" t="s">
        <v>150</v>
      </c>
      <c r="J24" s="256" t="s">
        <v>151</v>
      </c>
      <c r="K24" s="256" t="s">
        <v>152</v>
      </c>
      <c r="L24" s="256" t="s">
        <v>529</v>
      </c>
      <c r="M24" s="256" t="s">
        <v>530</v>
      </c>
      <c r="N24" s="256" t="s">
        <v>173</v>
      </c>
      <c r="O24" s="256" t="s">
        <v>520</v>
      </c>
    </row>
    <row r="25" spans="2:15" ht="15.75" thickBot="1" x14ac:dyDescent="0.3">
      <c r="B25" s="7" t="s">
        <v>8</v>
      </c>
      <c r="C25" s="21" t="s">
        <v>282</v>
      </c>
      <c r="D25" s="21" t="s">
        <v>282</v>
      </c>
      <c r="E25" s="21" t="s">
        <v>282</v>
      </c>
      <c r="F25" s="21" t="s">
        <v>282</v>
      </c>
      <c r="G25" s="21" t="s">
        <v>282</v>
      </c>
      <c r="H25" s="21" t="s">
        <v>282</v>
      </c>
      <c r="I25" s="21" t="s">
        <v>282</v>
      </c>
      <c r="J25" s="21" t="s">
        <v>282</v>
      </c>
      <c r="K25" s="21" t="s">
        <v>282</v>
      </c>
      <c r="L25" s="21" t="s">
        <v>282</v>
      </c>
      <c r="M25" s="21" t="s">
        <v>282</v>
      </c>
      <c r="N25" s="21" t="s">
        <v>282</v>
      </c>
      <c r="O25" s="21" t="s">
        <v>282</v>
      </c>
    </row>
    <row r="26" spans="2:15" x14ac:dyDescent="0.25">
      <c r="B26" t="str">
        <f>+COMM!AK42</f>
        <v>CO2e-Scope3</v>
      </c>
      <c r="C26" s="261">
        <f>+'Bases de Cálculo'!G10</f>
        <v>69.193827140333724</v>
      </c>
      <c r="D26" s="261">
        <f>+'Bases de Cálculo'!G11</f>
        <v>75.166375708662926</v>
      </c>
      <c r="E26" s="261">
        <f>+'Bases de Cálculo'!G15</f>
        <v>84.75811612074672</v>
      </c>
      <c r="F26" s="261">
        <f>+'Bases de Cálculo'!G16</f>
        <v>54.806487022879928</v>
      </c>
      <c r="G26" s="261">
        <v>87.735056011523966</v>
      </c>
      <c r="H26" s="261">
        <v>47.28933824683137</v>
      </c>
      <c r="I26" s="261">
        <v>78.281203343664757</v>
      </c>
      <c r="J26" s="261">
        <v>55.539114956987063</v>
      </c>
      <c r="K26" s="261">
        <v>77.841777688967127</v>
      </c>
      <c r="L26" s="261">
        <v>77.841777688967127</v>
      </c>
      <c r="M26" s="261">
        <v>77.841777688967127</v>
      </c>
      <c r="N26" s="262">
        <v>0</v>
      </c>
      <c r="O26" s="261">
        <v>56.337812381502502</v>
      </c>
    </row>
    <row r="31" spans="2:15" ht="21" x14ac:dyDescent="0.35">
      <c r="B31" s="455" t="s">
        <v>767</v>
      </c>
    </row>
    <row r="33" spans="2:6" x14ac:dyDescent="0.25">
      <c r="B33" s="254" t="s">
        <v>528</v>
      </c>
    </row>
    <row r="34" spans="2:6" ht="15.75" thickBot="1" x14ac:dyDescent="0.3">
      <c r="B34" s="255" t="s">
        <v>2</v>
      </c>
      <c r="C34" s="256" t="str">
        <f>+'4.1 Ref_Cart'!D46</f>
        <v>GAS-REF1</v>
      </c>
      <c r="D34" s="256" t="str">
        <f>+'4.1 Ref_Cart'!D47</f>
        <v>HFO-REF1</v>
      </c>
      <c r="E34" s="256" t="str">
        <f>+'4.1 Ref_Cart'!O77</f>
        <v>RFG1</v>
      </c>
      <c r="F34" s="256" t="str">
        <f>+'4.1 Ref_Cart'!O41</f>
        <v>OIL-REF1</v>
      </c>
    </row>
    <row r="35" spans="2:6" ht="15.75" thickBot="1" x14ac:dyDescent="0.3">
      <c r="B35" s="7" t="s">
        <v>8</v>
      </c>
      <c r="C35" s="21" t="s">
        <v>282</v>
      </c>
      <c r="D35" s="21" t="s">
        <v>282</v>
      </c>
      <c r="E35" s="21" t="s">
        <v>282</v>
      </c>
      <c r="F35" s="21" t="s">
        <v>282</v>
      </c>
    </row>
    <row r="36" spans="2:6" x14ac:dyDescent="0.25">
      <c r="B36" t="str">
        <f>+COMM!AK43</f>
        <v>CO2e-REF1</v>
      </c>
      <c r="C36" s="261">
        <f>+G9</f>
        <v>55.539114956987063</v>
      </c>
      <c r="D36" s="261">
        <f>+G8</f>
        <v>78.281203343664757</v>
      </c>
      <c r="E36" s="261">
        <f>+'Bases de Cálculo'!G25</f>
        <v>40.784041574326501</v>
      </c>
      <c r="F36" s="261">
        <f>+G11</f>
        <v>77.841777688967127</v>
      </c>
    </row>
    <row r="40" spans="2:6" x14ac:dyDescent="0.25">
      <c r="B40" s="254" t="s">
        <v>528</v>
      </c>
    </row>
    <row r="41" spans="2:6" ht="15.75" thickBot="1" x14ac:dyDescent="0.3">
      <c r="B41" s="255" t="s">
        <v>2</v>
      </c>
      <c r="C41" s="256" t="s">
        <v>757</v>
      </c>
      <c r="D41" s="256" t="s">
        <v>758</v>
      </c>
      <c r="E41" s="256" t="s">
        <v>743</v>
      </c>
      <c r="F41" s="256" t="s">
        <v>732</v>
      </c>
    </row>
    <row r="42" spans="2:6" ht="15.75" thickBot="1" x14ac:dyDescent="0.3">
      <c r="B42" s="7" t="s">
        <v>8</v>
      </c>
      <c r="C42" s="21" t="s">
        <v>282</v>
      </c>
      <c r="D42" s="21" t="s">
        <v>282</v>
      </c>
      <c r="E42" s="21" t="s">
        <v>282</v>
      </c>
      <c r="F42" s="21" t="s">
        <v>282</v>
      </c>
    </row>
    <row r="43" spans="2:6" x14ac:dyDescent="0.25">
      <c r="B43" t="s">
        <v>770</v>
      </c>
      <c r="C43" s="261">
        <v>55.539114956987063</v>
      </c>
      <c r="D43" s="261">
        <v>78.281203343664757</v>
      </c>
      <c r="E43" s="261">
        <v>40.784041574326501</v>
      </c>
      <c r="F43" s="261">
        <v>77.841777688967127</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85ECA-FE55-40C7-81E9-7925402EFE4F}">
  <sheetPr>
    <tabColor theme="7" tint="-0.249977111117893"/>
  </sheetPr>
  <dimension ref="B3:Q104"/>
  <sheetViews>
    <sheetView showGridLines="0" zoomScale="130" zoomScaleNormal="130" workbookViewId="0">
      <selection activeCell="G18" sqref="G18"/>
    </sheetView>
  </sheetViews>
  <sheetFormatPr baseColWidth="10" defaultRowHeight="15" x14ac:dyDescent="0.25"/>
  <cols>
    <col min="2" max="2" width="13.5703125" style="142" customWidth="1"/>
    <col min="3" max="3" width="25.28515625" customWidth="1"/>
    <col min="10" max="10" width="11.42578125" customWidth="1"/>
    <col min="11" max="11" width="14.5703125" customWidth="1"/>
  </cols>
  <sheetData>
    <row r="3" spans="2:10" x14ac:dyDescent="0.25">
      <c r="C3" t="s">
        <v>570</v>
      </c>
    </row>
    <row r="4" spans="2:10" x14ac:dyDescent="0.25">
      <c r="C4" s="142"/>
      <c r="J4" t="s">
        <v>612</v>
      </c>
    </row>
    <row r="5" spans="2:10" x14ac:dyDescent="0.25">
      <c r="B5" s="286"/>
      <c r="C5" s="251"/>
      <c r="D5" s="592" t="s">
        <v>577</v>
      </c>
      <c r="E5" s="592"/>
      <c r="F5" s="592"/>
    </row>
    <row r="6" spans="2:10" x14ac:dyDescent="0.25">
      <c r="B6" s="286"/>
      <c r="C6" s="287"/>
      <c r="D6" s="287" t="s">
        <v>574</v>
      </c>
      <c r="E6" s="287" t="s">
        <v>578</v>
      </c>
      <c r="F6" s="287" t="s">
        <v>576</v>
      </c>
    </row>
    <row r="7" spans="2:10" x14ac:dyDescent="0.25">
      <c r="B7" s="593" t="s">
        <v>580</v>
      </c>
      <c r="C7" s="287" t="s">
        <v>573</v>
      </c>
      <c r="D7" s="288">
        <v>62846</v>
      </c>
      <c r="E7" s="288">
        <v>105000</v>
      </c>
      <c r="F7" s="288">
        <f>+E7+D7</f>
        <v>167846</v>
      </c>
    </row>
    <row r="8" spans="2:10" x14ac:dyDescent="0.25">
      <c r="B8" s="593"/>
      <c r="C8" s="287" t="s">
        <v>572</v>
      </c>
      <c r="D8" s="288">
        <v>146640</v>
      </c>
      <c r="E8" s="288">
        <v>45000</v>
      </c>
      <c r="F8" s="288">
        <f t="shared" ref="F8:F9" si="0">+E8+D8</f>
        <v>191640</v>
      </c>
    </row>
    <row r="9" spans="2:10" x14ac:dyDescent="0.25">
      <c r="B9" s="286"/>
      <c r="C9" s="287" t="s">
        <v>576</v>
      </c>
      <c r="D9" s="288">
        <f>+SUM(D7:D8)</f>
        <v>209486</v>
      </c>
      <c r="E9" s="288">
        <f>+SUM(E7:E8)</f>
        <v>150000</v>
      </c>
      <c r="F9" s="288">
        <f t="shared" si="0"/>
        <v>359486</v>
      </c>
    </row>
    <row r="10" spans="2:10" x14ac:dyDescent="0.25">
      <c r="B10" s="142" t="s">
        <v>595</v>
      </c>
      <c r="C10" s="287" t="s">
        <v>571</v>
      </c>
      <c r="E10" s="285">
        <v>0.6</v>
      </c>
      <c r="F10" s="283"/>
    </row>
    <row r="11" spans="2:10" x14ac:dyDescent="0.25">
      <c r="C11" s="287" t="s">
        <v>593</v>
      </c>
      <c r="D11" s="284"/>
      <c r="E11" s="285">
        <v>0.25</v>
      </c>
      <c r="F11" s="283"/>
    </row>
    <row r="12" spans="2:10" x14ac:dyDescent="0.25">
      <c r="C12" s="287" t="s">
        <v>594</v>
      </c>
      <c r="D12" s="285"/>
      <c r="E12" s="281">
        <v>0.15</v>
      </c>
    </row>
    <row r="14" spans="2:10" x14ac:dyDescent="0.25">
      <c r="C14" s="22"/>
      <c r="D14" s="22" t="s">
        <v>574</v>
      </c>
      <c r="E14" s="22" t="s">
        <v>578</v>
      </c>
      <c r="F14" s="22" t="s">
        <v>576</v>
      </c>
    </row>
    <row r="15" spans="2:10" x14ac:dyDescent="0.25">
      <c r="B15" s="142" t="s">
        <v>580</v>
      </c>
      <c r="C15" s="22" t="s">
        <v>575</v>
      </c>
      <c r="D15" s="285">
        <f>+D8/D9</f>
        <v>0.69999904528226231</v>
      </c>
      <c r="E15" s="285">
        <f>+E8/E9</f>
        <v>0.3</v>
      </c>
      <c r="F15" s="285">
        <f>+F8/F9</f>
        <v>0.53309447377644748</v>
      </c>
    </row>
    <row r="16" spans="2:10" x14ac:dyDescent="0.25">
      <c r="B16" s="142" t="s">
        <v>583</v>
      </c>
      <c r="C16" s="19" t="s">
        <v>582</v>
      </c>
      <c r="D16" s="290">
        <v>0.7</v>
      </c>
      <c r="E16" s="281">
        <f>45000/150000</f>
        <v>0.3</v>
      </c>
    </row>
    <row r="20" spans="2:5" x14ac:dyDescent="0.25">
      <c r="C20" s="19"/>
      <c r="D20" s="19" t="s">
        <v>574</v>
      </c>
      <c r="E20" t="s">
        <v>578</v>
      </c>
    </row>
    <row r="21" spans="2:5" x14ac:dyDescent="0.25">
      <c r="C21" s="19" t="s">
        <v>579</v>
      </c>
      <c r="D21" s="19">
        <v>250</v>
      </c>
      <c r="E21" s="19">
        <v>150</v>
      </c>
    </row>
    <row r="24" spans="2:5" x14ac:dyDescent="0.25">
      <c r="D24" s="19" t="s">
        <v>574</v>
      </c>
      <c r="E24" t="s">
        <v>578</v>
      </c>
    </row>
    <row r="25" spans="2:5" x14ac:dyDescent="0.25">
      <c r="B25" s="142" t="s">
        <v>581</v>
      </c>
      <c r="C25" t="s">
        <v>568</v>
      </c>
      <c r="D25" s="265">
        <v>0.83</v>
      </c>
      <c r="E25" s="265">
        <v>0.93700000000000006</v>
      </c>
    </row>
    <row r="26" spans="2:5" x14ac:dyDescent="0.25">
      <c r="B26" s="142" t="s">
        <v>595</v>
      </c>
      <c r="D26" s="283">
        <v>220000</v>
      </c>
      <c r="E26" s="283">
        <v>150000</v>
      </c>
    </row>
    <row r="28" spans="2:5" x14ac:dyDescent="0.25">
      <c r="D28" s="19" t="s">
        <v>574</v>
      </c>
      <c r="E28" t="s">
        <v>578</v>
      </c>
    </row>
    <row r="29" spans="2:5" x14ac:dyDescent="0.25">
      <c r="B29" s="142" t="s">
        <v>581</v>
      </c>
      <c r="C29" t="s">
        <v>584</v>
      </c>
      <c r="D29" s="289">
        <v>0.61</v>
      </c>
      <c r="E29" s="289">
        <v>0.97</v>
      </c>
    </row>
    <row r="30" spans="2:5" x14ac:dyDescent="0.25">
      <c r="D30" s="19" t="s">
        <v>574</v>
      </c>
      <c r="E30" t="s">
        <v>578</v>
      </c>
    </row>
    <row r="31" spans="2:5" x14ac:dyDescent="0.25">
      <c r="B31" s="142" t="s">
        <v>602</v>
      </c>
      <c r="C31" t="s">
        <v>601</v>
      </c>
      <c r="D31">
        <v>180000</v>
      </c>
      <c r="E31">
        <v>130000</v>
      </c>
    </row>
    <row r="32" spans="2:5" x14ac:dyDescent="0.25">
      <c r="C32" t="s">
        <v>603</v>
      </c>
      <c r="D32">
        <v>222000</v>
      </c>
      <c r="E32">
        <v>165000</v>
      </c>
    </row>
    <row r="33" spans="2:9" x14ac:dyDescent="0.25">
      <c r="C33" t="s">
        <v>604</v>
      </c>
      <c r="D33" s="293">
        <f>+D31/D32</f>
        <v>0.81081081081081086</v>
      </c>
      <c r="E33" s="293">
        <f>+E31/E32</f>
        <v>0.78787878787878785</v>
      </c>
    </row>
    <row r="34" spans="2:9" x14ac:dyDescent="0.25">
      <c r="B34" s="142" t="s">
        <v>581</v>
      </c>
      <c r="C34" t="s">
        <v>601</v>
      </c>
      <c r="D34">
        <v>209000</v>
      </c>
      <c r="E34">
        <v>147888</v>
      </c>
    </row>
    <row r="35" spans="2:9" x14ac:dyDescent="0.25">
      <c r="C35" t="s">
        <v>603</v>
      </c>
      <c r="D35">
        <v>211820</v>
      </c>
      <c r="E35">
        <v>150000</v>
      </c>
    </row>
    <row r="36" spans="2:9" x14ac:dyDescent="0.25">
      <c r="C36" t="s">
        <v>604</v>
      </c>
      <c r="D36" s="293">
        <f>+D34/D35</f>
        <v>0.98668680955528276</v>
      </c>
      <c r="E36" s="293">
        <f>+E34/E35</f>
        <v>0.98592000000000002</v>
      </c>
    </row>
    <row r="39" spans="2:9" x14ac:dyDescent="0.25">
      <c r="D39" s="19" t="s">
        <v>574</v>
      </c>
      <c r="E39" t="s">
        <v>578</v>
      </c>
    </row>
    <row r="40" spans="2:9" x14ac:dyDescent="0.25">
      <c r="C40" t="s">
        <v>585</v>
      </c>
      <c r="D40">
        <v>2027</v>
      </c>
      <c r="E40">
        <v>2026</v>
      </c>
    </row>
    <row r="41" spans="2:9" x14ac:dyDescent="0.25">
      <c r="C41" t="s">
        <v>586</v>
      </c>
      <c r="D41">
        <v>2032</v>
      </c>
      <c r="E41">
        <v>2029</v>
      </c>
    </row>
    <row r="45" spans="2:9" x14ac:dyDescent="0.25">
      <c r="B45" s="594" t="s">
        <v>583</v>
      </c>
      <c r="C45" t="s">
        <v>588</v>
      </c>
    </row>
    <row r="46" spans="2:9" x14ac:dyDescent="0.25">
      <c r="B46" s="594"/>
      <c r="D46" s="19" t="s">
        <v>574</v>
      </c>
      <c r="E46" t="s">
        <v>578</v>
      </c>
      <c r="F46" t="s">
        <v>591</v>
      </c>
    </row>
    <row r="47" spans="2:9" x14ac:dyDescent="0.25">
      <c r="B47" s="594"/>
      <c r="C47" t="s">
        <v>85</v>
      </c>
      <c r="D47" s="283">
        <v>62000</v>
      </c>
      <c r="E47" s="282">
        <v>27000</v>
      </c>
      <c r="F47" s="283">
        <v>113000</v>
      </c>
      <c r="G47" s="291"/>
      <c r="I47" s="291"/>
    </row>
    <row r="48" spans="2:9" x14ac:dyDescent="0.25">
      <c r="B48" s="594"/>
      <c r="C48" t="s">
        <v>86</v>
      </c>
      <c r="D48" s="283">
        <v>64000</v>
      </c>
      <c r="E48" s="282">
        <v>77000</v>
      </c>
      <c r="F48" s="283">
        <v>113300</v>
      </c>
      <c r="H48" s="291"/>
      <c r="I48" s="291"/>
    </row>
    <row r="49" spans="2:15" x14ac:dyDescent="0.25">
      <c r="B49" s="594"/>
      <c r="C49" t="s">
        <v>587</v>
      </c>
      <c r="D49" s="283">
        <v>21000</v>
      </c>
      <c r="E49" s="282">
        <v>7000</v>
      </c>
      <c r="F49" s="283">
        <v>36200</v>
      </c>
      <c r="H49" s="291"/>
      <c r="I49" s="291"/>
    </row>
    <row r="50" spans="2:15" x14ac:dyDescent="0.25">
      <c r="B50" s="594"/>
      <c r="C50" t="s">
        <v>569</v>
      </c>
      <c r="D50" s="283">
        <v>62000</v>
      </c>
      <c r="E50" s="282">
        <v>13800</v>
      </c>
      <c r="F50" s="283">
        <v>92888</v>
      </c>
      <c r="H50" s="291"/>
    </row>
    <row r="51" spans="2:15" x14ac:dyDescent="0.25">
      <c r="B51" s="308"/>
      <c r="D51" s="283">
        <f>+SUM(D47:D50)</f>
        <v>209000</v>
      </c>
      <c r="E51" s="283">
        <f>+SUM(E47:E50)</f>
        <v>124800</v>
      </c>
      <c r="F51" s="283"/>
      <c r="H51" s="291"/>
    </row>
    <row r="52" spans="2:15" x14ac:dyDescent="0.25">
      <c r="B52" s="308"/>
      <c r="C52" t="s">
        <v>641</v>
      </c>
      <c r="D52" s="283"/>
      <c r="E52" s="283">
        <f>150000*0.937</f>
        <v>140550</v>
      </c>
      <c r="F52" s="283"/>
      <c r="H52" s="355">
        <f>+E51/E52</f>
        <v>0.88794023479188899</v>
      </c>
    </row>
    <row r="53" spans="2:15" x14ac:dyDescent="0.25">
      <c r="B53" s="308"/>
      <c r="D53" s="283"/>
      <c r="E53" s="283"/>
      <c r="F53" s="283"/>
      <c r="H53" s="291"/>
    </row>
    <row r="54" spans="2:15" x14ac:dyDescent="0.25">
      <c r="D54" s="19"/>
      <c r="E54" t="s">
        <v>578</v>
      </c>
      <c r="H54" s="291"/>
    </row>
    <row r="55" spans="2:15" x14ac:dyDescent="0.25">
      <c r="B55" s="142" t="s">
        <v>592</v>
      </c>
      <c r="C55" t="s">
        <v>85</v>
      </c>
      <c r="D55" s="283">
        <v>56700</v>
      </c>
      <c r="E55" s="282">
        <v>29000</v>
      </c>
      <c r="F55" s="283"/>
      <c r="H55" s="291"/>
    </row>
    <row r="56" spans="2:15" x14ac:dyDescent="0.25">
      <c r="C56" t="s">
        <v>86</v>
      </c>
      <c r="D56" s="283">
        <v>58000</v>
      </c>
      <c r="E56" s="282">
        <v>75000</v>
      </c>
      <c r="F56" s="283"/>
      <c r="H56" s="291"/>
    </row>
    <row r="57" spans="2:15" x14ac:dyDescent="0.25">
      <c r="C57" t="s">
        <v>587</v>
      </c>
      <c r="D57" s="283">
        <v>23000</v>
      </c>
      <c r="E57" s="282">
        <v>9000</v>
      </c>
      <c r="F57" s="283"/>
      <c r="H57" s="291"/>
    </row>
    <row r="58" spans="2:15" x14ac:dyDescent="0.25">
      <c r="C58" t="s">
        <v>569</v>
      </c>
      <c r="D58" s="283"/>
      <c r="E58" s="282"/>
      <c r="F58" s="283"/>
      <c r="H58" s="291"/>
    </row>
    <row r="59" spans="2:15" x14ac:dyDescent="0.25">
      <c r="D59" s="283"/>
      <c r="E59" s="282"/>
      <c r="F59" s="283"/>
      <c r="H59" s="291"/>
    </row>
    <row r="62" spans="2:15" x14ac:dyDescent="0.25">
      <c r="B62" s="303" t="s">
        <v>583</v>
      </c>
      <c r="C62" s="304" t="s">
        <v>589</v>
      </c>
      <c r="D62" s="305"/>
      <c r="E62" s="305"/>
      <c r="F62" s="305"/>
      <c r="G62" s="306">
        <v>209500</v>
      </c>
    </row>
    <row r="63" spans="2:15" x14ac:dyDescent="0.25">
      <c r="B63" s="296"/>
      <c r="D63" s="19" t="s">
        <v>574</v>
      </c>
      <c r="E63" t="s">
        <v>578</v>
      </c>
      <c r="G63" s="297"/>
    </row>
    <row r="64" spans="2:15" x14ac:dyDescent="0.25">
      <c r="B64" s="296"/>
      <c r="C64" t="s">
        <v>590</v>
      </c>
      <c r="D64" s="298">
        <v>0.29599999999999999</v>
      </c>
      <c r="E64" s="299">
        <v>0.34799999999999998</v>
      </c>
      <c r="G64" s="297">
        <f>+D64*$G$62</f>
        <v>62012</v>
      </c>
      <c r="K64" t="s">
        <v>45</v>
      </c>
      <c r="L64" s="63">
        <v>0.34799999999999998</v>
      </c>
      <c r="M64">
        <f t="shared" ref="M64:M66" si="1">+$M$68*L64</f>
        <v>0.34799999999999998</v>
      </c>
      <c r="N64" t="s">
        <v>716</v>
      </c>
      <c r="O64">
        <f>+M64*'4.1 Ref_Cart'!E11</f>
        <v>1.8551527595955706</v>
      </c>
    </row>
    <row r="65" spans="2:17" x14ac:dyDescent="0.25">
      <c r="B65" s="296"/>
      <c r="C65" t="s">
        <v>86</v>
      </c>
      <c r="D65" s="298">
        <v>0.307</v>
      </c>
      <c r="E65" s="299">
        <v>0.51300000000000001</v>
      </c>
      <c r="G65" s="297">
        <f t="shared" ref="G65:G67" si="2">+D65*$G$62</f>
        <v>64316.5</v>
      </c>
      <c r="I65" t="s">
        <v>639</v>
      </c>
      <c r="K65" t="s">
        <v>47</v>
      </c>
      <c r="L65" s="63">
        <v>0.51300000000000001</v>
      </c>
      <c r="M65">
        <f t="shared" si="1"/>
        <v>0.51300000000000001</v>
      </c>
      <c r="N65" t="s">
        <v>716</v>
      </c>
      <c r="O65">
        <f>+M65*'4.1 Ref_Cart'!E12</f>
        <v>2.9091459679514378</v>
      </c>
    </row>
    <row r="66" spans="2:17" x14ac:dyDescent="0.25">
      <c r="B66" s="296"/>
      <c r="C66" t="s">
        <v>587</v>
      </c>
      <c r="D66" s="298">
        <v>0.10100000000000001</v>
      </c>
      <c r="E66" s="299">
        <v>4.7E-2</v>
      </c>
      <c r="G66" s="297">
        <f t="shared" si="2"/>
        <v>21159.5</v>
      </c>
      <c r="I66" s="292" t="s">
        <v>45</v>
      </c>
      <c r="J66" s="310">
        <v>0.28962955526553558</v>
      </c>
      <c r="K66" t="s">
        <v>717</v>
      </c>
      <c r="L66" s="63">
        <v>4.7E-2</v>
      </c>
      <c r="M66">
        <f t="shared" si="1"/>
        <v>4.7E-2</v>
      </c>
      <c r="N66" t="s">
        <v>716</v>
      </c>
      <c r="O66">
        <f>+L66*'4.1 Ref_Cart'!F13</f>
        <v>4.1235476325416265</v>
      </c>
      <c r="Q66">
        <f>+SUM(O64:O66)</f>
        <v>8.8878463600886342</v>
      </c>
    </row>
    <row r="67" spans="2:17" x14ac:dyDescent="0.25">
      <c r="B67" s="296"/>
      <c r="C67" t="s">
        <v>569</v>
      </c>
      <c r="D67" s="298">
        <v>0.29599999999999999</v>
      </c>
      <c r="E67" s="299">
        <v>9.1999999999999998E-2</v>
      </c>
      <c r="G67" s="297">
        <f t="shared" si="2"/>
        <v>62012</v>
      </c>
      <c r="I67" s="292" t="s">
        <v>47</v>
      </c>
      <c r="J67" s="310">
        <v>0.25690191747816488</v>
      </c>
      <c r="K67" t="s">
        <v>569</v>
      </c>
      <c r="L67" s="63">
        <v>9.1999999999999998E-2</v>
      </c>
      <c r="M67">
        <f>+$M$68*L67</f>
        <v>9.1999999999999998E-2</v>
      </c>
      <c r="N67" t="s">
        <v>716</v>
      </c>
    </row>
    <row r="68" spans="2:17" x14ac:dyDescent="0.25">
      <c r="B68" s="296"/>
      <c r="D68" s="298">
        <f>+SUM(D64:D67)</f>
        <v>1</v>
      </c>
      <c r="E68" s="299">
        <f>+SUM(E64:E67)</f>
        <v>1</v>
      </c>
      <c r="G68" s="297"/>
      <c r="I68" s="292" t="s">
        <v>48</v>
      </c>
      <c r="J68" s="310">
        <v>8.7340628450958732E-2</v>
      </c>
      <c r="L68" s="289">
        <v>1</v>
      </c>
      <c r="M68">
        <v>1</v>
      </c>
      <c r="N68" t="s">
        <v>716</v>
      </c>
      <c r="O68">
        <f>+M68*'4.1 Ref_Cart'!E8</f>
        <v>6.0871741676095334</v>
      </c>
    </row>
    <row r="69" spans="2:17" x14ac:dyDescent="0.25">
      <c r="B69" s="307" t="s">
        <v>592</v>
      </c>
      <c r="D69" s="19" t="s">
        <v>574</v>
      </c>
      <c r="E69" t="s">
        <v>578</v>
      </c>
      <c r="G69" s="297"/>
      <c r="I69" s="1" t="s">
        <v>49</v>
      </c>
      <c r="J69" s="309">
        <v>4.6280493926312651E-2</v>
      </c>
    </row>
    <row r="70" spans="2:17" x14ac:dyDescent="0.25">
      <c r="B70" s="296"/>
      <c r="C70" t="s">
        <v>590</v>
      </c>
      <c r="D70" s="298">
        <v>0.28000000000000003</v>
      </c>
      <c r="E70" s="299">
        <v>0.34799999999999998</v>
      </c>
      <c r="G70" s="297"/>
      <c r="I70" s="1" t="s">
        <v>50</v>
      </c>
      <c r="J70" s="309">
        <v>0.29294247565505466</v>
      </c>
    </row>
    <row r="71" spans="2:17" x14ac:dyDescent="0.25">
      <c r="B71" s="296"/>
      <c r="C71" t="s">
        <v>86</v>
      </c>
      <c r="D71" s="298">
        <v>0.28100000000000003</v>
      </c>
      <c r="E71" s="299">
        <v>0.56100000000000005</v>
      </c>
      <c r="G71" s="297"/>
      <c r="I71" s="1" t="s">
        <v>516</v>
      </c>
      <c r="J71" s="309">
        <v>2.6904929223973497E-2</v>
      </c>
      <c r="L71" s="289">
        <f>+SUM(J69:J71)</f>
        <v>0.3661278988053408</v>
      </c>
    </row>
    <row r="72" spans="2:17" x14ac:dyDescent="0.25">
      <c r="B72" s="296"/>
      <c r="C72" t="s">
        <v>587</v>
      </c>
      <c r="D72" s="298">
        <v>9.8000000000000004E-2</v>
      </c>
      <c r="E72" s="299">
        <v>5.8000000000000003E-2</v>
      </c>
      <c r="G72" s="297"/>
    </row>
    <row r="73" spans="2:17" x14ac:dyDescent="0.25">
      <c r="B73" s="296"/>
      <c r="C73" t="s">
        <v>569</v>
      </c>
      <c r="D73" s="298">
        <v>0.32</v>
      </c>
      <c r="E73" s="299">
        <v>7.0000000000000007E-2</v>
      </c>
      <c r="G73" s="297"/>
    </row>
    <row r="74" spans="2:17" x14ac:dyDescent="0.25">
      <c r="B74" s="296"/>
      <c r="D74" s="298">
        <f>+SUM(D70:D73)</f>
        <v>0.97900000000000009</v>
      </c>
      <c r="E74" s="299">
        <f>+SUM(E70:E73)</f>
        <v>1.0370000000000001</v>
      </c>
      <c r="G74" s="297"/>
    </row>
    <row r="75" spans="2:17" x14ac:dyDescent="0.25">
      <c r="B75" s="307" t="s">
        <v>597</v>
      </c>
      <c r="D75" s="19" t="s">
        <v>574</v>
      </c>
      <c r="E75" t="s">
        <v>578</v>
      </c>
      <c r="G75" s="297"/>
      <c r="J75" s="289">
        <f>+SUM(J66:J70)</f>
        <v>0.97309507077602642</v>
      </c>
    </row>
    <row r="76" spans="2:17" x14ac:dyDescent="0.25">
      <c r="B76" s="296"/>
      <c r="C76" t="s">
        <v>85</v>
      </c>
      <c r="D76" s="265">
        <v>0.32400000000000001</v>
      </c>
      <c r="G76" s="297"/>
    </row>
    <row r="77" spans="2:17" x14ac:dyDescent="0.25">
      <c r="B77" s="296"/>
      <c r="C77" t="s">
        <v>86</v>
      </c>
      <c r="D77" s="265">
        <v>0.32900000000000001</v>
      </c>
      <c r="G77" s="297"/>
    </row>
    <row r="78" spans="2:17" x14ac:dyDescent="0.25">
      <c r="B78" s="296"/>
      <c r="C78" t="s">
        <v>587</v>
      </c>
      <c r="D78" s="265">
        <v>9.9000000000000005E-2</v>
      </c>
      <c r="G78" s="297"/>
    </row>
    <row r="79" spans="2:17" x14ac:dyDescent="0.25">
      <c r="B79" s="296"/>
      <c r="C79" t="s">
        <v>599</v>
      </c>
      <c r="D79" s="265">
        <v>0.248</v>
      </c>
      <c r="G79" s="297"/>
    </row>
    <row r="80" spans="2:17" x14ac:dyDescent="0.25">
      <c r="B80" s="300"/>
      <c r="C80" s="152"/>
      <c r="D80" s="301">
        <f>+SUM(D76:D79)</f>
        <v>1</v>
      </c>
      <c r="E80" s="152"/>
      <c r="F80" s="152"/>
      <c r="G80" s="302"/>
    </row>
    <row r="81" spans="2:5" x14ac:dyDescent="0.25">
      <c r="B81" s="142" t="s">
        <v>597</v>
      </c>
      <c r="C81" s="292" t="s">
        <v>600</v>
      </c>
      <c r="D81" s="19" t="s">
        <v>574</v>
      </c>
      <c r="E81" t="s">
        <v>578</v>
      </c>
    </row>
    <row r="82" spans="2:5" x14ac:dyDescent="0.25">
      <c r="C82" t="s">
        <v>85</v>
      </c>
      <c r="D82" s="289">
        <v>0.24</v>
      </c>
      <c r="E82" s="289">
        <v>0.19</v>
      </c>
    </row>
    <row r="83" spans="2:5" ht="15.75" customHeight="1" x14ac:dyDescent="0.25">
      <c r="C83" t="s">
        <v>86</v>
      </c>
      <c r="D83" s="289">
        <v>0.28999999999999998</v>
      </c>
      <c r="E83" s="289">
        <v>0.52</v>
      </c>
    </row>
    <row r="84" spans="2:5" ht="15.75" customHeight="1" x14ac:dyDescent="0.25">
      <c r="C84" t="s">
        <v>587</v>
      </c>
      <c r="D84" s="289">
        <v>0.09</v>
      </c>
      <c r="E84" s="289">
        <v>7.0000000000000007E-2</v>
      </c>
    </row>
    <row r="85" spans="2:5" ht="15.75" customHeight="1" x14ac:dyDescent="0.25">
      <c r="C85" t="s">
        <v>49</v>
      </c>
      <c r="D85" s="289">
        <v>0.01</v>
      </c>
      <c r="E85" s="289">
        <v>0.01</v>
      </c>
    </row>
    <row r="86" spans="2:5" ht="15.75" customHeight="1" x14ac:dyDescent="0.25">
      <c r="D86" s="265">
        <f>+SUM(D82:D85)</f>
        <v>0.63</v>
      </c>
      <c r="E86" s="289">
        <f>+SUM(E82:E85)</f>
        <v>0.79</v>
      </c>
    </row>
    <row r="90" spans="2:5" x14ac:dyDescent="0.25">
      <c r="B90" s="142" t="s">
        <v>583</v>
      </c>
    </row>
    <row r="91" spans="2:5" x14ac:dyDescent="0.25">
      <c r="C91" s="22"/>
      <c r="D91" s="22" t="s">
        <v>605</v>
      </c>
      <c r="E91" s="22"/>
    </row>
    <row r="92" spans="2:5" x14ac:dyDescent="0.25">
      <c r="C92" s="22" t="s">
        <v>606</v>
      </c>
      <c r="D92" s="295" t="s">
        <v>607</v>
      </c>
      <c r="E92" s="22" t="s">
        <v>608</v>
      </c>
    </row>
    <row r="93" spans="2:5" x14ac:dyDescent="0.25">
      <c r="C93" s="22" t="s">
        <v>609</v>
      </c>
      <c r="D93" s="295">
        <v>0.307</v>
      </c>
      <c r="E93" s="295">
        <v>0.43</v>
      </c>
    </row>
    <row r="94" spans="2:5" x14ac:dyDescent="0.25">
      <c r="C94" s="22" t="s">
        <v>610</v>
      </c>
      <c r="D94" s="295">
        <v>0.29599999999999999</v>
      </c>
      <c r="E94" s="295">
        <v>0.33600000000000002</v>
      </c>
    </row>
    <row r="95" spans="2:5" x14ac:dyDescent="0.25">
      <c r="C95" s="22" t="s">
        <v>611</v>
      </c>
      <c r="D95" s="295">
        <v>0.10100000000000001</v>
      </c>
      <c r="E95" s="295">
        <v>0.114</v>
      </c>
    </row>
    <row r="96" spans="2:5" x14ac:dyDescent="0.25">
      <c r="C96" s="22" t="s">
        <v>569</v>
      </c>
      <c r="D96" s="294">
        <v>0.29599999999999999</v>
      </c>
      <c r="E96" s="294">
        <v>0.12</v>
      </c>
    </row>
    <row r="100" spans="2:4" x14ac:dyDescent="0.25">
      <c r="B100" s="142" t="s">
        <v>597</v>
      </c>
      <c r="C100" s="142"/>
      <c r="D100" t="s">
        <v>596</v>
      </c>
    </row>
    <row r="101" spans="2:4" x14ac:dyDescent="0.25">
      <c r="C101" t="s">
        <v>590</v>
      </c>
      <c r="D101" s="265">
        <v>0.60299999999999998</v>
      </c>
    </row>
    <row r="102" spans="2:4" x14ac:dyDescent="0.25">
      <c r="C102" t="s">
        <v>86</v>
      </c>
      <c r="D102" s="265">
        <v>0.57799999999999996</v>
      </c>
    </row>
    <row r="103" spans="2:4" x14ac:dyDescent="0.25">
      <c r="C103" t="s">
        <v>587</v>
      </c>
      <c r="D103" s="289">
        <v>0.64</v>
      </c>
    </row>
    <row r="104" spans="2:4" x14ac:dyDescent="0.25">
      <c r="C104" t="s">
        <v>598</v>
      </c>
      <c r="D104" s="289">
        <v>0.7</v>
      </c>
    </row>
  </sheetData>
  <mergeCells count="3">
    <mergeCell ref="D5:F5"/>
    <mergeCell ref="B7:B8"/>
    <mergeCell ref="B45:B50"/>
  </mergeCell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67A5B-B850-4418-AFD1-5785400287E8}">
  <dimension ref="A1:Y197"/>
  <sheetViews>
    <sheetView showGridLines="0" zoomScale="115" zoomScaleNormal="115" workbookViewId="0">
      <selection activeCell="P159" sqref="P159"/>
    </sheetView>
  </sheetViews>
  <sheetFormatPr baseColWidth="10" defaultRowHeight="15" x14ac:dyDescent="0.25"/>
  <cols>
    <col min="1" max="1" width="6.7109375" customWidth="1"/>
    <col min="2" max="2" width="15.42578125" customWidth="1"/>
    <col min="3" max="3" width="18.7109375" customWidth="1"/>
    <col min="4" max="4" width="34.5703125"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618</v>
      </c>
      <c r="D1">
        <v>119.96</v>
      </c>
      <c r="E1" t="s">
        <v>325</v>
      </c>
    </row>
    <row r="2" spans="3:21" x14ac:dyDescent="0.25">
      <c r="C2" t="s">
        <v>618</v>
      </c>
      <c r="D2">
        <v>142500</v>
      </c>
      <c r="E2" t="s">
        <v>635</v>
      </c>
      <c r="F2">
        <v>1.4250000000000001E-7</v>
      </c>
      <c r="G2" t="s">
        <v>636</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560" t="s">
        <v>613</v>
      </c>
      <c r="M7" s="595"/>
      <c r="N7" s="595"/>
      <c r="O7" s="595"/>
      <c r="P7" s="595"/>
      <c r="Q7" s="595"/>
      <c r="R7" s="595"/>
      <c r="S7" s="595"/>
      <c r="T7" s="595"/>
      <c r="U7" s="561"/>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600" t="s">
        <v>723</v>
      </c>
      <c r="O9" s="601"/>
      <c r="P9" s="602"/>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658</v>
      </c>
      <c r="P10" s="359" t="s">
        <v>659</v>
      </c>
      <c r="R10" s="596"/>
      <c r="S10" s="596"/>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615</v>
      </c>
      <c r="O11" s="321">
        <f>100%-'4. Refinery''s Data'!E15</f>
        <v>0.7</v>
      </c>
      <c r="P11" s="360">
        <v>0.7</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616</v>
      </c>
      <c r="O12" s="597"/>
      <c r="P12" s="360"/>
      <c r="R12" s="19"/>
      <c r="S12" s="599"/>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617</v>
      </c>
      <c r="O13" s="598"/>
      <c r="P13" s="362"/>
      <c r="R13" s="19"/>
      <c r="S13" s="596"/>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519</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516</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482</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153</v>
      </c>
      <c r="R21" s="319" t="s">
        <v>31</v>
      </c>
      <c r="T21" s="323"/>
    </row>
    <row r="22" spans="1:22" x14ac:dyDescent="0.25">
      <c r="A22" s="417" t="s">
        <v>46</v>
      </c>
      <c r="B22" s="417"/>
      <c r="C22" s="464" t="s">
        <v>619</v>
      </c>
      <c r="D22" s="417" t="s">
        <v>620</v>
      </c>
      <c r="E22" s="417" t="s">
        <v>9</v>
      </c>
      <c r="F22" s="417" t="s">
        <v>42</v>
      </c>
      <c r="G22" s="418"/>
      <c r="N22" s="320" t="str">
        <f>+C22</f>
        <v>MIX-OIL-REF1</v>
      </c>
      <c r="O22" s="22" t="str">
        <f>+C10</f>
        <v>HOIL</v>
      </c>
      <c r="P22" s="320" t="s">
        <v>621</v>
      </c>
      <c r="Q22" s="321">
        <f>+O11</f>
        <v>0.7</v>
      </c>
      <c r="R22" s="322">
        <v>1</v>
      </c>
      <c r="T22" s="323"/>
      <c r="U22" s="342"/>
      <c r="V22" s="342"/>
    </row>
    <row r="23" spans="1:22" x14ac:dyDescent="0.25">
      <c r="A23" s="417"/>
      <c r="B23" s="417"/>
      <c r="C23" s="465" t="s">
        <v>629</v>
      </c>
      <c r="D23" s="418" t="s">
        <v>688</v>
      </c>
      <c r="E23" s="417" t="s">
        <v>9</v>
      </c>
      <c r="F23" s="417" t="s">
        <v>42</v>
      </c>
      <c r="G23" s="418"/>
      <c r="I23" s="341"/>
      <c r="N23" s="320"/>
      <c r="O23" s="320" t="str">
        <f>+C9</f>
        <v>MOIL</v>
      </c>
      <c r="P23" s="320"/>
      <c r="Q23" s="321"/>
      <c r="R23" s="320"/>
      <c r="T23" s="323"/>
      <c r="U23" s="72"/>
      <c r="V23" s="72"/>
    </row>
    <row r="24" spans="1:22" x14ac:dyDescent="0.25">
      <c r="A24" s="417"/>
      <c r="B24" s="417"/>
      <c r="C24" s="466" t="s">
        <v>692</v>
      </c>
      <c r="D24" s="418" t="s">
        <v>693</v>
      </c>
      <c r="E24" s="417" t="s">
        <v>9</v>
      </c>
      <c r="F24" s="417" t="s">
        <v>42</v>
      </c>
      <c r="G24" s="418"/>
      <c r="N24" s="22"/>
      <c r="O24" s="320" t="str">
        <f>+C8</f>
        <v>LOIL</v>
      </c>
      <c r="P24" s="22"/>
      <c r="Q24" s="22"/>
      <c r="R24" s="22"/>
      <c r="T24" s="323"/>
      <c r="U24" s="343"/>
      <c r="V24" s="343"/>
    </row>
    <row r="25" spans="1:22" x14ac:dyDescent="0.25">
      <c r="A25" s="417"/>
      <c r="B25" s="417"/>
      <c r="C25" s="464" t="s">
        <v>694</v>
      </c>
      <c r="D25" s="418" t="s">
        <v>695</v>
      </c>
      <c r="E25" s="1" t="s">
        <v>9</v>
      </c>
      <c r="F25" s="1" t="s">
        <v>42</v>
      </c>
      <c r="G25" s="418"/>
      <c r="T25" s="323"/>
      <c r="U25" s="72"/>
      <c r="V25" s="72"/>
    </row>
    <row r="26" spans="1:22" x14ac:dyDescent="0.25">
      <c r="A26" s="418"/>
      <c r="B26" s="418"/>
      <c r="C26" s="71" t="s">
        <v>783</v>
      </c>
      <c r="D26" t="s">
        <v>696</v>
      </c>
      <c r="E26" s="1" t="s">
        <v>9</v>
      </c>
      <c r="F26" s="1" t="s">
        <v>42</v>
      </c>
      <c r="G26" s="418"/>
    </row>
    <row r="27" spans="1:22" x14ac:dyDescent="0.25">
      <c r="A27" s="418"/>
      <c r="B27" s="418"/>
      <c r="C27" s="71" t="s">
        <v>746</v>
      </c>
      <c r="D27" t="s">
        <v>763</v>
      </c>
      <c r="E27" t="s">
        <v>9</v>
      </c>
      <c r="F27" s="463" t="s">
        <v>42</v>
      </c>
      <c r="G27" s="418"/>
    </row>
    <row r="28" spans="1:22" x14ac:dyDescent="0.25">
      <c r="A28" s="418"/>
      <c r="B28" s="418"/>
      <c r="C28" s="467" t="s">
        <v>762</v>
      </c>
      <c r="D28" s="418" t="s">
        <v>764</v>
      </c>
      <c r="E28" s="418" t="s">
        <v>9</v>
      </c>
      <c r="F28" s="463" t="s">
        <v>42</v>
      </c>
      <c r="G28" s="418"/>
      <c r="L28" s="560" t="s">
        <v>668</v>
      </c>
      <c r="M28" s="595"/>
      <c r="N28" s="595"/>
      <c r="O28" s="595"/>
      <c r="P28" s="595"/>
      <c r="Q28" s="595"/>
      <c r="R28" s="595"/>
      <c r="S28" s="595"/>
      <c r="T28" s="595"/>
      <c r="U28" s="561"/>
    </row>
    <row r="29" spans="1:22" x14ac:dyDescent="0.25">
      <c r="A29" s="418"/>
      <c r="B29" s="418"/>
      <c r="C29" s="417"/>
      <c r="D29" s="417"/>
      <c r="E29" s="417"/>
      <c r="F29" s="417"/>
      <c r="G29" s="418"/>
      <c r="L29" s="148"/>
      <c r="U29" s="297"/>
    </row>
    <row r="30" spans="1:22" x14ac:dyDescent="0.25">
      <c r="A30" s="418"/>
      <c r="B30" s="418"/>
      <c r="C30" s="417"/>
      <c r="D30" s="417"/>
      <c r="E30" s="417"/>
      <c r="F30" s="417"/>
      <c r="G30" s="418"/>
      <c r="L30" s="148"/>
      <c r="U30" s="297"/>
    </row>
    <row r="31" spans="1:22" x14ac:dyDescent="0.25">
      <c r="A31" s="418"/>
      <c r="B31" s="418"/>
      <c r="F31" s="417"/>
      <c r="G31" s="418"/>
      <c r="L31" s="148"/>
      <c r="N31" s="356" t="s">
        <v>630</v>
      </c>
      <c r="O31" s="356" t="s">
        <v>250</v>
      </c>
      <c r="P31" s="356" t="s">
        <v>660</v>
      </c>
      <c r="R31" s="20" t="s">
        <v>715</v>
      </c>
      <c r="S31" s="20" t="s">
        <v>661</v>
      </c>
      <c r="U31" s="297"/>
    </row>
    <row r="32" spans="1:22" x14ac:dyDescent="0.25">
      <c r="A32" s="418"/>
      <c r="B32" s="418"/>
      <c r="F32" s="418"/>
      <c r="G32" s="418"/>
      <c r="L32" s="148"/>
      <c r="N32" s="341" t="s">
        <v>631</v>
      </c>
      <c r="O32">
        <v>165</v>
      </c>
      <c r="P32" s="371">
        <f>+O32*365*E8/1000</f>
        <v>366.60006424428417</v>
      </c>
      <c r="Q32" s="371" t="s">
        <v>9</v>
      </c>
      <c r="U32" s="297"/>
    </row>
    <row r="33" spans="1:21" x14ac:dyDescent="0.25">
      <c r="A33" s="418"/>
      <c r="B33" s="418"/>
      <c r="C33" s="418"/>
      <c r="D33" s="418"/>
      <c r="E33" s="418"/>
      <c r="F33" s="418"/>
      <c r="G33" s="418"/>
      <c r="L33" s="148"/>
      <c r="N33" s="341" t="s">
        <v>706</v>
      </c>
      <c r="O33" s="75">
        <f>(874275+499)/1000</f>
        <v>874.774</v>
      </c>
      <c r="P33" s="371">
        <f>+O33*0.0036</f>
        <v>3.1491864000000001</v>
      </c>
      <c r="Q33" s="372" t="s">
        <v>9</v>
      </c>
      <c r="R33" s="323">
        <f>+ROUND(P33/P32,4)</f>
        <v>8.6E-3</v>
      </c>
      <c r="S33" s="71" t="str">
        <f>+ROUND(O33/(365*O32),4)&amp;" Gwh per kbl oil"</f>
        <v>0,0145 Gwh per kbl oil</v>
      </c>
      <c r="U33" s="297"/>
    </row>
    <row r="34" spans="1:21" x14ac:dyDescent="0.25">
      <c r="A34" s="423" t="s">
        <v>20</v>
      </c>
      <c r="B34" s="423"/>
      <c r="C34" s="424"/>
      <c r="D34" s="424"/>
      <c r="E34" s="424"/>
      <c r="F34" s="418"/>
      <c r="G34" s="418"/>
      <c r="L34" s="148"/>
      <c r="N34" s="341" t="s">
        <v>632</v>
      </c>
      <c r="O34">
        <f>+(0.17+0.035)*365</f>
        <v>74.825000000000003</v>
      </c>
      <c r="P34" s="371">
        <f>+O34*0.041868</f>
        <v>3.1327731000000001</v>
      </c>
      <c r="Q34" s="372" t="s">
        <v>9</v>
      </c>
      <c r="R34" s="323">
        <f>+ROUND(P34/P32,4)</f>
        <v>8.5000000000000006E-3</v>
      </c>
      <c r="S34" s="71" t="str">
        <f>+ROUND(O34/(365*O32),4)&amp;" kt H2 per kbl oil"</f>
        <v>0,0012 kt H2 per kbl oil</v>
      </c>
      <c r="U34" s="297"/>
    </row>
    <row r="35" spans="1:21" x14ac:dyDescent="0.25">
      <c r="A35" s="420" t="s">
        <v>21</v>
      </c>
      <c r="B35" s="421" t="s">
        <v>22</v>
      </c>
      <c r="C35" s="421" t="s">
        <v>2</v>
      </c>
      <c r="D35" s="421" t="s">
        <v>23</v>
      </c>
      <c r="E35" s="422" t="s">
        <v>24</v>
      </c>
      <c r="F35" s="418"/>
      <c r="G35" s="418"/>
      <c r="L35" s="148"/>
      <c r="N35" s="341"/>
      <c r="O35" s="72"/>
      <c r="U35" s="297"/>
    </row>
    <row r="36" spans="1:21" x14ac:dyDescent="0.25">
      <c r="A36" s="425" t="s">
        <v>82</v>
      </c>
      <c r="B36" s="425"/>
      <c r="C36" s="417" t="s">
        <v>621</v>
      </c>
      <c r="D36" s="417" t="s">
        <v>622</v>
      </c>
      <c r="E36" s="417" t="s">
        <v>9</v>
      </c>
      <c r="F36" s="418"/>
      <c r="G36" s="418"/>
      <c r="L36" s="148"/>
      <c r="N36" s="440" t="s">
        <v>713</v>
      </c>
      <c r="O36" s="441"/>
      <c r="P36" s="441">
        <f>+O135</f>
        <v>1.8895118399999999</v>
      </c>
      <c r="Q36" s="438" t="s">
        <v>9</v>
      </c>
      <c r="R36" s="72">
        <f>+O135/P85</f>
        <v>5.4866761516362177E-3</v>
      </c>
      <c r="S36" t="s">
        <v>714</v>
      </c>
      <c r="U36" s="297"/>
    </row>
    <row r="37" spans="1:21" x14ac:dyDescent="0.25">
      <c r="A37" s="417"/>
      <c r="B37" s="417"/>
      <c r="C37" t="s">
        <v>634</v>
      </c>
      <c r="D37" t="s">
        <v>689</v>
      </c>
      <c r="E37" t="s">
        <v>9</v>
      </c>
      <c r="F37" s="418"/>
      <c r="G37" s="418"/>
      <c r="L37" s="151"/>
      <c r="M37" s="152"/>
      <c r="N37" s="152"/>
      <c r="O37" s="152"/>
      <c r="P37" s="152"/>
      <c r="Q37" s="152"/>
      <c r="R37" s="152"/>
      <c r="S37" s="152"/>
      <c r="T37" s="152"/>
      <c r="U37" s="302"/>
    </row>
    <row r="38" spans="1:21" x14ac:dyDescent="0.25">
      <c r="A38" s="417"/>
      <c r="B38" s="418"/>
      <c r="C38" t="s">
        <v>690</v>
      </c>
      <c r="D38" t="s">
        <v>691</v>
      </c>
      <c r="E38" t="s">
        <v>9</v>
      </c>
      <c r="F38" s="418"/>
      <c r="G38" s="418"/>
    </row>
    <row r="39" spans="1:21" x14ac:dyDescent="0.25">
      <c r="A39" s="417"/>
      <c r="B39" s="418"/>
      <c r="C39" s="71" t="s">
        <v>710</v>
      </c>
      <c r="D39" t="s">
        <v>711</v>
      </c>
      <c r="E39" t="s">
        <v>9</v>
      </c>
      <c r="F39" s="418"/>
      <c r="G39" s="418"/>
      <c r="N39" s="344" t="s">
        <v>633</v>
      </c>
      <c r="O39" s="345"/>
      <c r="P39" s="346"/>
    </row>
    <row r="40" spans="1:21" x14ac:dyDescent="0.25">
      <c r="C40" s="71" t="s">
        <v>760</v>
      </c>
      <c r="D40" s="71" t="s">
        <v>748</v>
      </c>
      <c r="E40" s="463" t="s">
        <v>9</v>
      </c>
      <c r="G40" s="418"/>
      <c r="N40" s="374" t="s">
        <v>11</v>
      </c>
      <c r="O40" s="340" t="s">
        <v>12</v>
      </c>
      <c r="P40" s="375" t="s">
        <v>175</v>
      </c>
    </row>
    <row r="41" spans="1:21" x14ac:dyDescent="0.25">
      <c r="A41" s="417"/>
      <c r="B41" s="417"/>
      <c r="C41" s="71" t="s">
        <v>761</v>
      </c>
      <c r="D41" s="71" t="s">
        <v>749</v>
      </c>
      <c r="E41" s="463" t="s">
        <v>9</v>
      </c>
      <c r="G41" s="418"/>
      <c r="N41" s="347" t="str">
        <f>+C23</f>
        <v>REF1</v>
      </c>
      <c r="O41" s="348" t="str">
        <f>+P22</f>
        <v>OIL-REF1</v>
      </c>
      <c r="P41" s="442">
        <f>1/(1+R33+R34+R36)</f>
        <v>0.9779122135283066</v>
      </c>
      <c r="T41" s="265"/>
    </row>
    <row r="42" spans="1:21" x14ac:dyDescent="0.25">
      <c r="A42" s="417"/>
      <c r="B42" s="417"/>
      <c r="C42" s="418"/>
      <c r="D42" s="418"/>
      <c r="E42" s="418"/>
      <c r="F42" s="418"/>
      <c r="G42" s="418"/>
      <c r="N42" s="349"/>
      <c r="O42" s="350" t="str">
        <f>+C38</f>
        <v>H2-REF1</v>
      </c>
      <c r="P42" s="442">
        <f>R34/(1+R33+R34+R36)</f>
        <v>8.3122538149906066E-3</v>
      </c>
    </row>
    <row r="43" spans="1:21" x14ac:dyDescent="0.25">
      <c r="A43" s="417"/>
      <c r="B43" s="417"/>
      <c r="C43" s="417"/>
      <c r="D43" s="417"/>
      <c r="E43" s="417"/>
      <c r="F43" s="418"/>
      <c r="G43" s="418"/>
      <c r="N43" s="1"/>
      <c r="O43" s="357" t="str">
        <f>+C37</f>
        <v>ELC-REF1</v>
      </c>
      <c r="P43" s="442">
        <f>R33/(1+R33+R34+R36)</f>
        <v>8.4100450363434366E-3</v>
      </c>
    </row>
    <row r="44" spans="1:21" x14ac:dyDescent="0.25">
      <c r="B44" s="344" t="s">
        <v>0</v>
      </c>
      <c r="C44" s="345"/>
      <c r="D44" s="346"/>
      <c r="E44" s="417"/>
      <c r="N44" s="1"/>
      <c r="O44" s="438" t="str">
        <f>+O159</f>
        <v>STEAM-DRM-REF1</v>
      </c>
      <c r="P44" s="442">
        <f>R36/(1+R33+R34+R36)</f>
        <v>5.3654876203595445E-3</v>
      </c>
    </row>
    <row r="45" spans="1:21" x14ac:dyDescent="0.25">
      <c r="B45" s="451" t="s">
        <v>11</v>
      </c>
      <c r="C45" s="451" t="s">
        <v>12</v>
      </c>
      <c r="D45" s="451" t="s">
        <v>13</v>
      </c>
      <c r="E45" s="451" t="s">
        <v>31</v>
      </c>
    </row>
    <row r="46" spans="1:21" x14ac:dyDescent="0.25">
      <c r="B46" s="320" t="str">
        <f>+C27</f>
        <v>FTE-GAS-REF1</v>
      </c>
      <c r="C46" s="320" t="s">
        <v>51</v>
      </c>
      <c r="D46" s="320" t="str">
        <f>+C40</f>
        <v>GAS-REF1</v>
      </c>
      <c r="E46" s="285">
        <v>1</v>
      </c>
      <c r="P46" s="373">
        <f>+SUM(P41:P44)</f>
        <v>1.0000000000000002</v>
      </c>
    </row>
    <row r="47" spans="1:21" x14ac:dyDescent="0.25">
      <c r="B47" s="320" t="str">
        <f>+C28</f>
        <v>FTE-HFO-REF1</v>
      </c>
      <c r="C47" s="320" t="s">
        <v>50</v>
      </c>
      <c r="D47" s="320" t="str">
        <f>+C41</f>
        <v>HFO-REF1</v>
      </c>
      <c r="E47" s="322">
        <v>1</v>
      </c>
      <c r="F47" s="1"/>
      <c r="G47" s="1"/>
      <c r="H47" s="1"/>
      <c r="I47" s="1"/>
    </row>
    <row r="48" spans="1:21" x14ac:dyDescent="0.25">
      <c r="B48" s="1"/>
      <c r="C48" s="1"/>
      <c r="D48" s="1"/>
      <c r="E48" s="1"/>
      <c r="F48" s="1"/>
      <c r="G48" s="1"/>
      <c r="H48" s="1"/>
      <c r="I48" s="1"/>
      <c r="L48" s="560" t="s">
        <v>667</v>
      </c>
      <c r="M48" s="595"/>
      <c r="N48" s="595"/>
      <c r="O48" s="595"/>
      <c r="P48" s="595"/>
      <c r="Q48" s="595"/>
      <c r="R48" s="595"/>
      <c r="S48" s="595"/>
      <c r="T48" s="595"/>
      <c r="U48" s="561"/>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663</v>
      </c>
      <c r="N50" s="356" t="s">
        <v>647</v>
      </c>
      <c r="O50" s="356" t="s">
        <v>642</v>
      </c>
      <c r="U50" s="297"/>
    </row>
    <row r="51" spans="2:21" x14ac:dyDescent="0.25">
      <c r="B51" s="1"/>
      <c r="C51" s="1"/>
      <c r="D51" s="1"/>
      <c r="E51" s="1"/>
      <c r="F51" s="1"/>
      <c r="G51" s="1"/>
      <c r="H51" s="1"/>
      <c r="I51" s="1"/>
      <c r="L51" s="148"/>
      <c r="M51" s="19" t="s">
        <v>607</v>
      </c>
      <c r="N51" s="22">
        <v>165</v>
      </c>
      <c r="O51" s="22">
        <v>23.978999999999999</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637</v>
      </c>
      <c r="N54" s="356" t="s">
        <v>647</v>
      </c>
      <c r="O54" s="356" t="s">
        <v>642</v>
      </c>
      <c r="P54" s="356" t="s">
        <v>664</v>
      </c>
      <c r="Q54" s="356" t="s">
        <v>665</v>
      </c>
      <c r="S54" s="353"/>
      <c r="T54" s="353"/>
      <c r="U54" s="354"/>
    </row>
    <row r="55" spans="2:21" x14ac:dyDescent="0.25">
      <c r="B55" s="1"/>
      <c r="C55" s="1"/>
      <c r="D55" s="1"/>
      <c r="E55" s="1"/>
      <c r="F55" s="1"/>
      <c r="G55" s="1"/>
      <c r="H55" s="1"/>
      <c r="I55" s="1"/>
      <c r="L55" s="148"/>
      <c r="M55" s="323" t="s">
        <v>85</v>
      </c>
      <c r="N55" s="19">
        <v>36.799999999999997</v>
      </c>
      <c r="O55" s="364">
        <v>4.2300000000000004</v>
      </c>
      <c r="P55" s="365">
        <f t="shared" ref="P55:P61" si="0">+O55/$O$63</f>
        <v>0.19905882352941179</v>
      </c>
      <c r="Q55" s="299">
        <f>+N55/$N$63</f>
        <v>0.2292834890965732</v>
      </c>
      <c r="R55" s="323"/>
      <c r="S55" s="353"/>
      <c r="T55" s="323"/>
      <c r="U55" s="297"/>
    </row>
    <row r="56" spans="2:21" x14ac:dyDescent="0.25">
      <c r="B56" s="1"/>
      <c r="C56" s="1"/>
      <c r="D56" s="1"/>
      <c r="E56" s="1"/>
      <c r="F56" s="1"/>
      <c r="G56" s="1"/>
      <c r="H56" s="1"/>
      <c r="I56" s="1"/>
      <c r="L56" s="148"/>
      <c r="M56" s="323" t="s">
        <v>638</v>
      </c>
      <c r="N56" s="19">
        <v>94</v>
      </c>
      <c r="O56" s="364">
        <v>12.75</v>
      </c>
      <c r="P56" s="365">
        <f t="shared" si="0"/>
        <v>0.6</v>
      </c>
      <c r="Q56" s="299">
        <f t="shared" ref="Q56:Q60" si="1">+N56/$N$63</f>
        <v>0.58566978193146413</v>
      </c>
      <c r="R56" s="323"/>
      <c r="S56" s="323"/>
      <c r="T56" s="323"/>
      <c r="U56" s="297"/>
    </row>
    <row r="57" spans="2:21" x14ac:dyDescent="0.25">
      <c r="B57" s="1"/>
      <c r="C57" s="1"/>
      <c r="D57" s="1"/>
      <c r="E57" s="1"/>
      <c r="F57" s="1"/>
      <c r="G57" s="1"/>
      <c r="H57" s="1"/>
      <c r="I57" s="1"/>
      <c r="L57" s="148"/>
      <c r="M57" s="323" t="s">
        <v>87</v>
      </c>
      <c r="N57" s="19">
        <v>10.199999999999999</v>
      </c>
      <c r="O57" s="364">
        <v>1.33</v>
      </c>
      <c r="P57" s="365">
        <f t="shared" si="0"/>
        <v>6.2588235294117653E-2</v>
      </c>
      <c r="Q57" s="299">
        <f t="shared" si="1"/>
        <v>6.3551401869158877E-2</v>
      </c>
      <c r="R57" s="323"/>
      <c r="S57" s="323"/>
      <c r="T57" s="323"/>
      <c r="U57" s="297"/>
    </row>
    <row r="58" spans="2:21" x14ac:dyDescent="0.25">
      <c r="B58" s="1"/>
      <c r="C58" s="1"/>
      <c r="D58" s="1"/>
      <c r="E58" s="1"/>
      <c r="F58" s="1"/>
      <c r="G58" s="1"/>
      <c r="H58" s="1"/>
      <c r="I58" s="1"/>
      <c r="L58" s="148"/>
      <c r="M58" s="323" t="s">
        <v>49</v>
      </c>
      <c r="N58" s="19">
        <v>5.5</v>
      </c>
      <c r="O58" s="364">
        <v>0.45</v>
      </c>
      <c r="P58" s="365">
        <f t="shared" si="0"/>
        <v>2.1176470588235293E-2</v>
      </c>
      <c r="Q58" s="299">
        <f t="shared" si="1"/>
        <v>3.4267912772585667E-2</v>
      </c>
      <c r="R58" s="323"/>
      <c r="S58" s="323"/>
      <c r="T58" s="323"/>
      <c r="U58" s="297"/>
    </row>
    <row r="59" spans="2:21" x14ac:dyDescent="0.25">
      <c r="B59" s="1"/>
      <c r="C59" s="1"/>
      <c r="D59" s="1"/>
      <c r="E59" s="1"/>
      <c r="F59" s="1"/>
      <c r="G59" s="1"/>
      <c r="H59" s="1"/>
      <c r="I59" s="1"/>
      <c r="L59" s="148"/>
      <c r="M59" s="323" t="s">
        <v>88</v>
      </c>
      <c r="N59" s="19">
        <v>1.4</v>
      </c>
      <c r="O59" s="364">
        <v>0.24</v>
      </c>
      <c r="P59" s="365">
        <f t="shared" si="0"/>
        <v>1.1294117647058823E-2</v>
      </c>
      <c r="Q59" s="299">
        <f t="shared" si="1"/>
        <v>8.7227414330218068E-3</v>
      </c>
      <c r="R59" s="323"/>
      <c r="S59" s="72"/>
      <c r="T59" s="323"/>
      <c r="U59" s="297"/>
    </row>
    <row r="60" spans="2:21" x14ac:dyDescent="0.25">
      <c r="B60" s="1"/>
      <c r="C60" s="1"/>
      <c r="D60" s="1"/>
      <c r="E60" s="1"/>
      <c r="F60" s="1"/>
      <c r="G60" s="1"/>
      <c r="H60" s="1"/>
      <c r="I60" s="1"/>
      <c r="L60" s="148"/>
      <c r="M60" s="323" t="s">
        <v>649</v>
      </c>
      <c r="N60" s="19">
        <v>12.6</v>
      </c>
      <c r="O60" s="364">
        <v>1.44</v>
      </c>
      <c r="P60" s="365">
        <f t="shared" si="0"/>
        <v>6.7764705882352935E-2</v>
      </c>
      <c r="Q60" s="299">
        <f t="shared" si="1"/>
        <v>7.8504672897196259E-2</v>
      </c>
      <c r="T60" s="323"/>
      <c r="U60" s="297"/>
    </row>
    <row r="61" spans="2:21" x14ac:dyDescent="0.25">
      <c r="B61" s="1"/>
      <c r="C61" s="1"/>
      <c r="D61" s="1"/>
      <c r="E61" s="1"/>
      <c r="F61" s="1"/>
      <c r="G61" s="1"/>
      <c r="H61" s="1"/>
      <c r="I61" s="1"/>
      <c r="L61" s="148"/>
      <c r="M61" s="323" t="s">
        <v>648</v>
      </c>
      <c r="N61" s="19">
        <v>33.799999999999997</v>
      </c>
      <c r="O61" s="364">
        <v>0.81</v>
      </c>
      <c r="P61" s="365">
        <f t="shared" si="0"/>
        <v>3.8117647058823534E-2</v>
      </c>
      <c r="Q61" s="366" t="s">
        <v>666</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662</v>
      </c>
      <c r="N63" s="261">
        <f>+SUM(N55:N60)</f>
        <v>160.5</v>
      </c>
      <c r="O63" s="367">
        <f>+SUM(O55:O61)</f>
        <v>21.25</v>
      </c>
      <c r="P63" s="368">
        <f>+SUM(P55:P61)</f>
        <v>1</v>
      </c>
      <c r="Q63" s="369">
        <f>+SUM(Q55:Q61)</f>
        <v>1</v>
      </c>
      <c r="U63" s="297"/>
    </row>
    <row r="64" spans="2:21" x14ac:dyDescent="0.25">
      <c r="B64" s="1"/>
      <c r="C64" s="1"/>
      <c r="D64" s="1"/>
      <c r="E64" s="1"/>
      <c r="F64" s="1"/>
      <c r="G64" s="1"/>
      <c r="H64" s="1"/>
      <c r="I64" s="1"/>
      <c r="L64" s="148"/>
      <c r="M64" s="323" t="s">
        <v>569</v>
      </c>
      <c r="N64" s="367">
        <f>161.61-N63</f>
        <v>1.1100000000000136</v>
      </c>
      <c r="O64" s="367">
        <f>24.39-O63</f>
        <v>3.1400000000000006</v>
      </c>
      <c r="P64" s="365"/>
      <c r="S64" s="309"/>
      <c r="T64" s="309"/>
      <c r="U64" s="297"/>
    </row>
    <row r="65" spans="2:21" x14ac:dyDescent="0.25">
      <c r="B65" s="1"/>
      <c r="C65" s="1"/>
      <c r="D65" s="1"/>
      <c r="E65" s="1"/>
      <c r="F65" s="1"/>
      <c r="G65" s="1"/>
      <c r="H65" s="1"/>
      <c r="I65" s="1"/>
      <c r="L65" s="148"/>
      <c r="M65" s="323" t="s">
        <v>576</v>
      </c>
      <c r="N65" s="367">
        <f>+N64+N63</f>
        <v>161.61000000000001</v>
      </c>
      <c r="O65" s="367">
        <f>+O64+O63</f>
        <v>24.39</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640</v>
      </c>
      <c r="O70" s="339"/>
      <c r="P70" s="2"/>
    </row>
    <row r="71" spans="2:21" x14ac:dyDescent="0.25">
      <c r="B71" s="1"/>
      <c r="C71" s="1"/>
      <c r="D71" s="1"/>
      <c r="E71" s="1"/>
      <c r="F71" s="1"/>
      <c r="G71" s="1"/>
      <c r="H71" s="1"/>
      <c r="I71" s="1"/>
      <c r="N71" s="317" t="s">
        <v>11</v>
      </c>
      <c r="O71" s="327" t="s">
        <v>13</v>
      </c>
      <c r="P71" s="376" t="s">
        <v>553</v>
      </c>
      <c r="R71" s="448" t="s">
        <v>726</v>
      </c>
      <c r="S71" s="309"/>
    </row>
    <row r="72" spans="2:21" x14ac:dyDescent="0.25">
      <c r="B72" s="1"/>
      <c r="C72" s="1"/>
      <c r="D72" s="1"/>
      <c r="E72" s="1"/>
      <c r="F72" s="1"/>
      <c r="G72" s="1"/>
      <c r="H72" s="1"/>
      <c r="I72" s="1"/>
      <c r="N72" s="352" t="str">
        <f>+C23</f>
        <v>REF1</v>
      </c>
      <c r="O72" s="1" t="s">
        <v>45</v>
      </c>
      <c r="P72" s="265">
        <f>+P55+P60</f>
        <v>0.26682352941176474</v>
      </c>
      <c r="R72" s="63">
        <f>9.4%+19.9%</f>
        <v>0.29299999999999998</v>
      </c>
    </row>
    <row r="73" spans="2:21" x14ac:dyDescent="0.25">
      <c r="B73" s="1"/>
      <c r="C73" s="1"/>
      <c r="D73" s="1"/>
      <c r="E73" s="1"/>
      <c r="F73" s="1"/>
      <c r="G73" s="1"/>
      <c r="H73" s="1"/>
      <c r="I73" s="1"/>
      <c r="N73" s="1"/>
      <c r="O73" s="1" t="s">
        <v>47</v>
      </c>
      <c r="P73" s="265">
        <f>+P56</f>
        <v>0.6</v>
      </c>
      <c r="R73" s="265">
        <v>0.55200000000000005</v>
      </c>
    </row>
    <row r="74" spans="2:21" x14ac:dyDescent="0.25">
      <c r="B74" s="1"/>
      <c r="C74" s="1"/>
      <c r="D74" s="1"/>
      <c r="E74" s="1"/>
      <c r="F74" s="1"/>
      <c r="G74" s="1"/>
      <c r="H74" s="1"/>
      <c r="I74" s="1"/>
      <c r="N74" s="1"/>
      <c r="O74" s="1" t="s">
        <v>48</v>
      </c>
      <c r="P74" s="265">
        <f>+P57</f>
        <v>6.2588235294117653E-2</v>
      </c>
      <c r="R74" s="265">
        <v>5.6000000000000001E-2</v>
      </c>
    </row>
    <row r="75" spans="2:21" x14ac:dyDescent="0.25">
      <c r="B75" s="1"/>
      <c r="C75" s="1"/>
      <c r="D75" s="1"/>
      <c r="E75" s="1"/>
      <c r="F75" s="1"/>
      <c r="G75" s="1"/>
      <c r="H75" s="1"/>
      <c r="I75" s="1"/>
      <c r="N75" s="1"/>
      <c r="O75" s="1" t="s">
        <v>49</v>
      </c>
      <c r="P75" s="265">
        <f>+P58</f>
        <v>2.1176470588235293E-2</v>
      </c>
      <c r="R75" s="265">
        <v>1.4E-2</v>
      </c>
    </row>
    <row r="76" spans="2:21" x14ac:dyDescent="0.25">
      <c r="B76" s="1"/>
      <c r="C76" s="1"/>
      <c r="D76" s="1"/>
      <c r="E76" s="1"/>
      <c r="F76" s="1"/>
      <c r="G76" s="1"/>
      <c r="H76" s="1"/>
      <c r="I76" s="1"/>
      <c r="N76" s="1"/>
      <c r="O76" s="1" t="s">
        <v>50</v>
      </c>
      <c r="P76" s="265">
        <f>+P59</f>
        <v>1.1294117647058823E-2</v>
      </c>
      <c r="R76" s="289">
        <v>0.06</v>
      </c>
    </row>
    <row r="77" spans="2:21" x14ac:dyDescent="0.25">
      <c r="B77" s="1"/>
      <c r="C77" s="1"/>
      <c r="D77" s="1"/>
      <c r="E77" s="1"/>
      <c r="F77" s="1"/>
      <c r="G77" s="1"/>
      <c r="H77" s="1"/>
      <c r="I77" s="1"/>
      <c r="N77" s="1"/>
      <c r="O77" s="1" t="s">
        <v>742</v>
      </c>
      <c r="P77" s="299">
        <f>+P61</f>
        <v>3.8117647058823534E-2</v>
      </c>
      <c r="R77" s="265">
        <v>2.5000000000000001E-2</v>
      </c>
    </row>
    <row r="78" spans="2:21" x14ac:dyDescent="0.25">
      <c r="B78" s="1"/>
      <c r="C78" s="1"/>
      <c r="D78" s="1"/>
      <c r="E78" s="1"/>
      <c r="F78" s="1"/>
      <c r="G78" s="1"/>
      <c r="H78" s="1"/>
      <c r="I78" s="1"/>
      <c r="O78" s="1"/>
      <c r="P78" s="265"/>
    </row>
    <row r="79" spans="2:21" x14ac:dyDescent="0.25">
      <c r="B79" s="1"/>
      <c r="C79" s="1"/>
      <c r="D79" s="1"/>
      <c r="E79" s="1"/>
      <c r="F79" s="1"/>
      <c r="G79" s="1"/>
      <c r="H79" s="1"/>
      <c r="I79" s="1"/>
      <c r="P79" s="370">
        <f>++SUM(P72:P77)</f>
        <v>1</v>
      </c>
      <c r="R79" s="369">
        <f>+SUM(R72:R77)</f>
        <v>1</v>
      </c>
    </row>
    <row r="80" spans="2:21" x14ac:dyDescent="0.25">
      <c r="B80" s="1"/>
      <c r="C80" s="1"/>
      <c r="D80" s="1"/>
      <c r="E80" s="1"/>
      <c r="F80" s="1"/>
      <c r="G80" s="1"/>
      <c r="H80" s="1"/>
      <c r="I80" s="1"/>
    </row>
    <row r="81" spans="1:21" x14ac:dyDescent="0.25">
      <c r="B81" s="1"/>
      <c r="C81" s="1"/>
      <c r="D81" s="1"/>
      <c r="E81" s="1"/>
      <c r="F81" s="1"/>
      <c r="G81" s="1"/>
      <c r="H81" s="1"/>
      <c r="I81" s="1"/>
      <c r="L81" s="560" t="s">
        <v>669</v>
      </c>
      <c r="M81" s="595"/>
      <c r="N81" s="595"/>
      <c r="O81" s="595"/>
      <c r="P81" s="595"/>
      <c r="Q81" s="595"/>
      <c r="R81" s="595"/>
      <c r="S81" s="595"/>
      <c r="T81" s="595"/>
      <c r="U81" s="561"/>
    </row>
    <row r="82" spans="1:21" x14ac:dyDescent="0.25">
      <c r="B82" s="1"/>
      <c r="C82" s="1"/>
      <c r="D82" s="1"/>
      <c r="E82" s="1"/>
      <c r="F82" s="1"/>
      <c r="G82" s="1"/>
      <c r="H82" s="1"/>
      <c r="I82" s="1"/>
      <c r="L82" s="148"/>
      <c r="U82" s="297"/>
    </row>
    <row r="83" spans="1:21" x14ac:dyDescent="0.25">
      <c r="A83" t="s">
        <v>644</v>
      </c>
      <c r="B83" s="1"/>
      <c r="C83" s="1"/>
      <c r="D83" s="1"/>
      <c r="E83" s="1"/>
      <c r="F83" s="1"/>
      <c r="G83" s="1"/>
      <c r="H83" s="1"/>
      <c r="I83" s="1"/>
      <c r="L83" s="148"/>
      <c r="N83" s="152"/>
      <c r="O83" s="356" t="s">
        <v>250</v>
      </c>
      <c r="P83" s="356" t="s">
        <v>660</v>
      </c>
      <c r="T83" s="378"/>
      <c r="U83" s="297"/>
    </row>
    <row r="84" spans="1:21" x14ac:dyDescent="0.25">
      <c r="A84" t="s">
        <v>643</v>
      </c>
      <c r="B84" s="1"/>
      <c r="C84" s="1"/>
      <c r="D84" s="1"/>
      <c r="E84" s="1"/>
      <c r="F84" s="1"/>
      <c r="G84" s="1"/>
      <c r="H84" s="1"/>
      <c r="I84" s="1"/>
      <c r="L84" s="148"/>
      <c r="N84" s="323" t="s">
        <v>670</v>
      </c>
      <c r="O84">
        <v>165</v>
      </c>
      <c r="P84" s="364">
        <f>+O84*365*E10/1000</f>
        <v>366.60006424428417</v>
      </c>
      <c r="S84" s="122"/>
      <c r="T84" s="122"/>
      <c r="U84" s="297"/>
    </row>
    <row r="85" spans="1:21" x14ac:dyDescent="0.25">
      <c r="A85" t="s">
        <v>645</v>
      </c>
      <c r="B85" s="1"/>
      <c r="C85" s="1"/>
      <c r="D85" s="1"/>
      <c r="E85" s="1"/>
      <c r="F85" s="1"/>
      <c r="G85" s="1"/>
      <c r="H85" s="1"/>
      <c r="I85" s="1"/>
      <c r="L85" s="148"/>
      <c r="N85" s="323" t="s">
        <v>623</v>
      </c>
      <c r="O85">
        <v>155</v>
      </c>
      <c r="P85" s="367">
        <f>+O85*365*E10/1000</f>
        <v>344.3818785325094</v>
      </c>
      <c r="U85" s="297"/>
    </row>
    <row r="86" spans="1:21" x14ac:dyDescent="0.25">
      <c r="B86" s="1"/>
      <c r="C86" s="1"/>
      <c r="D86" s="1"/>
      <c r="E86" s="1"/>
      <c r="F86" s="1"/>
      <c r="G86" s="1"/>
      <c r="H86" s="1"/>
      <c r="I86" s="1"/>
      <c r="L86" s="148"/>
      <c r="N86" s="324" t="s">
        <v>624</v>
      </c>
      <c r="O86" s="379">
        <f>+O85/O84</f>
        <v>0.93939393939393945</v>
      </c>
      <c r="U86" s="297"/>
    </row>
    <row r="87" spans="1:21" x14ac:dyDescent="0.25">
      <c r="B87" s="1"/>
      <c r="C87" s="1"/>
      <c r="D87" s="1"/>
      <c r="E87" s="1"/>
      <c r="F87" s="1"/>
      <c r="G87" s="1"/>
      <c r="H87" s="1"/>
      <c r="I87" s="1"/>
      <c r="L87" s="148"/>
      <c r="N87" s="325" t="s">
        <v>625</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672</v>
      </c>
      <c r="O89" s="384">
        <f>+N65/N51</f>
        <v>0.97945454545454558</v>
      </c>
      <c r="P89" s="384">
        <f>+O65/O51</f>
        <v>1.0171399974978106</v>
      </c>
      <c r="U89" s="297"/>
    </row>
    <row r="90" spans="1:21" x14ac:dyDescent="0.25">
      <c r="B90" s="1"/>
      <c r="C90" s="1"/>
      <c r="D90" s="1"/>
      <c r="E90" s="1"/>
      <c r="F90" s="1"/>
      <c r="G90" s="1"/>
      <c r="H90" s="1"/>
      <c r="I90" s="1"/>
      <c r="L90" s="148"/>
      <c r="N90" s="323" t="s">
        <v>671</v>
      </c>
      <c r="O90" s="384">
        <f>+N63/N51</f>
        <v>0.97272727272727277</v>
      </c>
      <c r="P90" s="384">
        <f>+O63/O51</f>
        <v>0.8861920847408149</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673</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626</v>
      </c>
      <c r="Q96" s="330" t="s">
        <v>553</v>
      </c>
      <c r="R96" s="331" t="s">
        <v>175</v>
      </c>
    </row>
    <row r="97" spans="2:25" x14ac:dyDescent="0.25">
      <c r="B97" s="1"/>
      <c r="C97" s="1"/>
      <c r="D97" s="415"/>
      <c r="E97" s="1"/>
      <c r="F97" s="415"/>
      <c r="G97" s="1"/>
      <c r="H97" s="1"/>
      <c r="I97" s="1"/>
      <c r="N97" s="426" t="str">
        <f>+N72</f>
        <v>REF1</v>
      </c>
      <c r="O97" s="328" t="s">
        <v>627</v>
      </c>
      <c r="P97" s="333">
        <v>2019</v>
      </c>
      <c r="Q97" s="337">
        <f>+P85*P90</f>
        <v>305.18849488368261</v>
      </c>
    </row>
    <row r="98" spans="2:25" x14ac:dyDescent="0.25">
      <c r="B98" s="1"/>
      <c r="C98" s="1"/>
      <c r="D98" s="1"/>
      <c r="E98" s="416"/>
      <c r="F98" s="1"/>
      <c r="G98" s="1"/>
      <c r="H98" s="1"/>
      <c r="I98" s="1"/>
      <c r="N98" s="22" t="str">
        <f>+N97</f>
        <v>REF1</v>
      </c>
      <c r="O98" s="22" t="str">
        <f>+O97</f>
        <v>ACT_BND</v>
      </c>
      <c r="P98" s="22">
        <v>2020</v>
      </c>
      <c r="Q98" s="382">
        <f>+P84*P90</f>
        <v>324.87807519875884</v>
      </c>
      <c r="R98" s="320"/>
    </row>
    <row r="99" spans="2:25" x14ac:dyDescent="0.25">
      <c r="B99" s="1"/>
      <c r="C99" s="1"/>
      <c r="D99" s="1"/>
      <c r="E99" s="1"/>
      <c r="F99" s="1"/>
      <c r="G99" s="1"/>
      <c r="H99" s="1"/>
      <c r="I99" s="1"/>
      <c r="N99" s="332" t="str">
        <f>+N97</f>
        <v>REF1</v>
      </c>
      <c r="O99" s="332" t="s">
        <v>31</v>
      </c>
      <c r="P99" s="333">
        <v>2019</v>
      </c>
      <c r="Q99" s="333"/>
      <c r="R99" s="322">
        <f>+P90*P41</f>
        <v>0.866618063200155</v>
      </c>
    </row>
    <row r="100" spans="2:25" x14ac:dyDescent="0.25">
      <c r="B100" s="1"/>
      <c r="C100" s="1"/>
      <c r="D100" s="1"/>
      <c r="E100" s="1"/>
      <c r="F100" s="1"/>
      <c r="G100" s="1"/>
      <c r="H100" s="1"/>
      <c r="I100" s="1"/>
      <c r="N100" s="333" t="str">
        <f>+N97</f>
        <v>REF1</v>
      </c>
      <c r="O100" s="334" t="s">
        <v>628</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560" t="s">
        <v>674</v>
      </c>
      <c r="M104" s="595"/>
      <c r="N104" s="595"/>
      <c r="O104" s="595"/>
      <c r="P104" s="595"/>
      <c r="Q104" s="595"/>
      <c r="R104" s="595"/>
      <c r="S104" s="595"/>
      <c r="T104" s="595"/>
      <c r="U104" s="561"/>
    </row>
    <row r="105" spans="2:25" x14ac:dyDescent="0.25">
      <c r="B105" s="1"/>
      <c r="C105" s="1"/>
      <c r="D105" s="1"/>
      <c r="E105" s="1"/>
      <c r="F105" s="1"/>
      <c r="G105" s="1"/>
      <c r="H105" s="1"/>
      <c r="I105" s="1"/>
      <c r="L105" s="148"/>
      <c r="U105" s="297"/>
      <c r="X105">
        <v>4.5</v>
      </c>
      <c r="Y105" t="s">
        <v>654</v>
      </c>
    </row>
    <row r="106" spans="2:25" x14ac:dyDescent="0.25">
      <c r="B106" s="1"/>
      <c r="C106" s="1"/>
      <c r="D106" s="1"/>
      <c r="E106" s="1"/>
      <c r="F106" s="1"/>
      <c r="G106" s="1"/>
      <c r="H106" s="1"/>
      <c r="I106" s="1"/>
      <c r="L106" s="148"/>
      <c r="U106" s="297"/>
      <c r="X106">
        <v>1</v>
      </c>
      <c r="Y106" t="s">
        <v>651</v>
      </c>
    </row>
    <row r="107" spans="2:25" x14ac:dyDescent="0.25">
      <c r="B107" s="1"/>
      <c r="C107" s="1"/>
      <c r="D107" s="1"/>
      <c r="E107" s="1"/>
      <c r="F107" s="1"/>
      <c r="G107" s="1"/>
      <c r="H107" s="1"/>
      <c r="I107" s="1"/>
      <c r="L107" s="148"/>
      <c r="N107" s="387"/>
      <c r="O107" s="392" t="s">
        <v>250</v>
      </c>
      <c r="P107" s="392" t="s">
        <v>660</v>
      </c>
      <c r="U107" s="297"/>
    </row>
    <row r="108" spans="2:25" x14ac:dyDescent="0.25">
      <c r="B108" s="1"/>
      <c r="C108" s="1"/>
      <c r="D108" s="1"/>
      <c r="E108" s="1"/>
      <c r="F108" s="1"/>
      <c r="G108" s="1"/>
      <c r="H108" s="1"/>
      <c r="I108" s="1"/>
      <c r="L108" s="148"/>
      <c r="N108" s="390" t="s">
        <v>676</v>
      </c>
      <c r="O108" s="389">
        <f>394.77/299.7</f>
        <v>1.3172172172172172</v>
      </c>
      <c r="P108" s="388">
        <f>+O108</f>
        <v>1.3172172172172172</v>
      </c>
      <c r="Q108" t="s">
        <v>677</v>
      </c>
      <c r="U108" s="297"/>
      <c r="X108">
        <f>+O34*1000000</f>
        <v>74825000</v>
      </c>
      <c r="Y108" t="s">
        <v>651</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679</v>
      </c>
      <c r="U110" s="297"/>
      <c r="X110">
        <f>+X108*X105</f>
        <v>336712500</v>
      </c>
      <c r="Y110" t="s">
        <v>655</v>
      </c>
    </row>
    <row r="111" spans="2:25" x14ac:dyDescent="0.25">
      <c r="B111" s="1"/>
      <c r="C111" s="1"/>
      <c r="D111" s="1"/>
      <c r="E111" s="1"/>
      <c r="F111" s="1"/>
      <c r="G111" s="1"/>
      <c r="H111" s="1"/>
      <c r="I111" s="1"/>
      <c r="L111" s="148"/>
      <c r="N111" s="323" t="s">
        <v>678</v>
      </c>
      <c r="O111" s="391">
        <f>79/(9*1000*24*365)</f>
        <v>1.002029426686961E-6</v>
      </c>
      <c r="P111" s="122">
        <f>+(O111/119.96)*1000000000</f>
        <v>8.3530295655798685</v>
      </c>
      <c r="Q111" t="s">
        <v>131</v>
      </c>
      <c r="U111" s="297"/>
      <c r="X111">
        <f>+X110*35.3147</f>
        <v>11890900923.75</v>
      </c>
      <c r="Y111" t="s">
        <v>656</v>
      </c>
    </row>
    <row r="112" spans="2:25" x14ac:dyDescent="0.25">
      <c r="B112" s="1"/>
      <c r="C112" s="1"/>
      <c r="D112" s="1"/>
      <c r="E112" s="1"/>
      <c r="F112" s="1"/>
      <c r="G112" s="1"/>
      <c r="H112" s="1"/>
      <c r="I112" s="1"/>
      <c r="L112" s="148"/>
      <c r="U112" s="297"/>
      <c r="X112">
        <f>+X111/(1000000)</f>
        <v>11890.900923749999</v>
      </c>
      <c r="Y112" t="s">
        <v>657</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32.577810749999998</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626</v>
      </c>
      <c r="Q116" s="340" t="s">
        <v>553</v>
      </c>
      <c r="R116" s="399" t="s">
        <v>175</v>
      </c>
    </row>
    <row r="117" spans="2:24" x14ac:dyDescent="0.25">
      <c r="B117" s="1"/>
      <c r="C117" s="1"/>
      <c r="D117" s="1"/>
      <c r="E117" s="1"/>
      <c r="F117" s="1"/>
      <c r="G117" s="1"/>
      <c r="H117" s="1"/>
      <c r="I117" s="1"/>
      <c r="N117" s="400" t="s">
        <v>692</v>
      </c>
      <c r="O117" s="400" t="s">
        <v>627</v>
      </c>
      <c r="P117" s="320">
        <v>2019</v>
      </c>
      <c r="Q117" s="401"/>
      <c r="R117" s="400"/>
    </row>
    <row r="118" spans="2:24" x14ac:dyDescent="0.25">
      <c r="B118" s="1"/>
      <c r="C118" s="1"/>
      <c r="D118" s="1"/>
      <c r="E118" s="1"/>
      <c r="F118" s="1"/>
      <c r="G118" s="1"/>
      <c r="H118" s="1"/>
      <c r="I118" s="1"/>
      <c r="N118" s="400" t="str">
        <f>+N117</f>
        <v>SMR-REF1</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SMR-REF1</v>
      </c>
      <c r="O123" s="16" t="str">
        <f>+D46</f>
        <v>GAS-REF1</v>
      </c>
      <c r="P123" s="16" t="str">
        <f>+C38</f>
        <v>H2-REF1</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560" t="s">
        <v>680</v>
      </c>
      <c r="M128" s="595"/>
      <c r="N128" s="595"/>
      <c r="O128" s="595"/>
      <c r="P128" s="595"/>
      <c r="Q128" s="595"/>
      <c r="R128" s="595"/>
      <c r="S128" s="595"/>
      <c r="T128" s="595"/>
      <c r="U128" s="561"/>
      <c r="W128" t="s">
        <v>709</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681</v>
      </c>
    </row>
    <row r="130" spans="2:25" x14ac:dyDescent="0.25">
      <c r="B130" s="1"/>
      <c r="C130" s="1"/>
      <c r="D130" s="1" t="s">
        <v>698</v>
      </c>
      <c r="E130" s="1">
        <v>1561</v>
      </c>
      <c r="F130" s="1" t="s">
        <v>560</v>
      </c>
      <c r="G130" s="1"/>
      <c r="H130" s="1"/>
      <c r="I130" s="1"/>
      <c r="L130" s="148"/>
      <c r="M130" s="351" t="s">
        <v>681</v>
      </c>
      <c r="N130" s="356" t="s">
        <v>683</v>
      </c>
      <c r="O130" s="356" t="s">
        <v>660</v>
      </c>
      <c r="P130" s="152"/>
      <c r="Q130" s="152" t="s">
        <v>684</v>
      </c>
      <c r="R130" s="363"/>
      <c r="S130" s="20"/>
      <c r="T130" s="20"/>
      <c r="U130" s="297"/>
      <c r="W130" t="s">
        <v>263</v>
      </c>
      <c r="X130" s="122">
        <f>+Q131</f>
        <v>7.9730836007290984</v>
      </c>
    </row>
    <row r="131" spans="2:25" x14ac:dyDescent="0.25">
      <c r="B131" s="1"/>
      <c r="C131" s="1"/>
      <c r="D131" s="1" t="s">
        <v>699</v>
      </c>
      <c r="E131" s="1">
        <v>874.27499999999998</v>
      </c>
      <c r="F131" s="1" t="s">
        <v>253</v>
      </c>
      <c r="G131" s="434">
        <f>+E131/E130</f>
        <v>0.56007367072389491</v>
      </c>
      <c r="H131" s="1"/>
      <c r="I131" s="1"/>
      <c r="L131" s="148"/>
      <c r="M131" s="323" t="s">
        <v>682</v>
      </c>
      <c r="N131" s="19">
        <v>58</v>
      </c>
      <c r="O131" s="261">
        <f>+N131*365*E7/1000</f>
        <v>21.37232897677039</v>
      </c>
      <c r="P131" t="s">
        <v>9</v>
      </c>
      <c r="Q131" s="122">
        <f>O131/(85*24*365*0.0036/1000)</f>
        <v>7.9730836007290984</v>
      </c>
      <c r="R131" s="71" t="s">
        <v>686</v>
      </c>
      <c r="U131" s="297"/>
      <c r="W131" t="s">
        <v>708</v>
      </c>
      <c r="X131" s="57">
        <f>+Q132</f>
        <v>3.9306260817079615</v>
      </c>
    </row>
    <row r="132" spans="2:25" x14ac:dyDescent="0.25">
      <c r="B132" s="1"/>
      <c r="C132" s="1"/>
      <c r="D132" s="1" t="s">
        <v>700</v>
      </c>
      <c r="E132" s="1">
        <f>+E130-E131</f>
        <v>686.72500000000002</v>
      </c>
      <c r="F132" s="1" t="s">
        <v>253</v>
      </c>
      <c r="G132" s="434">
        <f>+E132/E130</f>
        <v>0.43992632927610509</v>
      </c>
      <c r="H132" s="1"/>
      <c r="I132" s="1"/>
      <c r="L132" s="148"/>
      <c r="M132" s="323" t="s">
        <v>515</v>
      </c>
      <c r="N132" s="436">
        <v>33.799999999999997</v>
      </c>
      <c r="O132" s="261">
        <f>0.81*365*0.041868</f>
        <v>12.378274200000002</v>
      </c>
      <c r="P132" t="s">
        <v>9</v>
      </c>
      <c r="Q132" s="122">
        <f>+O132/(O33*0.0036)</f>
        <v>3.9306260817079615</v>
      </c>
      <c r="R132" t="s">
        <v>685</v>
      </c>
      <c r="U132" s="297"/>
      <c r="X132" s="122">
        <f>+X131+X130</f>
        <v>11.903709682437061</v>
      </c>
    </row>
    <row r="133" spans="2:25" x14ac:dyDescent="0.25">
      <c r="B133" s="1"/>
      <c r="C133" s="1"/>
      <c r="D133" s="1"/>
      <c r="E133" s="1"/>
      <c r="F133" s="1"/>
      <c r="G133" s="1"/>
      <c r="H133" s="1"/>
      <c r="I133" s="1"/>
      <c r="L133" s="148"/>
      <c r="Q133" s="122">
        <f>+Q132+Q131</f>
        <v>11.903709682437061</v>
      </c>
      <c r="U133" s="297"/>
    </row>
    <row r="134" spans="2:25" x14ac:dyDescent="0.25">
      <c r="B134" s="1"/>
      <c r="C134" s="1"/>
      <c r="D134" s="1"/>
      <c r="E134" s="1"/>
      <c r="F134" s="1"/>
      <c r="G134" s="1"/>
      <c r="H134" s="1"/>
      <c r="I134" s="1"/>
      <c r="L134" s="148"/>
      <c r="N134" s="323"/>
      <c r="U134" s="297"/>
      <c r="W134" s="121" t="s">
        <v>637</v>
      </c>
    </row>
    <row r="135" spans="2:25" x14ac:dyDescent="0.25">
      <c r="B135" s="1"/>
      <c r="C135" s="1"/>
      <c r="D135" s="1"/>
      <c r="E135" s="1"/>
      <c r="F135" s="1"/>
      <c r="G135" s="1"/>
      <c r="H135" s="1"/>
      <c r="I135" s="1"/>
      <c r="L135" s="148"/>
      <c r="M135" s="325" t="s">
        <v>705</v>
      </c>
      <c r="N135" s="438"/>
      <c r="O135" s="444">
        <f>+Q135*P33</f>
        <v>1.8895118399999999</v>
      </c>
      <c r="P135" s="438" t="s">
        <v>9</v>
      </c>
      <c r="Q135" s="434">
        <f>+(O138-O139)/O139</f>
        <v>0.6</v>
      </c>
      <c r="R135" t="s">
        <v>707</v>
      </c>
      <c r="U135" s="297"/>
      <c r="W135" t="s">
        <v>72</v>
      </c>
      <c r="X135">
        <v>1</v>
      </c>
    </row>
    <row r="136" spans="2:25" x14ac:dyDescent="0.25">
      <c r="B136" s="1"/>
      <c r="C136" s="1"/>
      <c r="D136" s="1"/>
      <c r="E136" s="1"/>
      <c r="F136" s="1"/>
      <c r="G136" s="1"/>
      <c r="H136" s="1"/>
      <c r="I136" s="1"/>
      <c r="L136" s="148"/>
      <c r="N136" s="1"/>
      <c r="O136" s="443"/>
      <c r="P136" s="1"/>
      <c r="Q136" s="1"/>
      <c r="U136" s="297"/>
      <c r="W136" t="s">
        <v>697</v>
      </c>
      <c r="X136">
        <f>+X135*Q135</f>
        <v>0.6</v>
      </c>
    </row>
    <row r="137" spans="2:25" x14ac:dyDescent="0.25">
      <c r="B137" s="1"/>
      <c r="C137" s="1"/>
      <c r="D137" s="1"/>
      <c r="E137" s="1"/>
      <c r="F137" s="1"/>
      <c r="G137" s="1"/>
      <c r="H137" s="1"/>
      <c r="I137" s="1"/>
      <c r="L137" s="148"/>
      <c r="N137" s="323" t="s">
        <v>687</v>
      </c>
      <c r="O137">
        <v>193</v>
      </c>
      <c r="P137" t="s">
        <v>675</v>
      </c>
      <c r="U137" s="297"/>
      <c r="X137">
        <f>+X136+X135</f>
        <v>1.6</v>
      </c>
    </row>
    <row r="138" spans="2:25" x14ac:dyDescent="0.25">
      <c r="B138" s="1"/>
      <c r="C138" s="1"/>
      <c r="D138" s="412"/>
      <c r="E138" s="1"/>
      <c r="F138" s="1"/>
      <c r="G138" s="1"/>
      <c r="H138" s="1"/>
      <c r="I138" s="1"/>
      <c r="L138" s="148"/>
      <c r="N138" s="323" t="s">
        <v>721</v>
      </c>
      <c r="O138" s="299">
        <v>0.6</v>
      </c>
      <c r="U138" s="297"/>
    </row>
    <row r="139" spans="2:25" x14ac:dyDescent="0.25">
      <c r="B139" s="1"/>
      <c r="C139" s="1"/>
      <c r="D139" s="412"/>
      <c r="E139" s="1"/>
      <c r="F139" s="1"/>
      <c r="G139" s="1"/>
      <c r="H139" s="1"/>
      <c r="I139" s="1"/>
      <c r="L139" s="148"/>
      <c r="N139" s="323" t="s">
        <v>722</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718</v>
      </c>
      <c r="X141">
        <v>0.375</v>
      </c>
      <c r="Y141" s="63">
        <f>+X141/X143</f>
        <v>0.625</v>
      </c>
    </row>
    <row r="142" spans="2:25" x14ac:dyDescent="0.25">
      <c r="B142" s="1"/>
      <c r="C142" s="1"/>
      <c r="D142" s="1"/>
      <c r="E142" s="1"/>
      <c r="F142" s="1"/>
      <c r="G142" s="1"/>
      <c r="H142" s="1"/>
      <c r="I142" s="1"/>
      <c r="W142" t="s">
        <v>720</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719</v>
      </c>
      <c r="X143">
        <v>0.6</v>
      </c>
    </row>
    <row r="144" spans="2:25" x14ac:dyDescent="0.25">
      <c r="B144" s="1"/>
      <c r="C144" s="1"/>
      <c r="D144" s="1"/>
      <c r="E144" s="1"/>
      <c r="F144" s="1"/>
      <c r="G144" s="1"/>
      <c r="H144" s="1"/>
      <c r="I144" s="1"/>
      <c r="N144" s="327" t="s">
        <v>11</v>
      </c>
      <c r="O144" s="327" t="s">
        <v>1</v>
      </c>
      <c r="P144" s="327" t="s">
        <v>626</v>
      </c>
      <c r="Q144" s="327" t="s">
        <v>553</v>
      </c>
      <c r="R144" s="393" t="s">
        <v>175</v>
      </c>
      <c r="S144" s="1"/>
    </row>
    <row r="145" spans="2:19" x14ac:dyDescent="0.25">
      <c r="B145" s="1"/>
      <c r="C145" s="1"/>
      <c r="D145" s="1"/>
      <c r="E145" s="1"/>
      <c r="F145" s="1"/>
      <c r="G145" s="1"/>
      <c r="H145" s="1"/>
      <c r="I145" s="1"/>
      <c r="N145" s="394" t="str">
        <f>+C25</f>
        <v>AUTO-REF1</v>
      </c>
      <c r="O145" s="394" t="s">
        <v>627</v>
      </c>
      <c r="P145" s="395">
        <v>2019</v>
      </c>
      <c r="Q145" s="432">
        <f>+(O137*24*365*0.0036/1000)/P158</f>
        <v>9.738316799999998</v>
      </c>
      <c r="R145" s="394"/>
      <c r="S145" s="1"/>
    </row>
    <row r="146" spans="2:19" x14ac:dyDescent="0.25">
      <c r="B146" s="1"/>
      <c r="C146" s="1"/>
      <c r="D146" s="1"/>
      <c r="E146" s="1"/>
      <c r="F146" s="437"/>
      <c r="G146" s="1"/>
      <c r="H146" s="1"/>
      <c r="I146" s="1"/>
      <c r="N146" s="402" t="str">
        <f>+N145</f>
        <v>AUTO-REF1</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633</v>
      </c>
      <c r="O149" s="339"/>
      <c r="P149" s="2"/>
      <c r="Q149" s="1"/>
      <c r="R149" s="1"/>
      <c r="S149" s="1"/>
    </row>
    <row r="150" spans="2:19" x14ac:dyDescent="0.25">
      <c r="B150" s="1"/>
      <c r="C150" s="1"/>
      <c r="D150" s="1"/>
      <c r="E150" s="1"/>
      <c r="F150" s="1"/>
      <c r="G150" s="1"/>
      <c r="H150" s="1"/>
      <c r="I150" s="1"/>
      <c r="N150" s="327" t="s">
        <v>11</v>
      </c>
      <c r="O150" s="327" t="s">
        <v>12</v>
      </c>
      <c r="P150" s="327" t="s">
        <v>553</v>
      </c>
      <c r="Q150" s="1"/>
      <c r="R150" s="1"/>
      <c r="S150" s="1"/>
    </row>
    <row r="151" spans="2:19" x14ac:dyDescent="0.25">
      <c r="B151" s="1"/>
      <c r="C151" s="1"/>
      <c r="D151" s="1"/>
      <c r="E151" s="1"/>
      <c r="F151" s="1"/>
      <c r="G151" s="1"/>
      <c r="H151" s="1"/>
      <c r="I151" s="1"/>
      <c r="N151" s="16" t="str">
        <f>+N145</f>
        <v>AUTO-REF1</v>
      </c>
      <c r="O151" s="429" t="str">
        <f>+O77</f>
        <v>RFG1</v>
      </c>
      <c r="P151" s="439">
        <f>+Q132/Q133</f>
        <v>0.33020177630064979</v>
      </c>
      <c r="Q151" s="1"/>
      <c r="R151" s="413"/>
      <c r="S151" s="1"/>
    </row>
    <row r="152" spans="2:19" x14ac:dyDescent="0.25">
      <c r="B152" s="1"/>
      <c r="C152" s="1"/>
      <c r="D152" s="1"/>
      <c r="E152" s="1"/>
      <c r="F152" s="1"/>
      <c r="G152" s="1"/>
      <c r="H152" s="1"/>
      <c r="I152" s="1"/>
      <c r="N152" s="16"/>
      <c r="O152" s="16" t="str">
        <f>+O123</f>
        <v>GAS-REF1</v>
      </c>
      <c r="P152" s="439">
        <f>+Q131/Q133</f>
        <v>0.66979822369935016</v>
      </c>
      <c r="Q152" s="1"/>
      <c r="R152" s="413"/>
      <c r="S152" s="1"/>
    </row>
    <row r="153" spans="2:19" x14ac:dyDescent="0.25">
      <c r="B153" s="1"/>
      <c r="C153" s="1"/>
      <c r="D153" s="1"/>
      <c r="E153" s="1"/>
      <c r="F153" s="1"/>
      <c r="G153" s="1"/>
      <c r="H153" s="1"/>
      <c r="I153" s="1"/>
      <c r="N153" s="1"/>
      <c r="O153" s="1"/>
      <c r="P153" s="412"/>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640</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AUTO-REF1</v>
      </c>
      <c r="O158" s="430" t="str">
        <f>+C37</f>
        <v>ELC-REF1</v>
      </c>
      <c r="P158" s="439">
        <f>+Y141</f>
        <v>0.625</v>
      </c>
      <c r="Q158" s="1"/>
      <c r="R158" s="1"/>
      <c r="S158" s="1"/>
    </row>
    <row r="159" spans="2:19" x14ac:dyDescent="0.25">
      <c r="B159" s="1"/>
      <c r="C159" s="1"/>
      <c r="D159" s="1"/>
      <c r="E159" s="1"/>
      <c r="F159" s="1"/>
      <c r="G159" s="1"/>
      <c r="H159" s="1"/>
      <c r="I159" s="1"/>
      <c r="O159" s="19" t="str">
        <f>+C39</f>
        <v>STEAM-DRM-REF1</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560" t="s">
        <v>712</v>
      </c>
      <c r="M162" s="595"/>
      <c r="N162" s="595"/>
      <c r="O162" s="595"/>
      <c r="P162" s="595"/>
      <c r="Q162" s="595"/>
      <c r="R162" s="595"/>
      <c r="S162" s="595"/>
      <c r="T162" s="595"/>
      <c r="U162" s="561"/>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COMPRA-ELC-REF1</v>
      </c>
      <c r="O166" s="22" t="str">
        <f>+'1. EXP_IMP'!J51</f>
        <v>ELC-SIN</v>
      </c>
      <c r="P166" s="431" t="str">
        <f>+O158</f>
        <v>ELC-REF1</v>
      </c>
    </row>
    <row r="167" spans="2:21" x14ac:dyDescent="0.25">
      <c r="B167" s="1"/>
      <c r="C167" s="1"/>
      <c r="D167" s="1"/>
      <c r="E167" s="1"/>
      <c r="F167" s="1"/>
      <c r="G167" s="1"/>
      <c r="H167" s="1"/>
      <c r="I167" s="1"/>
    </row>
    <row r="168" spans="2:21" x14ac:dyDescent="0.25">
      <c r="B168" s="1"/>
      <c r="C168" s="1"/>
      <c r="D168" s="1"/>
      <c r="E168" s="1"/>
      <c r="F168" s="1"/>
      <c r="G168" s="1"/>
      <c r="H168" s="1"/>
      <c r="I168" s="1"/>
      <c r="N168" s="338" t="s">
        <v>777</v>
      </c>
      <c r="O168" s="2"/>
      <c r="P168" s="2"/>
    </row>
    <row r="169" spans="2:21" x14ac:dyDescent="0.25">
      <c r="B169" s="1"/>
      <c r="C169" s="1"/>
      <c r="D169" s="1"/>
      <c r="E169" s="1"/>
      <c r="F169" s="1"/>
      <c r="G169" s="1"/>
      <c r="H169" s="1"/>
      <c r="I169" s="1"/>
      <c r="N169" s="461" t="s">
        <v>11</v>
      </c>
      <c r="O169" s="461" t="s">
        <v>13</v>
      </c>
      <c r="P169" s="461" t="s">
        <v>778</v>
      </c>
    </row>
    <row r="170" spans="2:21" x14ac:dyDescent="0.25">
      <c r="B170" s="1"/>
      <c r="C170" s="1"/>
      <c r="D170" s="1"/>
      <c r="E170" s="1"/>
      <c r="F170" s="1"/>
      <c r="G170" s="1"/>
      <c r="H170" s="1"/>
      <c r="I170" s="1"/>
      <c r="N170" s="459" t="str">
        <f>+N166</f>
        <v>COMPRA-ELC-REF1</v>
      </c>
      <c r="O170" s="460" t="str">
        <f>+'3. Scope3'!B36</f>
        <v>CO2e-REF1</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652</v>
      </c>
    </row>
    <row r="196" spans="2:16" x14ac:dyDescent="0.25">
      <c r="O196">
        <f>+O195*365</f>
        <v>89425</v>
      </c>
      <c r="P196" t="s">
        <v>653</v>
      </c>
    </row>
    <row r="197" spans="2:16" x14ac:dyDescent="0.25">
      <c r="O197">
        <f>+O196/1000</f>
        <v>89.424999999999997</v>
      </c>
      <c r="P197" t="s">
        <v>646</v>
      </c>
    </row>
  </sheetData>
  <mergeCells count="11">
    <mergeCell ref="L162:U162"/>
    <mergeCell ref="L48:U48"/>
    <mergeCell ref="L81:U81"/>
    <mergeCell ref="L104:U104"/>
    <mergeCell ref="L128:U128"/>
    <mergeCell ref="L28:U28"/>
    <mergeCell ref="L7:U7"/>
    <mergeCell ref="R10:S10"/>
    <mergeCell ref="O12:O13"/>
    <mergeCell ref="S12:S13"/>
    <mergeCell ref="N9:P9"/>
  </mergeCells>
  <pageMargins left="0.7" right="0.7" top="0.75" bottom="0.75" header="0.3" footer="0.3"/>
  <pageSetup paperSize="9" orientation="portrait" r:id="rId1"/>
  <ignoredErrors>
    <ignoredError sqref="N63" formulaRange="1"/>
    <ignoredError sqref="O63" 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8FE3-670E-419B-A99E-69B49FD5DC81}">
  <dimension ref="A1:Z197"/>
  <sheetViews>
    <sheetView showGridLines="0" topLeftCell="F49" zoomScale="115" zoomScaleNormal="115" workbookViewId="0">
      <selection activeCell="P75" sqref="P75"/>
    </sheetView>
  </sheetViews>
  <sheetFormatPr baseColWidth="10" defaultRowHeight="15" x14ac:dyDescent="0.25"/>
  <cols>
    <col min="1" max="1" width="6.7109375" customWidth="1"/>
    <col min="2" max="2" width="15.42578125" customWidth="1"/>
    <col min="3" max="3" width="18.7109375" customWidth="1"/>
    <col min="4" max="4" width="37"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618</v>
      </c>
      <c r="D1">
        <v>119.96</v>
      </c>
      <c r="E1" t="s">
        <v>325</v>
      </c>
    </row>
    <row r="2" spans="3:21" x14ac:dyDescent="0.25">
      <c r="C2" t="s">
        <v>618</v>
      </c>
      <c r="D2">
        <v>142500</v>
      </c>
      <c r="E2" t="s">
        <v>635</v>
      </c>
      <c r="F2">
        <v>1.4250000000000001E-7</v>
      </c>
      <c r="G2" t="s">
        <v>636</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560" t="s">
        <v>613</v>
      </c>
      <c r="M7" s="595"/>
      <c r="N7" s="595"/>
      <c r="O7" s="595"/>
      <c r="P7" s="595"/>
      <c r="Q7" s="595"/>
      <c r="R7" s="595"/>
      <c r="S7" s="595"/>
      <c r="T7" s="595"/>
      <c r="U7" s="561"/>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600" t="s">
        <v>614</v>
      </c>
      <c r="O9" s="601"/>
      <c r="P9" s="602"/>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724</v>
      </c>
      <c r="P10" s="359" t="s">
        <v>659</v>
      </c>
      <c r="R10" s="596"/>
      <c r="S10" s="596"/>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615</v>
      </c>
      <c r="O11" s="321">
        <f>100%-'4. Refinery''s Data'!D15</f>
        <v>0.30000095471773769</v>
      </c>
      <c r="P11" s="360">
        <f>+O11</f>
        <v>0.30000095471773769</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616</v>
      </c>
      <c r="O12" s="597"/>
      <c r="P12" s="360"/>
      <c r="R12" s="19"/>
      <c r="S12" s="599"/>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617</v>
      </c>
      <c r="O13" s="598"/>
      <c r="P13" s="362"/>
      <c r="R13" s="19"/>
      <c r="S13" s="596"/>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519</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516</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482</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153</v>
      </c>
      <c r="R21" s="319" t="s">
        <v>31</v>
      </c>
      <c r="T21" s="323"/>
    </row>
    <row r="22" spans="1:22" x14ac:dyDescent="0.25">
      <c r="A22" s="417" t="s">
        <v>46</v>
      </c>
      <c r="B22" s="417"/>
      <c r="C22" s="427" t="s">
        <v>727</v>
      </c>
      <c r="D22" s="452" t="s">
        <v>750</v>
      </c>
      <c r="E22" s="452" t="s">
        <v>9</v>
      </c>
      <c r="F22" s="452" t="s">
        <v>42</v>
      </c>
      <c r="G22" s="418"/>
      <c r="N22" s="320" t="str">
        <f>+C22</f>
        <v>MIX-OIL-REF2</v>
      </c>
      <c r="O22" s="22" t="str">
        <f>+C10</f>
        <v>HOIL</v>
      </c>
      <c r="P22" s="320" t="str">
        <f>+C36</f>
        <v>OIL-REF2</v>
      </c>
      <c r="Q22" s="321">
        <f>+O11</f>
        <v>0.30000095471773769</v>
      </c>
      <c r="R22" s="322">
        <v>1</v>
      </c>
      <c r="T22" s="323"/>
      <c r="U22" s="342"/>
      <c r="V22" s="342"/>
    </row>
    <row r="23" spans="1:22" x14ac:dyDescent="0.25">
      <c r="A23" s="417"/>
      <c r="B23" s="417"/>
      <c r="C23" s="428" t="s">
        <v>728</v>
      </c>
      <c r="D23" s="453" t="s">
        <v>751</v>
      </c>
      <c r="E23" s="452" t="s">
        <v>9</v>
      </c>
      <c r="F23" s="452" t="s">
        <v>42</v>
      </c>
      <c r="G23" s="418"/>
      <c r="I23" s="341"/>
      <c r="N23" s="320"/>
      <c r="O23" s="320" t="str">
        <f>+C9</f>
        <v>MOIL</v>
      </c>
      <c r="P23" s="320"/>
      <c r="Q23" s="321"/>
      <c r="R23" s="320"/>
      <c r="T23" s="323"/>
      <c r="U23" s="72"/>
      <c r="V23" s="72"/>
    </row>
    <row r="24" spans="1:22" x14ac:dyDescent="0.25">
      <c r="A24" s="417"/>
      <c r="B24" s="417"/>
      <c r="C24" s="400" t="s">
        <v>729</v>
      </c>
      <c r="D24" s="453" t="s">
        <v>752</v>
      </c>
      <c r="E24" s="452" t="s">
        <v>9</v>
      </c>
      <c r="F24" s="452" t="s">
        <v>42</v>
      </c>
      <c r="G24" s="418"/>
      <c r="N24" s="22"/>
      <c r="O24" s="320" t="str">
        <f>+C8</f>
        <v>LOIL</v>
      </c>
      <c r="P24" s="22"/>
      <c r="Q24" s="22"/>
      <c r="R24" s="22"/>
      <c r="T24" s="323"/>
      <c r="U24" s="343"/>
      <c r="V24" s="343"/>
    </row>
    <row r="25" spans="1:22" x14ac:dyDescent="0.25">
      <c r="A25" s="417"/>
      <c r="B25" s="417"/>
      <c r="C25" s="427" t="s">
        <v>730</v>
      </c>
      <c r="D25" s="453" t="s">
        <v>753</v>
      </c>
      <c r="E25" s="16" t="s">
        <v>9</v>
      </c>
      <c r="F25" s="16" t="s">
        <v>42</v>
      </c>
      <c r="G25" s="418"/>
      <c r="T25" s="323"/>
      <c r="U25" s="72"/>
      <c r="V25" s="72"/>
    </row>
    <row r="26" spans="1:22" x14ac:dyDescent="0.25">
      <c r="A26" s="418"/>
      <c r="B26" s="418"/>
      <c r="C26" s="19" t="s">
        <v>731</v>
      </c>
      <c r="D26" s="19" t="s">
        <v>754</v>
      </c>
      <c r="E26" s="16" t="s">
        <v>9</v>
      </c>
      <c r="F26" s="16" t="s">
        <v>42</v>
      </c>
      <c r="G26" s="418"/>
    </row>
    <row r="27" spans="1:22" x14ac:dyDescent="0.25">
      <c r="A27" s="418"/>
      <c r="B27" s="418"/>
      <c r="C27" s="22" t="s">
        <v>759</v>
      </c>
      <c r="D27" s="22" t="s">
        <v>765</v>
      </c>
      <c r="E27" s="22" t="s">
        <v>9</v>
      </c>
      <c r="F27" s="320" t="s">
        <v>42</v>
      </c>
      <c r="G27" s="418"/>
    </row>
    <row r="28" spans="1:22" x14ac:dyDescent="0.25">
      <c r="A28" s="418"/>
      <c r="B28" s="418"/>
      <c r="C28" s="428" t="s">
        <v>747</v>
      </c>
      <c r="D28" s="428" t="s">
        <v>766</v>
      </c>
      <c r="E28" s="428" t="s">
        <v>9</v>
      </c>
      <c r="F28" s="320" t="s">
        <v>42</v>
      </c>
      <c r="G28" s="418"/>
      <c r="L28" s="560" t="s">
        <v>668</v>
      </c>
      <c r="M28" s="595"/>
      <c r="N28" s="595"/>
      <c r="O28" s="595"/>
      <c r="P28" s="595"/>
      <c r="Q28" s="595"/>
      <c r="R28" s="595"/>
      <c r="S28" s="595"/>
      <c r="T28" s="595"/>
      <c r="U28" s="561"/>
    </row>
    <row r="29" spans="1:22" x14ac:dyDescent="0.25">
      <c r="A29" s="418"/>
      <c r="B29" s="418"/>
      <c r="C29" s="417"/>
      <c r="D29" s="417"/>
      <c r="E29" s="417"/>
      <c r="F29" s="417"/>
      <c r="G29" s="418"/>
      <c r="L29" s="148"/>
      <c r="U29" s="297"/>
    </row>
    <row r="30" spans="1:22" x14ac:dyDescent="0.25">
      <c r="A30" s="418"/>
      <c r="B30" s="418"/>
      <c r="F30" s="417"/>
      <c r="G30" s="418"/>
      <c r="L30" s="148"/>
      <c r="U30" s="297"/>
    </row>
    <row r="31" spans="1:22" x14ac:dyDescent="0.25">
      <c r="A31" s="418"/>
      <c r="B31" s="418"/>
      <c r="F31" s="417"/>
      <c r="G31" s="418"/>
      <c r="L31" s="148"/>
      <c r="N31" s="356" t="s">
        <v>630</v>
      </c>
      <c r="O31" s="356" t="s">
        <v>250</v>
      </c>
      <c r="P31" s="356" t="s">
        <v>660</v>
      </c>
      <c r="R31" s="20" t="s">
        <v>715</v>
      </c>
      <c r="S31" s="20" t="s">
        <v>661</v>
      </c>
      <c r="U31" s="297"/>
    </row>
    <row r="32" spans="1:22" x14ac:dyDescent="0.25">
      <c r="A32" s="418"/>
      <c r="B32" s="418"/>
      <c r="C32" s="418"/>
      <c r="D32" s="418"/>
      <c r="E32" s="418"/>
      <c r="F32" s="418"/>
      <c r="G32" s="418"/>
      <c r="L32" s="148"/>
      <c r="N32" s="341" t="s">
        <v>631</v>
      </c>
      <c r="O32" s="57">
        <f>+P32*1000/(E8*365)</f>
        <v>244.00000000000003</v>
      </c>
      <c r="P32" s="371">
        <f>244*E8*365/1000</f>
        <v>542.12373136730503</v>
      </c>
      <c r="Q32" s="371" t="s">
        <v>9</v>
      </c>
      <c r="U32" s="297"/>
    </row>
    <row r="33" spans="1:26" x14ac:dyDescent="0.25">
      <c r="A33" s="418"/>
      <c r="B33" s="418"/>
      <c r="C33" s="418"/>
      <c r="D33" s="418"/>
      <c r="E33" s="418"/>
      <c r="F33" s="418"/>
      <c r="G33" s="418"/>
      <c r="L33" s="148"/>
      <c r="N33" s="341" t="s">
        <v>706</v>
      </c>
      <c r="O33" s="75">
        <v>667</v>
      </c>
      <c r="P33" s="371">
        <f>+O33*0.0036</f>
        <v>2.4011999999999998</v>
      </c>
      <c r="Q33" s="372" t="s">
        <v>9</v>
      </c>
      <c r="R33" s="323">
        <f>+ROUND(P33/P32,4)</f>
        <v>4.4000000000000003E-3</v>
      </c>
      <c r="S33" s="71" t="str">
        <f>+ROUND(O33/(365*O32),4)&amp;" Gwh per kbl oil"</f>
        <v>0,0075 Gwh per kbl oil</v>
      </c>
      <c r="U33" s="297"/>
      <c r="W33" t="s">
        <v>738</v>
      </c>
      <c r="X33" t="s">
        <v>739</v>
      </c>
    </row>
    <row r="34" spans="1:26" x14ac:dyDescent="0.25">
      <c r="A34" s="423" t="s">
        <v>20</v>
      </c>
      <c r="B34" s="423"/>
      <c r="C34" s="424"/>
      <c r="D34" s="424"/>
      <c r="E34" s="424"/>
      <c r="F34" s="418"/>
      <c r="G34" s="418"/>
      <c r="L34" s="148"/>
      <c r="N34" s="341" t="s">
        <v>632</v>
      </c>
      <c r="O34">
        <v>5.83</v>
      </c>
      <c r="P34" s="371">
        <f>+O34*0.041868</f>
        <v>0.24409044000000002</v>
      </c>
      <c r="Q34" s="372" t="s">
        <v>9</v>
      </c>
      <c r="R34" s="323">
        <f>+ROUND(P34/P32,4)</f>
        <v>5.0000000000000001E-4</v>
      </c>
      <c r="S34" s="71" t="str">
        <f>+ROUND(O34/(365*O32),4)&amp;" kt H2 per kbl oil"</f>
        <v>0,0001 kt H2 per kbl oil</v>
      </c>
      <c r="U34" s="297"/>
      <c r="W34" t="s">
        <v>1</v>
      </c>
      <c r="X34" t="s">
        <v>740</v>
      </c>
      <c r="Y34">
        <v>2019</v>
      </c>
    </row>
    <row r="35" spans="1:26" x14ac:dyDescent="0.25">
      <c r="A35" s="420" t="s">
        <v>21</v>
      </c>
      <c r="B35" s="421" t="s">
        <v>22</v>
      </c>
      <c r="C35" s="421" t="s">
        <v>2</v>
      </c>
      <c r="D35" s="421" t="s">
        <v>23</v>
      </c>
      <c r="E35" s="422" t="s">
        <v>24</v>
      </c>
      <c r="F35" s="418"/>
      <c r="G35" s="418"/>
      <c r="L35" s="148"/>
      <c r="N35" s="341"/>
      <c r="O35" s="72"/>
      <c r="U35" s="297"/>
      <c r="W35" t="s">
        <v>741</v>
      </c>
      <c r="X35" t="s">
        <v>733</v>
      </c>
      <c r="Y35">
        <v>0.24284476982969799</v>
      </c>
      <c r="Z35" s="450">
        <f>+Y35/$Y$40</f>
        <v>4.9624956990719797E-4</v>
      </c>
    </row>
    <row r="36" spans="1:26" x14ac:dyDescent="0.25">
      <c r="A36" s="425" t="s">
        <v>82</v>
      </c>
      <c r="B36" s="425"/>
      <c r="C36" s="417" t="s">
        <v>732</v>
      </c>
      <c r="D36" s="417" t="s">
        <v>779</v>
      </c>
      <c r="E36" s="417" t="s">
        <v>9</v>
      </c>
      <c r="F36" s="418"/>
      <c r="G36" s="418"/>
      <c r="L36" s="148"/>
      <c r="N36" s="440" t="s">
        <v>713</v>
      </c>
      <c r="O36" s="441"/>
      <c r="P36" s="441">
        <f>+O135</f>
        <v>1.4407199999999998</v>
      </c>
      <c r="Q36" s="438" t="s">
        <v>9</v>
      </c>
      <c r="R36" s="72">
        <f>+O135/P32</f>
        <v>2.6575482987367489E-3</v>
      </c>
      <c r="S36" t="s">
        <v>714</v>
      </c>
      <c r="U36" s="297"/>
      <c r="W36" t="s">
        <v>741</v>
      </c>
      <c r="X36" t="s">
        <v>734</v>
      </c>
      <c r="Y36">
        <v>2.1370339745013398</v>
      </c>
      <c r="Z36" s="450">
        <f t="shared" ref="Z36:Z38" si="0">+Y36/$Y$40</f>
        <v>4.366996215183337E-3</v>
      </c>
    </row>
    <row r="37" spans="1:26" x14ac:dyDescent="0.25">
      <c r="A37" s="417"/>
      <c r="B37" s="417"/>
      <c r="C37" t="s">
        <v>733</v>
      </c>
      <c r="D37" t="s">
        <v>780</v>
      </c>
      <c r="E37" t="s">
        <v>9</v>
      </c>
      <c r="F37" s="418"/>
      <c r="G37" s="418"/>
      <c r="L37" s="151"/>
      <c r="M37" s="152"/>
      <c r="N37" s="152"/>
      <c r="O37" s="152"/>
      <c r="P37" s="152"/>
      <c r="Q37" s="152"/>
      <c r="R37" s="152"/>
      <c r="S37" s="152"/>
      <c r="T37" s="152"/>
      <c r="U37" s="302"/>
      <c r="W37" t="s">
        <v>741</v>
      </c>
      <c r="X37" t="s">
        <v>732</v>
      </c>
      <c r="Y37">
        <v>485.68953965939698</v>
      </c>
      <c r="Z37" s="450">
        <f t="shared" si="0"/>
        <v>0.99249913981439797</v>
      </c>
    </row>
    <row r="38" spans="1:26" x14ac:dyDescent="0.25">
      <c r="A38" s="417"/>
      <c r="B38" s="418"/>
      <c r="C38" t="s">
        <v>734</v>
      </c>
      <c r="D38" t="s">
        <v>781</v>
      </c>
      <c r="E38" t="s">
        <v>9</v>
      </c>
      <c r="F38" s="418"/>
      <c r="G38" s="418"/>
      <c r="W38" t="s">
        <v>741</v>
      </c>
      <c r="X38" t="s">
        <v>735</v>
      </c>
      <c r="Y38">
        <v>1.29074340983606</v>
      </c>
      <c r="Z38" s="450">
        <f t="shared" si="0"/>
        <v>2.6376144005114295E-3</v>
      </c>
    </row>
    <row r="39" spans="1:26" x14ac:dyDescent="0.25">
      <c r="A39" s="417"/>
      <c r="B39" s="418"/>
      <c r="C39" s="71" t="s">
        <v>735</v>
      </c>
      <c r="D39" t="s">
        <v>782</v>
      </c>
      <c r="E39" t="s">
        <v>9</v>
      </c>
      <c r="F39" s="418"/>
      <c r="G39" s="418"/>
      <c r="N39" s="344" t="s">
        <v>633</v>
      </c>
      <c r="O39" s="345"/>
      <c r="P39" s="346"/>
    </row>
    <row r="40" spans="1:26" x14ac:dyDescent="0.25">
      <c r="C40" s="71" t="s">
        <v>757</v>
      </c>
      <c r="D40" s="71" t="s">
        <v>755</v>
      </c>
      <c r="E40" s="463" t="s">
        <v>9</v>
      </c>
      <c r="G40" s="418"/>
      <c r="N40" s="374" t="s">
        <v>11</v>
      </c>
      <c r="O40" s="340" t="s">
        <v>12</v>
      </c>
      <c r="P40" s="375" t="s">
        <v>175</v>
      </c>
      <c r="Y40">
        <f>+SUM(Y35:Y38)</f>
        <v>489.3601618135641</v>
      </c>
    </row>
    <row r="41" spans="1:26" x14ac:dyDescent="0.25">
      <c r="A41" s="417"/>
      <c r="B41" s="417"/>
      <c r="C41" s="71" t="s">
        <v>758</v>
      </c>
      <c r="D41" s="71" t="s">
        <v>756</v>
      </c>
      <c r="E41" s="463" t="s">
        <v>9</v>
      </c>
      <c r="G41" s="418"/>
      <c r="N41" s="347" t="str">
        <f>+C23</f>
        <v>REF2</v>
      </c>
      <c r="O41" s="348" t="str">
        <f>+P22</f>
        <v>OIL-REF2</v>
      </c>
      <c r="P41" s="442">
        <f>1/(1+R33+R34+R36)</f>
        <v>0.99249913981439808</v>
      </c>
      <c r="T41" s="265"/>
    </row>
    <row r="42" spans="1:26" x14ac:dyDescent="0.25">
      <c r="A42" s="417"/>
      <c r="B42" s="417"/>
      <c r="C42" s="418"/>
      <c r="D42" s="418"/>
      <c r="E42" s="418"/>
      <c r="F42" s="418"/>
      <c r="G42" s="418"/>
      <c r="N42" s="349"/>
      <c r="O42" s="350" t="str">
        <f>+C38</f>
        <v>H2-REF2</v>
      </c>
      <c r="P42" s="442">
        <f>R34/(1+R33+R34+R36)</f>
        <v>4.9624956990719905E-4</v>
      </c>
    </row>
    <row r="43" spans="1:26" x14ac:dyDescent="0.25">
      <c r="A43" s="417"/>
      <c r="B43" s="417"/>
      <c r="C43" s="417"/>
      <c r="D43" s="417"/>
      <c r="E43" s="417"/>
      <c r="F43" s="418"/>
      <c r="G43" s="418"/>
      <c r="N43" s="1"/>
      <c r="O43" s="357" t="str">
        <f>+C37</f>
        <v>ELC-REF2</v>
      </c>
      <c r="P43" s="442">
        <f>R33/(1+R33+R34+R36)</f>
        <v>4.3669962151833518E-3</v>
      </c>
    </row>
    <row r="44" spans="1:26" x14ac:dyDescent="0.25">
      <c r="B44" s="344" t="s">
        <v>0</v>
      </c>
      <c r="C44" s="345"/>
      <c r="D44" s="346"/>
      <c r="E44" s="417"/>
      <c r="N44" s="1"/>
      <c r="O44" s="438" t="str">
        <f>+O159</f>
        <v>STEAM-DRM-REF2</v>
      </c>
      <c r="P44" s="442">
        <f>R36/(1+R33+R34+R36)</f>
        <v>2.6376144005114403E-3</v>
      </c>
    </row>
    <row r="45" spans="1:26" x14ac:dyDescent="0.25">
      <c r="B45" s="451" t="s">
        <v>11</v>
      </c>
      <c r="C45" s="451" t="s">
        <v>12</v>
      </c>
      <c r="D45" s="451" t="s">
        <v>13</v>
      </c>
      <c r="E45" s="451" t="s">
        <v>31</v>
      </c>
    </row>
    <row r="46" spans="1:26" x14ac:dyDescent="0.25">
      <c r="B46" s="320" t="str">
        <f>+C27</f>
        <v>FTE-GAS-REF2</v>
      </c>
      <c r="C46" s="320" t="s">
        <v>51</v>
      </c>
      <c r="D46" s="320" t="str">
        <f>+C40</f>
        <v>GAS-REF2</v>
      </c>
      <c r="E46" s="285">
        <v>1</v>
      </c>
      <c r="P46" s="373">
        <f>+SUM(P41:P44)</f>
        <v>1</v>
      </c>
    </row>
    <row r="47" spans="1:26" x14ac:dyDescent="0.25">
      <c r="B47" s="320" t="str">
        <f>+C28</f>
        <v>FTE-HFO-REF2</v>
      </c>
      <c r="C47" s="320" t="s">
        <v>50</v>
      </c>
      <c r="D47" s="320" t="str">
        <f>+C41</f>
        <v>HFO-REF2</v>
      </c>
      <c r="E47" s="322">
        <v>1</v>
      </c>
      <c r="F47" s="1"/>
      <c r="G47" s="1"/>
      <c r="H47" s="1"/>
      <c r="I47" s="1"/>
    </row>
    <row r="48" spans="1:26" x14ac:dyDescent="0.25">
      <c r="B48" s="1"/>
      <c r="C48" s="1"/>
      <c r="D48" s="1"/>
      <c r="E48" s="1"/>
      <c r="F48" s="1"/>
      <c r="G48" s="1"/>
      <c r="H48" s="1"/>
      <c r="I48" s="1"/>
      <c r="L48" s="560" t="s">
        <v>667</v>
      </c>
      <c r="M48" s="595"/>
      <c r="N48" s="595"/>
      <c r="O48" s="595"/>
      <c r="P48" s="595"/>
      <c r="Q48" s="595"/>
      <c r="R48" s="595"/>
      <c r="S48" s="595"/>
      <c r="T48" s="595"/>
      <c r="U48" s="561"/>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663</v>
      </c>
      <c r="N50" s="356" t="s">
        <v>647</v>
      </c>
      <c r="O50" s="356" t="s">
        <v>642</v>
      </c>
      <c r="U50" s="297"/>
    </row>
    <row r="51" spans="2:21" x14ac:dyDescent="0.25">
      <c r="B51" s="1"/>
      <c r="C51" s="1"/>
      <c r="D51" s="1"/>
      <c r="E51" s="1"/>
      <c r="F51" s="1"/>
      <c r="G51" s="1"/>
      <c r="H51" s="1"/>
      <c r="I51" s="1"/>
      <c r="L51" s="148"/>
      <c r="M51" s="19" t="s">
        <v>607</v>
      </c>
      <c r="N51" s="445">
        <f>+O32</f>
        <v>244.00000000000003</v>
      </c>
      <c r="O51" s="261">
        <v>12131</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637</v>
      </c>
      <c r="N54" s="356" t="s">
        <v>647</v>
      </c>
      <c r="O54" s="356" t="s">
        <v>642</v>
      </c>
      <c r="P54" s="356" t="s">
        <v>664</v>
      </c>
      <c r="Q54" s="212" t="s">
        <v>664</v>
      </c>
      <c r="S54" s="353"/>
      <c r="T54" s="353"/>
      <c r="U54" s="354"/>
    </row>
    <row r="55" spans="2:21" x14ac:dyDescent="0.25">
      <c r="B55" s="1"/>
      <c r="C55" s="1"/>
      <c r="D55" s="1"/>
      <c r="E55" s="1"/>
      <c r="F55" s="1"/>
      <c r="G55" s="1"/>
      <c r="H55" s="1"/>
      <c r="I55" s="1"/>
      <c r="L55" s="148"/>
      <c r="M55" s="323" t="s">
        <v>85</v>
      </c>
      <c r="N55" s="66"/>
      <c r="O55" s="364">
        <v>2466</v>
      </c>
      <c r="P55" s="365">
        <f>+O55/$O$63</f>
        <v>0.30324643384161337</v>
      </c>
      <c r="Q55" s="446">
        <v>0.32100000000000001</v>
      </c>
      <c r="R55" s="323"/>
      <c r="S55" s="353"/>
      <c r="T55" s="323"/>
      <c r="U55" s="297"/>
    </row>
    <row r="56" spans="2:21" x14ac:dyDescent="0.25">
      <c r="B56" s="1"/>
      <c r="C56" s="1"/>
      <c r="D56" s="1"/>
      <c r="E56" s="1"/>
      <c r="F56" s="1"/>
      <c r="G56" s="1"/>
      <c r="H56" s="1"/>
      <c r="I56" s="1"/>
      <c r="L56" s="148"/>
      <c r="M56" s="323" t="s">
        <v>638</v>
      </c>
      <c r="N56" s="66"/>
      <c r="O56" s="364">
        <v>3084</v>
      </c>
      <c r="P56" s="365">
        <f>+O56/$O$63</f>
        <v>0.3792424987702902</v>
      </c>
      <c r="Q56" s="446">
        <v>0.32900000000000001</v>
      </c>
      <c r="R56" s="323"/>
      <c r="S56" s="323"/>
      <c r="T56" s="323"/>
      <c r="U56" s="297"/>
    </row>
    <row r="57" spans="2:21" x14ac:dyDescent="0.25">
      <c r="B57" s="1"/>
      <c r="C57" s="1"/>
      <c r="D57" s="1"/>
      <c r="E57" s="1"/>
      <c r="F57" s="1"/>
      <c r="G57" s="1"/>
      <c r="H57" s="1"/>
      <c r="I57" s="1"/>
      <c r="L57" s="148"/>
      <c r="M57" s="323" t="s">
        <v>87</v>
      </c>
      <c r="N57" s="66"/>
      <c r="O57" s="364">
        <v>716</v>
      </c>
      <c r="P57" s="365">
        <f>+O57/$O$63</f>
        <v>8.8047220855878017E-2</v>
      </c>
      <c r="Q57" s="446">
        <v>0.08</v>
      </c>
      <c r="R57" s="323"/>
      <c r="S57" s="323"/>
      <c r="T57" s="323"/>
      <c r="U57" s="297"/>
    </row>
    <row r="58" spans="2:21" x14ac:dyDescent="0.25">
      <c r="B58" s="1"/>
      <c r="C58" s="1"/>
      <c r="D58" s="1"/>
      <c r="E58" s="1"/>
      <c r="F58" s="1"/>
      <c r="G58" s="1"/>
      <c r="H58" s="1"/>
      <c r="I58" s="1"/>
      <c r="L58" s="148"/>
      <c r="M58" s="323" t="s">
        <v>49</v>
      </c>
      <c r="N58" s="66"/>
      <c r="O58" s="364"/>
      <c r="P58" s="365">
        <f t="shared" ref="P58" si="1">+O58/$O$63</f>
        <v>0</v>
      </c>
      <c r="Q58" s="446">
        <v>2.5999999999999999E-2</v>
      </c>
      <c r="R58" s="323"/>
      <c r="S58" s="323"/>
      <c r="T58" s="323"/>
      <c r="U58" s="297"/>
    </row>
    <row r="59" spans="2:21" x14ac:dyDescent="0.25">
      <c r="B59" s="1"/>
      <c r="C59" s="1"/>
      <c r="D59" s="1"/>
      <c r="E59" s="1"/>
      <c r="F59" s="1"/>
      <c r="G59" s="1"/>
      <c r="H59" s="1"/>
      <c r="I59" s="1"/>
      <c r="L59" s="148"/>
      <c r="M59" s="323" t="s">
        <v>88</v>
      </c>
      <c r="N59" s="66"/>
      <c r="O59" s="364">
        <v>1575</v>
      </c>
      <c r="P59" s="365">
        <f>+O59/$O$63</f>
        <v>0.19367929168716183</v>
      </c>
      <c r="Q59" s="446">
        <v>0.20100000000000001</v>
      </c>
      <c r="R59" s="323"/>
      <c r="S59" s="72"/>
      <c r="T59" s="323"/>
      <c r="U59" s="297"/>
    </row>
    <row r="60" spans="2:21" x14ac:dyDescent="0.25">
      <c r="B60" s="1"/>
      <c r="C60" s="1"/>
      <c r="D60" s="1"/>
      <c r="E60" s="1"/>
      <c r="F60" s="1"/>
      <c r="G60" s="1"/>
      <c r="H60" s="1"/>
      <c r="I60" s="1"/>
      <c r="L60" s="148"/>
      <c r="M60" s="323" t="s">
        <v>725</v>
      </c>
      <c r="N60" s="66"/>
      <c r="O60" s="364"/>
      <c r="P60" s="365">
        <f>+O60/$O$63</f>
        <v>0</v>
      </c>
      <c r="Q60" s="446">
        <v>1E-3</v>
      </c>
      <c r="T60" s="323"/>
      <c r="U60" s="297"/>
    </row>
    <row r="61" spans="2:21" x14ac:dyDescent="0.25">
      <c r="B61" s="1"/>
      <c r="C61" s="1"/>
      <c r="D61" s="1"/>
      <c r="E61" s="1"/>
      <c r="F61" s="1"/>
      <c r="G61" s="1"/>
      <c r="H61" s="1"/>
      <c r="I61" s="1"/>
      <c r="L61" s="148"/>
      <c r="M61" s="323" t="s">
        <v>648</v>
      </c>
      <c r="N61" s="436"/>
      <c r="O61" s="364">
        <v>291</v>
      </c>
      <c r="P61" s="365">
        <f>+O61/$O$63</f>
        <v>3.578455484505657E-2</v>
      </c>
      <c r="Q61" s="447">
        <v>4.2000000000000003E-2</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662</v>
      </c>
      <c r="N63" s="261"/>
      <c r="O63" s="367">
        <f>+SUM(O55:O61)</f>
        <v>8132</v>
      </c>
      <c r="P63" s="368">
        <f>+SUM(P55:P61)</f>
        <v>1</v>
      </c>
      <c r="Q63" s="369">
        <f>+SUM(Q55:Q61)</f>
        <v>1</v>
      </c>
      <c r="U63" s="297"/>
    </row>
    <row r="64" spans="2:21" x14ac:dyDescent="0.25">
      <c r="B64" s="1"/>
      <c r="C64" s="1"/>
      <c r="D64" s="1"/>
      <c r="E64" s="1"/>
      <c r="F64" s="1"/>
      <c r="G64" s="1"/>
      <c r="H64" s="1"/>
      <c r="I64" s="1"/>
      <c r="L64" s="148"/>
      <c r="M64" s="323" t="s">
        <v>569</v>
      </c>
      <c r="N64" s="367"/>
      <c r="O64" s="367">
        <f>24.39-O63</f>
        <v>-8107.61</v>
      </c>
      <c r="P64" s="365"/>
      <c r="S64" s="309"/>
      <c r="T64" s="309"/>
      <c r="U64" s="297"/>
    </row>
    <row r="65" spans="2:21" x14ac:dyDescent="0.25">
      <c r="B65" s="1"/>
      <c r="C65" s="1"/>
      <c r="D65" s="1"/>
      <c r="E65" s="1"/>
      <c r="F65" s="1"/>
      <c r="G65" s="1"/>
      <c r="H65" s="1"/>
      <c r="I65" s="1"/>
      <c r="L65" s="148"/>
      <c r="M65" s="323" t="s">
        <v>576</v>
      </c>
      <c r="N65" s="367"/>
      <c r="O65" s="367">
        <f>+O64+O63</f>
        <v>24.390000000000327</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640</v>
      </c>
      <c r="O70" s="339"/>
      <c r="P70" s="2"/>
    </row>
    <row r="71" spans="2:21" x14ac:dyDescent="0.25">
      <c r="B71" s="1"/>
      <c r="C71" s="1"/>
      <c r="D71" s="1"/>
      <c r="E71" s="1"/>
      <c r="F71" s="1"/>
      <c r="G71" s="1"/>
      <c r="H71" s="1"/>
      <c r="I71" s="1"/>
      <c r="N71" s="317" t="s">
        <v>11</v>
      </c>
      <c r="O71" s="327" t="s">
        <v>13</v>
      </c>
      <c r="P71" s="376" t="s">
        <v>553</v>
      </c>
      <c r="S71" s="309"/>
    </row>
    <row r="72" spans="2:21" x14ac:dyDescent="0.25">
      <c r="B72" s="1"/>
      <c r="C72" s="1"/>
      <c r="D72" s="1"/>
      <c r="E72" s="1"/>
      <c r="F72" s="1"/>
      <c r="G72" s="1"/>
      <c r="H72" s="1"/>
      <c r="I72" s="1"/>
      <c r="N72" s="352" t="str">
        <f>+C23</f>
        <v>REF2</v>
      </c>
      <c r="O72" s="1" t="s">
        <v>45</v>
      </c>
      <c r="P72" s="265">
        <f>+P55+P60</f>
        <v>0.30324643384161337</v>
      </c>
    </row>
    <row r="73" spans="2:21" x14ac:dyDescent="0.25">
      <c r="B73" s="1"/>
      <c r="C73" s="1"/>
      <c r="D73" s="1"/>
      <c r="E73" s="1"/>
      <c r="F73" s="1"/>
      <c r="G73" s="1"/>
      <c r="H73" s="1"/>
      <c r="I73" s="1"/>
      <c r="N73" s="1"/>
      <c r="O73" s="1" t="s">
        <v>47</v>
      </c>
      <c r="P73" s="265">
        <f>+P56</f>
        <v>0.3792424987702902</v>
      </c>
    </row>
    <row r="74" spans="2:21" x14ac:dyDescent="0.25">
      <c r="B74" s="1"/>
      <c r="C74" s="1"/>
      <c r="D74" s="1"/>
      <c r="E74" s="1"/>
      <c r="F74" s="1"/>
      <c r="G74" s="1"/>
      <c r="H74" s="1"/>
      <c r="I74" s="1"/>
      <c r="N74" s="1"/>
      <c r="O74" s="1" t="s">
        <v>48</v>
      </c>
      <c r="P74" s="265">
        <f>+P57</f>
        <v>8.8047220855878017E-2</v>
      </c>
    </row>
    <row r="75" spans="2:21" x14ac:dyDescent="0.25">
      <c r="B75" s="1"/>
      <c r="C75" s="1"/>
      <c r="D75" s="1"/>
      <c r="E75" s="1"/>
      <c r="F75" s="1"/>
      <c r="G75" s="1"/>
      <c r="H75" s="1"/>
      <c r="I75" s="1"/>
      <c r="N75" s="1"/>
      <c r="O75" s="1" t="s">
        <v>49</v>
      </c>
      <c r="P75" s="265">
        <f>+P58</f>
        <v>0</v>
      </c>
      <c r="R75" s="265"/>
    </row>
    <row r="76" spans="2:21" x14ac:dyDescent="0.25">
      <c r="B76" s="1"/>
      <c r="C76" s="1"/>
      <c r="D76" s="1"/>
      <c r="E76" s="1"/>
      <c r="F76" s="1"/>
      <c r="G76" s="1"/>
      <c r="H76" s="1"/>
      <c r="I76" s="1"/>
      <c r="N76" s="1"/>
      <c r="O76" s="1" t="s">
        <v>50</v>
      </c>
      <c r="P76" s="265">
        <f>+P59</f>
        <v>0.19367929168716183</v>
      </c>
    </row>
    <row r="77" spans="2:21" x14ac:dyDescent="0.25">
      <c r="B77" s="1"/>
      <c r="C77" s="1"/>
      <c r="D77" s="1"/>
      <c r="E77" s="1"/>
      <c r="F77" s="1"/>
      <c r="G77" s="1"/>
      <c r="H77" s="1"/>
      <c r="I77" s="1"/>
      <c r="N77" s="1"/>
      <c r="O77" s="1" t="s">
        <v>743</v>
      </c>
      <c r="P77" s="299">
        <f>+P61</f>
        <v>3.578455484505657E-2</v>
      </c>
    </row>
    <row r="78" spans="2:21" x14ac:dyDescent="0.25">
      <c r="B78" s="1"/>
      <c r="C78" s="1"/>
      <c r="D78" s="1"/>
      <c r="E78" s="1"/>
      <c r="F78" s="1"/>
      <c r="G78" s="1"/>
      <c r="H78" s="1"/>
      <c r="I78" s="1"/>
      <c r="O78" s="1" t="s">
        <v>519</v>
      </c>
      <c r="P78" s="265">
        <v>0</v>
      </c>
    </row>
    <row r="79" spans="2:21" x14ac:dyDescent="0.25">
      <c r="B79" s="1"/>
      <c r="C79" s="1"/>
      <c r="D79" s="1"/>
      <c r="E79" s="1"/>
      <c r="F79" s="1"/>
      <c r="G79" s="1"/>
      <c r="H79" s="1"/>
      <c r="I79" s="1"/>
      <c r="Q79" s="370">
        <f>++SUM(P72:P77)</f>
        <v>1</v>
      </c>
    </row>
    <row r="80" spans="2:21" x14ac:dyDescent="0.25">
      <c r="B80" s="1"/>
      <c r="C80" s="1"/>
      <c r="D80" s="1"/>
      <c r="E80" s="1"/>
      <c r="F80" s="1"/>
      <c r="G80" s="1"/>
      <c r="H80" s="1"/>
      <c r="I80" s="1"/>
    </row>
    <row r="81" spans="1:21" x14ac:dyDescent="0.25">
      <c r="B81" s="1"/>
      <c r="C81" s="1"/>
      <c r="D81" s="1"/>
      <c r="E81" s="1"/>
      <c r="F81" s="1"/>
      <c r="G81" s="1"/>
      <c r="H81" s="1"/>
      <c r="I81" s="1"/>
      <c r="L81" s="560" t="s">
        <v>669</v>
      </c>
      <c r="M81" s="595"/>
      <c r="N81" s="595"/>
      <c r="O81" s="595"/>
      <c r="P81" s="595"/>
      <c r="Q81" s="595"/>
      <c r="R81" s="595"/>
      <c r="S81" s="595"/>
      <c r="T81" s="595"/>
      <c r="U81" s="561"/>
    </row>
    <row r="82" spans="1:21" x14ac:dyDescent="0.25">
      <c r="B82" s="1"/>
      <c r="C82" s="1"/>
      <c r="D82" s="1"/>
      <c r="E82" s="1"/>
      <c r="F82" s="1"/>
      <c r="G82" s="1"/>
      <c r="H82" s="1"/>
      <c r="I82" s="1"/>
      <c r="L82" s="148"/>
      <c r="U82" s="297"/>
    </row>
    <row r="83" spans="1:21" x14ac:dyDescent="0.25">
      <c r="A83" t="s">
        <v>644</v>
      </c>
      <c r="B83" s="1"/>
      <c r="C83" s="1"/>
      <c r="D83" s="1"/>
      <c r="E83" s="1"/>
      <c r="F83" s="1"/>
      <c r="G83" s="1"/>
      <c r="H83" s="1"/>
      <c r="I83" s="1"/>
      <c r="L83" s="148"/>
      <c r="N83" s="152"/>
      <c r="O83" s="356" t="s">
        <v>250</v>
      </c>
      <c r="P83" s="356" t="s">
        <v>660</v>
      </c>
      <c r="T83" s="378"/>
      <c r="U83" s="297"/>
    </row>
    <row r="84" spans="1:21" x14ac:dyDescent="0.25">
      <c r="A84" t="s">
        <v>643</v>
      </c>
      <c r="B84" s="1"/>
      <c r="C84" s="1"/>
      <c r="D84" s="1"/>
      <c r="E84" s="1"/>
      <c r="F84" s="1"/>
      <c r="G84" s="1"/>
      <c r="H84" s="1"/>
      <c r="I84" s="1"/>
      <c r="L84" s="148"/>
      <c r="N84" s="323" t="s">
        <v>670</v>
      </c>
      <c r="O84">
        <f>+'4. Refinery''s Data'!D21</f>
        <v>250</v>
      </c>
      <c r="P84" s="364">
        <f>+O84*365*E10/1000</f>
        <v>555.45464279436999</v>
      </c>
      <c r="S84" s="122"/>
      <c r="T84" s="122"/>
      <c r="U84" s="297"/>
    </row>
    <row r="85" spans="1:21" x14ac:dyDescent="0.25">
      <c r="A85" t="s">
        <v>645</v>
      </c>
      <c r="B85" s="1"/>
      <c r="C85" s="1"/>
      <c r="D85" s="1"/>
      <c r="E85" s="1"/>
      <c r="F85" s="1"/>
      <c r="G85" s="1"/>
      <c r="H85" s="1"/>
      <c r="I85" s="1"/>
      <c r="L85" s="148"/>
      <c r="N85" s="323" t="s">
        <v>623</v>
      </c>
      <c r="O85">
        <v>218.6</v>
      </c>
      <c r="P85" s="367">
        <f>+O85*365*E10/1000</f>
        <v>485.68953965939704</v>
      </c>
      <c r="U85" s="297"/>
    </row>
    <row r="86" spans="1:21" x14ac:dyDescent="0.25">
      <c r="B86" s="1"/>
      <c r="C86" s="1"/>
      <c r="D86" s="1"/>
      <c r="E86" s="1"/>
      <c r="F86" s="1"/>
      <c r="G86" s="1"/>
      <c r="H86" s="1"/>
      <c r="I86" s="1"/>
      <c r="L86" s="148"/>
      <c r="N86" s="324" t="s">
        <v>624</v>
      </c>
      <c r="O86" s="379">
        <f>+O85/O84</f>
        <v>0.87439999999999996</v>
      </c>
      <c r="U86" s="297"/>
    </row>
    <row r="87" spans="1:21" x14ac:dyDescent="0.25">
      <c r="B87" s="1"/>
      <c r="C87" s="1"/>
      <c r="D87" s="1"/>
      <c r="E87" s="1"/>
      <c r="F87" s="1"/>
      <c r="G87" s="1"/>
      <c r="H87" s="1"/>
      <c r="I87" s="1"/>
      <c r="L87" s="148"/>
      <c r="N87" s="325" t="s">
        <v>625</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672</v>
      </c>
      <c r="O89" s="384"/>
      <c r="P89" s="384">
        <f>+O65/O51</f>
        <v>2.0105514796801851E-3</v>
      </c>
      <c r="U89" s="297"/>
    </row>
    <row r="90" spans="1:21" x14ac:dyDescent="0.25">
      <c r="B90" s="1"/>
      <c r="C90" s="1"/>
      <c r="D90" s="1"/>
      <c r="E90" s="1"/>
      <c r="F90" s="1"/>
      <c r="G90" s="1"/>
      <c r="H90" s="1"/>
      <c r="I90" s="1"/>
      <c r="L90" s="148"/>
      <c r="N90" s="323" t="s">
        <v>671</v>
      </c>
      <c r="O90" s="384"/>
      <c r="P90" s="384">
        <v>0.76400000000000001</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673</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626</v>
      </c>
      <c r="Q96" s="330" t="s">
        <v>553</v>
      </c>
      <c r="R96" s="331" t="s">
        <v>175</v>
      </c>
    </row>
    <row r="97" spans="2:25" x14ac:dyDescent="0.25">
      <c r="B97" s="1"/>
      <c r="C97" s="1"/>
      <c r="D97" s="415"/>
      <c r="E97" s="1"/>
      <c r="F97" s="415"/>
      <c r="G97" s="1"/>
      <c r="H97" s="1"/>
      <c r="I97" s="1"/>
      <c r="N97" s="426" t="str">
        <f>+N72</f>
        <v>REF2</v>
      </c>
      <c r="O97" s="328" t="s">
        <v>627</v>
      </c>
      <c r="P97" s="333">
        <v>2019</v>
      </c>
      <c r="Q97" s="337">
        <f>+P85*P90</f>
        <v>371.06680829977932</v>
      </c>
    </row>
    <row r="98" spans="2:25" x14ac:dyDescent="0.25">
      <c r="B98" s="1"/>
      <c r="C98" s="1"/>
      <c r="D98" s="1"/>
      <c r="E98" s="416"/>
      <c r="F98" s="1"/>
      <c r="G98" s="1"/>
      <c r="H98" s="1"/>
      <c r="I98" s="1"/>
      <c r="N98" s="22" t="str">
        <f>+N97</f>
        <v>REF2</v>
      </c>
      <c r="O98" s="22" t="str">
        <f>+O97</f>
        <v>ACT_BND</v>
      </c>
      <c r="P98" s="22">
        <v>2020</v>
      </c>
      <c r="Q98" s="382">
        <f>+P84*P90</f>
        <v>424.36734709489866</v>
      </c>
      <c r="R98" s="320"/>
    </row>
    <row r="99" spans="2:25" x14ac:dyDescent="0.25">
      <c r="B99" s="1"/>
      <c r="C99" s="1"/>
      <c r="D99" s="1"/>
      <c r="E99" s="1"/>
      <c r="F99" s="1"/>
      <c r="G99" s="1"/>
      <c r="H99" s="1"/>
      <c r="I99" s="1"/>
      <c r="N99" s="332" t="str">
        <f>+N97</f>
        <v>REF2</v>
      </c>
      <c r="O99" s="332" t="s">
        <v>31</v>
      </c>
      <c r="P99" s="333">
        <v>2019</v>
      </c>
      <c r="Q99" s="333"/>
      <c r="R99" s="322">
        <f>+P90*P41</f>
        <v>0.75826934281820013</v>
      </c>
    </row>
    <row r="100" spans="2:25" x14ac:dyDescent="0.25">
      <c r="B100" s="1"/>
      <c r="C100" s="1"/>
      <c r="D100" s="1"/>
      <c r="E100" s="1"/>
      <c r="F100" s="1"/>
      <c r="G100" s="1"/>
      <c r="H100" s="1"/>
      <c r="I100" s="1"/>
      <c r="N100" s="333" t="str">
        <f>+N97</f>
        <v>REF2</v>
      </c>
      <c r="O100" s="334" t="s">
        <v>628</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560" t="s">
        <v>674</v>
      </c>
      <c r="M104" s="595"/>
      <c r="N104" s="595"/>
      <c r="O104" s="595"/>
      <c r="P104" s="595"/>
      <c r="Q104" s="595"/>
      <c r="R104" s="595"/>
      <c r="S104" s="595"/>
      <c r="T104" s="595"/>
      <c r="U104" s="561"/>
    </row>
    <row r="105" spans="2:25" x14ac:dyDescent="0.25">
      <c r="B105" s="1"/>
      <c r="C105" s="1"/>
      <c r="D105" s="1"/>
      <c r="E105" s="1"/>
      <c r="F105" s="1"/>
      <c r="G105" s="1"/>
      <c r="H105" s="1"/>
      <c r="I105" s="1"/>
      <c r="L105" s="148"/>
      <c r="U105" s="297"/>
      <c r="X105">
        <v>4.5</v>
      </c>
      <c r="Y105" t="s">
        <v>654</v>
      </c>
    </row>
    <row r="106" spans="2:25" x14ac:dyDescent="0.25">
      <c r="B106" s="1"/>
      <c r="C106" s="1"/>
      <c r="D106" s="1"/>
      <c r="E106" s="1"/>
      <c r="F106" s="1"/>
      <c r="G106" s="1"/>
      <c r="H106" s="1"/>
      <c r="I106" s="1"/>
      <c r="L106" s="148"/>
      <c r="U106" s="297"/>
      <c r="X106">
        <v>1</v>
      </c>
      <c r="Y106" t="s">
        <v>651</v>
      </c>
    </row>
    <row r="107" spans="2:25" x14ac:dyDescent="0.25">
      <c r="B107" s="1"/>
      <c r="C107" s="1"/>
      <c r="D107" s="1"/>
      <c r="E107" s="1"/>
      <c r="F107" s="1"/>
      <c r="G107" s="1"/>
      <c r="H107" s="1"/>
      <c r="I107" s="1"/>
      <c r="L107" s="148"/>
      <c r="N107" s="387"/>
      <c r="O107" s="392" t="s">
        <v>250</v>
      </c>
      <c r="P107" s="392" t="s">
        <v>660</v>
      </c>
      <c r="U107" s="297"/>
    </row>
    <row r="108" spans="2:25" x14ac:dyDescent="0.25">
      <c r="B108" s="1"/>
      <c r="C108" s="1"/>
      <c r="D108" s="1"/>
      <c r="E108" s="1"/>
      <c r="F108" s="1"/>
      <c r="G108" s="1"/>
      <c r="H108" s="1"/>
      <c r="I108" s="1"/>
      <c r="L108" s="148"/>
      <c r="N108" s="390" t="s">
        <v>676</v>
      </c>
      <c r="O108" s="389">
        <f>394.77/299.7</f>
        <v>1.3172172172172172</v>
      </c>
      <c r="P108" s="388">
        <f>+O108</f>
        <v>1.3172172172172172</v>
      </c>
      <c r="Q108" t="s">
        <v>677</v>
      </c>
      <c r="U108" s="297"/>
      <c r="X108">
        <f>+O34*1000000</f>
        <v>5830000</v>
      </c>
      <c r="Y108" t="s">
        <v>651</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679</v>
      </c>
      <c r="U110" s="297"/>
      <c r="X110">
        <f>+X108*X105</f>
        <v>26235000</v>
      </c>
      <c r="Y110" t="s">
        <v>655</v>
      </c>
    </row>
    <row r="111" spans="2:25" x14ac:dyDescent="0.25">
      <c r="B111" s="1"/>
      <c r="C111" s="1"/>
      <c r="D111" s="1"/>
      <c r="E111" s="1"/>
      <c r="F111" s="1"/>
      <c r="G111" s="1"/>
      <c r="H111" s="1"/>
      <c r="I111" s="1"/>
      <c r="L111" s="148"/>
      <c r="N111" s="323" t="s">
        <v>678</v>
      </c>
      <c r="O111" s="391">
        <f>79/(9*1000*24*365)</f>
        <v>1.002029426686961E-6</v>
      </c>
      <c r="P111" s="122">
        <f>+(O111/119.96)*1000000000</f>
        <v>8.3530295655798685</v>
      </c>
      <c r="Q111" t="s">
        <v>131</v>
      </c>
      <c r="U111" s="297"/>
      <c r="X111">
        <f>+X110*35.3147</f>
        <v>926481154.5</v>
      </c>
      <c r="Y111" t="s">
        <v>656</v>
      </c>
    </row>
    <row r="112" spans="2:25" x14ac:dyDescent="0.25">
      <c r="B112" s="1"/>
      <c r="C112" s="1"/>
      <c r="D112" s="1"/>
      <c r="E112" s="1"/>
      <c r="F112" s="1"/>
      <c r="G112" s="1"/>
      <c r="H112" s="1"/>
      <c r="I112" s="1"/>
      <c r="L112" s="148"/>
      <c r="U112" s="297"/>
      <c r="X112">
        <f>+X111/(1000000)</f>
        <v>926.4811545</v>
      </c>
      <c r="Y112" t="s">
        <v>657</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2.5383045328767122</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626</v>
      </c>
      <c r="Q116" s="340" t="s">
        <v>553</v>
      </c>
      <c r="R116" s="399" t="s">
        <v>175</v>
      </c>
    </row>
    <row r="117" spans="2:24" x14ac:dyDescent="0.25">
      <c r="B117" s="1"/>
      <c r="C117" s="1"/>
      <c r="D117" s="1"/>
      <c r="E117" s="1"/>
      <c r="F117" s="1"/>
      <c r="G117" s="1"/>
      <c r="H117" s="1"/>
      <c r="I117" s="1"/>
      <c r="N117" s="400" t="str">
        <f>+C24</f>
        <v>SMR-REF2</v>
      </c>
      <c r="O117" s="400" t="s">
        <v>627</v>
      </c>
      <c r="P117" s="320">
        <v>2019</v>
      </c>
      <c r="Q117" s="401"/>
      <c r="R117" s="400"/>
    </row>
    <row r="118" spans="2:24" x14ac:dyDescent="0.25">
      <c r="B118" s="1"/>
      <c r="C118" s="1"/>
      <c r="D118" s="1"/>
      <c r="E118" s="1"/>
      <c r="F118" s="1"/>
      <c r="G118" s="1"/>
      <c r="H118" s="1"/>
      <c r="I118" s="1"/>
      <c r="N118" s="400" t="str">
        <f>+N117</f>
        <v>SMR-REF2</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SMR-REF2</v>
      </c>
      <c r="O123" s="16" t="str">
        <f>+D46</f>
        <v>GAS-REF2</v>
      </c>
      <c r="P123" s="16" t="str">
        <f>+C38</f>
        <v>H2-REF2</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560" t="s">
        <v>680</v>
      </c>
      <c r="M128" s="595"/>
      <c r="N128" s="595"/>
      <c r="O128" s="595"/>
      <c r="P128" s="595"/>
      <c r="Q128" s="595"/>
      <c r="R128" s="595"/>
      <c r="S128" s="595"/>
      <c r="T128" s="595"/>
      <c r="U128" s="561"/>
      <c r="W128" t="s">
        <v>709</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681</v>
      </c>
    </row>
    <row r="130" spans="2:25" x14ac:dyDescent="0.25">
      <c r="B130" s="1"/>
      <c r="C130" s="1"/>
      <c r="D130" s="1" t="s">
        <v>698</v>
      </c>
      <c r="E130" s="1">
        <v>1561</v>
      </c>
      <c r="F130" s="1" t="s">
        <v>560</v>
      </c>
      <c r="G130" s="1"/>
      <c r="H130" s="1"/>
      <c r="I130" s="1"/>
      <c r="L130" s="148"/>
      <c r="M130" s="351" t="s">
        <v>681</v>
      </c>
      <c r="N130" s="356" t="s">
        <v>683</v>
      </c>
      <c r="O130" s="356" t="s">
        <v>660</v>
      </c>
      <c r="P130" s="152"/>
      <c r="Q130" s="152" t="s">
        <v>684</v>
      </c>
      <c r="R130" s="363"/>
      <c r="S130" s="20"/>
      <c r="T130" s="20"/>
      <c r="U130" s="297"/>
      <c r="W130" t="s">
        <v>263</v>
      </c>
      <c r="X130" s="122">
        <f>+Q131</f>
        <v>181.10027784183313</v>
      </c>
    </row>
    <row r="131" spans="2:25" x14ac:dyDescent="0.25">
      <c r="B131" s="1"/>
      <c r="C131" s="1"/>
      <c r="D131" s="1" t="s">
        <v>699</v>
      </c>
      <c r="E131" s="1">
        <v>874.27499999999998</v>
      </c>
      <c r="F131" s="1" t="s">
        <v>253</v>
      </c>
      <c r="G131" s="434" t="s">
        <v>736</v>
      </c>
      <c r="H131" s="1">
        <f>643+289</f>
        <v>932</v>
      </c>
      <c r="I131" s="1"/>
      <c r="L131" s="148"/>
      <c r="M131" s="323" t="s">
        <v>682</v>
      </c>
      <c r="N131" s="19">
        <v>58</v>
      </c>
      <c r="O131" s="261">
        <f>43+643*I132</f>
        <v>485.45016077170419</v>
      </c>
      <c r="P131" t="s">
        <v>9</v>
      </c>
      <c r="Q131" s="122">
        <f>O131/(85*24*365*0.0036/1000)</f>
        <v>181.10027784183313</v>
      </c>
      <c r="R131" s="71" t="s">
        <v>686</v>
      </c>
      <c r="U131" s="297"/>
      <c r="W131" t="s">
        <v>708</v>
      </c>
      <c r="X131" s="57">
        <f>+Q132</f>
        <v>83.520672675452204</v>
      </c>
    </row>
    <row r="132" spans="2:25" x14ac:dyDescent="0.25">
      <c r="B132" s="1"/>
      <c r="C132" s="1"/>
      <c r="D132" s="1" t="s">
        <v>700</v>
      </c>
      <c r="E132" s="1">
        <f>+E130-E131</f>
        <v>686.72500000000002</v>
      </c>
      <c r="F132" s="1" t="s">
        <v>253</v>
      </c>
      <c r="G132" s="434" t="s">
        <v>737</v>
      </c>
      <c r="H132" s="1">
        <v>642</v>
      </c>
      <c r="I132" s="449">
        <f>+H132/(H132+H133)</f>
        <v>0.68810289389067525</v>
      </c>
      <c r="L132" s="148"/>
      <c r="M132" s="323" t="s">
        <v>515</v>
      </c>
      <c r="N132" s="436">
        <v>33.799999999999997</v>
      </c>
      <c r="O132" s="261">
        <f>643*I133</f>
        <v>200.54983922829581</v>
      </c>
      <c r="P132" t="s">
        <v>9</v>
      </c>
      <c r="Q132" s="122">
        <f>+O132/(O33*0.0036)</f>
        <v>83.520672675452204</v>
      </c>
      <c r="R132" t="s">
        <v>685</v>
      </c>
      <c r="U132" s="297"/>
      <c r="X132" s="122">
        <f>+X131+X130</f>
        <v>264.62095051728534</v>
      </c>
    </row>
    <row r="133" spans="2:25" x14ac:dyDescent="0.25">
      <c r="B133" s="1"/>
      <c r="C133" s="1"/>
      <c r="D133" s="1"/>
      <c r="E133" s="1"/>
      <c r="F133" s="1"/>
      <c r="G133" s="1" t="s">
        <v>50</v>
      </c>
      <c r="H133" s="1">
        <v>291</v>
      </c>
      <c r="I133" s="449">
        <f>+H133/(H132+H133)</f>
        <v>0.31189710610932475</v>
      </c>
      <c r="L133" s="148"/>
      <c r="M133" s="323" t="s">
        <v>207</v>
      </c>
      <c r="O133" s="19">
        <v>154</v>
      </c>
      <c r="P133" t="s">
        <v>9</v>
      </c>
      <c r="Q133" s="122">
        <f>+Q132+Q131</f>
        <v>264.62095051728534</v>
      </c>
      <c r="U133" s="297"/>
    </row>
    <row r="134" spans="2:25" x14ac:dyDescent="0.25">
      <c r="B134" s="1"/>
      <c r="C134" s="1"/>
      <c r="D134" s="1"/>
      <c r="E134" s="1"/>
      <c r="F134" s="1"/>
      <c r="G134" s="1"/>
      <c r="H134" s="1"/>
      <c r="I134" s="1"/>
      <c r="L134" s="148"/>
      <c r="N134" s="323"/>
      <c r="U134" s="297"/>
      <c r="W134" s="121" t="s">
        <v>637</v>
      </c>
    </row>
    <row r="135" spans="2:25" x14ac:dyDescent="0.25">
      <c r="B135" s="1"/>
      <c r="C135" s="1"/>
      <c r="D135" s="1"/>
      <c r="E135" s="1"/>
      <c r="F135" s="1"/>
      <c r="G135" s="1"/>
      <c r="H135" s="1"/>
      <c r="I135" s="1"/>
      <c r="L135" s="148"/>
      <c r="M135" s="325" t="s">
        <v>705</v>
      </c>
      <c r="N135" s="438"/>
      <c r="O135" s="444">
        <f>+Q135*P33</f>
        <v>1.4407199999999998</v>
      </c>
      <c r="P135" s="438" t="s">
        <v>9</v>
      </c>
      <c r="Q135" s="434">
        <f>+(O138-O139)/O139</f>
        <v>0.6</v>
      </c>
      <c r="R135" t="s">
        <v>707</v>
      </c>
      <c r="U135" s="297"/>
      <c r="W135" t="s">
        <v>72</v>
      </c>
      <c r="X135">
        <v>1</v>
      </c>
    </row>
    <row r="136" spans="2:25" x14ac:dyDescent="0.25">
      <c r="B136" s="1"/>
      <c r="C136" s="1"/>
      <c r="D136" s="1"/>
      <c r="E136" s="1"/>
      <c r="F136" s="1"/>
      <c r="G136" s="1"/>
      <c r="H136" s="1"/>
      <c r="I136" s="1"/>
      <c r="L136" s="148"/>
      <c r="N136" s="1"/>
      <c r="O136" s="443"/>
      <c r="P136" s="1"/>
      <c r="Q136" s="1"/>
      <c r="U136" s="297"/>
      <c r="W136" t="s">
        <v>697</v>
      </c>
      <c r="X136">
        <f>+X135*Q135</f>
        <v>0.6</v>
      </c>
    </row>
    <row r="137" spans="2:25" x14ac:dyDescent="0.25">
      <c r="B137" s="1"/>
      <c r="C137" s="1"/>
      <c r="D137" s="1"/>
      <c r="E137" s="1"/>
      <c r="F137" s="1"/>
      <c r="G137" s="1"/>
      <c r="H137" s="1"/>
      <c r="I137" s="1"/>
      <c r="L137" s="148"/>
      <c r="N137" s="323" t="s">
        <v>687</v>
      </c>
      <c r="O137">
        <v>193</v>
      </c>
      <c r="P137" t="s">
        <v>675</v>
      </c>
      <c r="U137" s="297"/>
      <c r="X137">
        <f>+X136+X135</f>
        <v>1.6</v>
      </c>
    </row>
    <row r="138" spans="2:25" x14ac:dyDescent="0.25">
      <c r="B138" s="1"/>
      <c r="C138" s="1"/>
      <c r="D138" s="412"/>
      <c r="E138" s="1"/>
      <c r="F138" s="1"/>
      <c r="G138" s="1"/>
      <c r="H138" s="1"/>
      <c r="I138" s="1"/>
      <c r="L138" s="148"/>
      <c r="N138" s="323" t="s">
        <v>721</v>
      </c>
      <c r="O138" s="299">
        <v>0.6</v>
      </c>
      <c r="U138" s="297"/>
    </row>
    <row r="139" spans="2:25" x14ac:dyDescent="0.25">
      <c r="B139" s="1"/>
      <c r="C139" s="1"/>
      <c r="D139" s="412"/>
      <c r="E139" s="1"/>
      <c r="F139" s="1"/>
      <c r="G139" s="1"/>
      <c r="H139" s="1"/>
      <c r="I139" s="1"/>
      <c r="L139" s="148"/>
      <c r="N139" s="323" t="s">
        <v>722</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718</v>
      </c>
      <c r="X141">
        <v>0.375</v>
      </c>
      <c r="Y141" s="63">
        <f>+X141/X143</f>
        <v>0.625</v>
      </c>
    </row>
    <row r="142" spans="2:25" x14ac:dyDescent="0.25">
      <c r="B142" s="1"/>
      <c r="C142" s="1"/>
      <c r="D142" s="1"/>
      <c r="E142" s="1"/>
      <c r="F142" s="1"/>
      <c r="G142" s="1"/>
      <c r="H142" s="1"/>
      <c r="I142" s="1"/>
      <c r="W142" t="s">
        <v>720</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719</v>
      </c>
      <c r="X143">
        <v>0.6</v>
      </c>
    </row>
    <row r="144" spans="2:25" x14ac:dyDescent="0.25">
      <c r="B144" s="1"/>
      <c r="C144" s="1"/>
      <c r="D144" s="1"/>
      <c r="E144" s="1"/>
      <c r="F144" s="1"/>
      <c r="G144" s="1"/>
      <c r="H144" s="1"/>
      <c r="I144" s="1"/>
      <c r="N144" s="327" t="s">
        <v>11</v>
      </c>
      <c r="O144" s="327" t="s">
        <v>1</v>
      </c>
      <c r="P144" s="327" t="s">
        <v>626</v>
      </c>
      <c r="Q144" s="327" t="s">
        <v>553</v>
      </c>
      <c r="R144" s="393" t="s">
        <v>175</v>
      </c>
      <c r="S144" s="1"/>
    </row>
    <row r="145" spans="2:19" x14ac:dyDescent="0.25">
      <c r="B145" s="1"/>
      <c r="C145" s="1"/>
      <c r="D145" s="1"/>
      <c r="E145" s="1"/>
      <c r="F145" s="1"/>
      <c r="G145" s="1"/>
      <c r="H145" s="1"/>
      <c r="I145" s="1"/>
      <c r="N145" s="394" t="str">
        <f>+C25</f>
        <v>AUTO-REF2</v>
      </c>
      <c r="O145" s="394" t="s">
        <v>627</v>
      </c>
      <c r="P145" s="395">
        <v>2019</v>
      </c>
      <c r="Q145" s="432"/>
      <c r="R145" s="394"/>
      <c r="S145" s="1"/>
    </row>
    <row r="146" spans="2:19" x14ac:dyDescent="0.25">
      <c r="B146" s="1"/>
      <c r="C146" s="1"/>
      <c r="D146" s="1"/>
      <c r="E146" s="1"/>
      <c r="F146" s="437"/>
      <c r="G146" s="1"/>
      <c r="H146" s="1"/>
      <c r="I146" s="1"/>
      <c r="N146" s="402" t="str">
        <f>+N145</f>
        <v>AUTO-REF2</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633</v>
      </c>
      <c r="O149" s="339"/>
      <c r="P149" s="2"/>
      <c r="Q149" s="1"/>
      <c r="R149" s="1"/>
      <c r="S149" s="1"/>
    </row>
    <row r="150" spans="2:19" x14ac:dyDescent="0.25">
      <c r="B150" s="1"/>
      <c r="C150" s="1"/>
      <c r="D150" s="1"/>
      <c r="E150" s="1"/>
      <c r="F150" s="1"/>
      <c r="G150" s="1"/>
      <c r="H150" s="1"/>
      <c r="I150" s="1"/>
      <c r="N150" s="327" t="s">
        <v>11</v>
      </c>
      <c r="O150" s="327" t="s">
        <v>12</v>
      </c>
      <c r="P150" s="327" t="s">
        <v>553</v>
      </c>
      <c r="Q150" s="1"/>
      <c r="R150" s="1"/>
      <c r="S150" s="1"/>
    </row>
    <row r="151" spans="2:19" x14ac:dyDescent="0.25">
      <c r="B151" s="1"/>
      <c r="C151" s="1"/>
      <c r="D151" s="1"/>
      <c r="E151" s="1"/>
      <c r="F151" s="1"/>
      <c r="G151" s="1"/>
      <c r="H151" s="1"/>
      <c r="I151" s="1"/>
      <c r="N151" s="16" t="str">
        <f>+N145</f>
        <v>AUTO-REF2</v>
      </c>
      <c r="O151" s="429" t="str">
        <f>+O77</f>
        <v>RFG2</v>
      </c>
      <c r="P151" s="439">
        <f>+O132/(O132+O131+O133)</f>
        <v>0.23874980860511405</v>
      </c>
      <c r="Q151" s="1"/>
      <c r="R151" s="413"/>
      <c r="S151" s="1"/>
    </row>
    <row r="152" spans="2:19" x14ac:dyDescent="0.25">
      <c r="B152" s="1"/>
      <c r="C152" s="1"/>
      <c r="D152" s="1"/>
      <c r="E152" s="1"/>
      <c r="F152" s="1"/>
      <c r="G152" s="1"/>
      <c r="H152" s="1"/>
      <c r="I152" s="1"/>
      <c r="N152" s="16"/>
      <c r="O152" s="16" t="str">
        <f>+D46</f>
        <v>GAS-REF2</v>
      </c>
      <c r="P152" s="439">
        <f>+O131/(O132+O131+O133)</f>
        <v>0.57791685806155257</v>
      </c>
      <c r="Q152" s="1"/>
      <c r="R152" s="413"/>
      <c r="S152" s="1"/>
    </row>
    <row r="153" spans="2:19" x14ac:dyDescent="0.25">
      <c r="B153" s="1"/>
      <c r="C153" s="1"/>
      <c r="D153" s="1"/>
      <c r="E153" s="1"/>
      <c r="F153" s="1"/>
      <c r="G153" s="1"/>
      <c r="H153" s="1"/>
      <c r="I153" s="1"/>
      <c r="N153" s="1"/>
      <c r="O153" s="16" t="str">
        <f>+D47</f>
        <v>HFO-REF2</v>
      </c>
      <c r="P153" s="439">
        <f>+O133/(O132+O131+O133)</f>
        <v>0.18333333333333332</v>
      </c>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640</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AUTO-REF2</v>
      </c>
      <c r="O158" s="430" t="str">
        <f>+C37</f>
        <v>ELC-REF2</v>
      </c>
      <c r="P158" s="439">
        <f>+Y141</f>
        <v>0.625</v>
      </c>
      <c r="Q158" s="1"/>
      <c r="R158" s="1"/>
      <c r="S158" s="1"/>
    </row>
    <row r="159" spans="2:19" x14ac:dyDescent="0.25">
      <c r="B159" s="1"/>
      <c r="C159" s="1"/>
      <c r="D159" s="1"/>
      <c r="E159" s="1"/>
      <c r="F159" s="1"/>
      <c r="G159" s="1"/>
      <c r="H159" s="1"/>
      <c r="I159" s="1"/>
      <c r="O159" s="19" t="str">
        <f>+C39</f>
        <v>STEAM-DRM-REF2</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560" t="s">
        <v>712</v>
      </c>
      <c r="M162" s="595"/>
      <c r="N162" s="595"/>
      <c r="O162" s="595"/>
      <c r="P162" s="595"/>
      <c r="Q162" s="595"/>
      <c r="R162" s="595"/>
      <c r="S162" s="595"/>
      <c r="T162" s="595"/>
      <c r="U162" s="561"/>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COMPRA-ELC-REF2</v>
      </c>
      <c r="O166" s="22" t="str">
        <f>+'1. EXP_IMP'!J51</f>
        <v>ELC-SIN</v>
      </c>
      <c r="P166" s="431" t="str">
        <f>+O158</f>
        <v>ELC-REF2</v>
      </c>
    </row>
    <row r="167" spans="2:21" x14ac:dyDescent="0.25">
      <c r="B167" s="1"/>
      <c r="C167" s="1"/>
      <c r="D167" s="1"/>
      <c r="E167" s="1"/>
      <c r="F167" s="1"/>
      <c r="G167" s="1"/>
      <c r="H167" s="1"/>
      <c r="I167" s="1"/>
    </row>
    <row r="168" spans="2:21" x14ac:dyDescent="0.25">
      <c r="B168" s="1"/>
      <c r="C168" s="1"/>
      <c r="D168" s="1"/>
      <c r="E168" s="1"/>
      <c r="F168" s="1"/>
      <c r="G168" s="1"/>
      <c r="H168" s="1"/>
      <c r="I168" s="1"/>
      <c r="N168" s="338" t="s">
        <v>777</v>
      </c>
      <c r="O168" s="2"/>
      <c r="P168" s="2"/>
    </row>
    <row r="169" spans="2:21" x14ac:dyDescent="0.25">
      <c r="B169" s="1"/>
      <c r="C169" s="1"/>
      <c r="D169" s="1"/>
      <c r="E169" s="1"/>
      <c r="F169" s="1"/>
      <c r="G169" s="1"/>
      <c r="H169" s="1"/>
      <c r="I169" s="1"/>
      <c r="N169" s="461" t="s">
        <v>11</v>
      </c>
      <c r="O169" s="461" t="s">
        <v>13</v>
      </c>
      <c r="P169" s="461" t="s">
        <v>778</v>
      </c>
    </row>
    <row r="170" spans="2:21" x14ac:dyDescent="0.25">
      <c r="B170" s="1"/>
      <c r="C170" s="1"/>
      <c r="D170" s="1"/>
      <c r="E170" s="1"/>
      <c r="F170" s="1"/>
      <c r="G170" s="1"/>
      <c r="H170" s="1"/>
      <c r="I170" s="1"/>
      <c r="N170" s="459" t="str">
        <f>+N166</f>
        <v>COMPRA-ELC-REF2</v>
      </c>
      <c r="O170" s="460" t="str">
        <f>+'3. Scope3'!B43</f>
        <v>CO2e-REF2</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652</v>
      </c>
    </row>
    <row r="196" spans="2:16" x14ac:dyDescent="0.25">
      <c r="O196">
        <f>+O195*365</f>
        <v>89425</v>
      </c>
      <c r="P196" t="s">
        <v>653</v>
      </c>
    </row>
    <row r="197" spans="2:16" x14ac:dyDescent="0.25">
      <c r="O197">
        <f>+O196/1000</f>
        <v>89.424999999999997</v>
      </c>
      <c r="P197" t="s">
        <v>646</v>
      </c>
    </row>
  </sheetData>
  <mergeCells count="11">
    <mergeCell ref="L28:U28"/>
    <mergeCell ref="L7:U7"/>
    <mergeCell ref="N9:P9"/>
    <mergeCell ref="R10:S10"/>
    <mergeCell ref="O12:O13"/>
    <mergeCell ref="S12:S13"/>
    <mergeCell ref="L48:U48"/>
    <mergeCell ref="L81:U81"/>
    <mergeCell ref="L104:U104"/>
    <mergeCell ref="L128:U128"/>
    <mergeCell ref="L162:U162"/>
  </mergeCells>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17921-FACD-4C69-A800-D2F6C713E4A2}">
  <sheetPr>
    <tabColor theme="7" tint="-0.249977111117893"/>
  </sheetPr>
  <dimension ref="A1:BE76"/>
  <sheetViews>
    <sheetView showGridLines="0" topLeftCell="Z1" zoomScale="85" zoomScaleNormal="85" workbookViewId="0">
      <selection activeCell="AQ6" sqref="AQ6"/>
    </sheetView>
  </sheetViews>
  <sheetFormatPr baseColWidth="10" defaultColWidth="9.140625" defaultRowHeight="15" x14ac:dyDescent="0.25"/>
  <cols>
    <col min="2" max="2" width="18.5703125" customWidth="1"/>
    <col min="3" max="3" width="20.28515625" customWidth="1"/>
    <col min="4" max="4" width="9.140625" customWidth="1"/>
    <col min="5" max="5" width="33.7109375" customWidth="1"/>
    <col min="6" max="6" width="27.140625" customWidth="1"/>
    <col min="7" max="7" width="17" customWidth="1"/>
    <col min="8" max="8" width="24.5703125" customWidth="1"/>
    <col min="9" max="9" width="27.28515625" style="292" customWidth="1"/>
    <col min="10" max="10" width="30.5703125" customWidth="1"/>
    <col min="11" max="11" width="11.85546875" customWidth="1"/>
    <col min="12" max="12" width="11" customWidth="1"/>
    <col min="24" max="24" width="14.140625" customWidth="1"/>
    <col min="26" max="26" width="13.5703125" customWidth="1"/>
    <col min="36" max="36" width="11" customWidth="1"/>
    <col min="42" max="42" width="22.140625" customWidth="1"/>
    <col min="45" max="45" width="22" customWidth="1"/>
    <col min="57" max="57" width="11" bestFit="1" customWidth="1"/>
  </cols>
  <sheetData>
    <row r="1" spans="5:57" x14ac:dyDescent="0.25">
      <c r="M1" s="122">
        <f>+'4.1 Ref_Cart'!E8</f>
        <v>6.0871741676095334</v>
      </c>
      <c r="N1" t="s">
        <v>915</v>
      </c>
      <c r="P1">
        <v>5.7</v>
      </c>
      <c r="Q1" t="s">
        <v>917</v>
      </c>
    </row>
    <row r="2" spans="5:57" x14ac:dyDescent="0.25">
      <c r="M2">
        <f>+M1/1000</f>
        <v>6.0871741676095338E-3</v>
      </c>
      <c r="N2" t="s">
        <v>916</v>
      </c>
      <c r="P2">
        <f>+P1/1000</f>
        <v>5.7000000000000002E-3</v>
      </c>
      <c r="Q2" t="s">
        <v>916</v>
      </c>
    </row>
    <row r="4" spans="5:57" ht="15.75" x14ac:dyDescent="0.25">
      <c r="K4" s="605" t="s">
        <v>913</v>
      </c>
      <c r="L4" s="605"/>
      <c r="M4" s="605"/>
      <c r="N4" s="605"/>
      <c r="O4" s="605"/>
      <c r="P4" s="605"/>
      <c r="Q4" s="605"/>
      <c r="R4" s="605"/>
      <c r="S4" s="605"/>
      <c r="T4" s="605"/>
      <c r="U4" s="51"/>
      <c r="V4" s="51"/>
      <c r="W4" s="51"/>
      <c r="Y4" s="605" t="s">
        <v>918</v>
      </c>
      <c r="Z4" s="605"/>
      <c r="AA4" s="605"/>
      <c r="AB4" s="605"/>
      <c r="AC4" s="605"/>
      <c r="AD4" s="605"/>
      <c r="AE4" s="605"/>
      <c r="AF4" s="605"/>
      <c r="AG4" s="605"/>
      <c r="AH4" s="605"/>
      <c r="AI4" s="51"/>
      <c r="AJ4" s="51"/>
      <c r="AR4" s="533" t="s">
        <v>918</v>
      </c>
      <c r="AS4" s="533"/>
      <c r="AT4" s="533"/>
      <c r="AU4" s="533"/>
      <c r="AV4" s="533"/>
      <c r="AW4" s="533"/>
      <c r="AX4" s="533"/>
      <c r="AY4" s="533"/>
      <c r="AZ4" s="533"/>
      <c r="BA4" s="533"/>
      <c r="BB4" s="534"/>
      <c r="BC4" s="534"/>
      <c r="BD4" s="534"/>
    </row>
    <row r="5" spans="5:57" ht="18.75" x14ac:dyDescent="0.25">
      <c r="E5" s="531" t="s">
        <v>796</v>
      </c>
      <c r="F5" s="531" t="s">
        <v>797</v>
      </c>
      <c r="G5" s="468" t="s">
        <v>798</v>
      </c>
      <c r="H5" s="531" t="s">
        <v>799</v>
      </c>
      <c r="I5" s="531" t="s">
        <v>800</v>
      </c>
      <c r="K5" s="515">
        <v>2020</v>
      </c>
      <c r="L5" s="516">
        <v>2023</v>
      </c>
      <c r="M5" s="516">
        <v>2025</v>
      </c>
      <c r="N5" s="516">
        <v>2027</v>
      </c>
      <c r="O5" s="516">
        <v>2030</v>
      </c>
      <c r="P5" s="516">
        <v>2033</v>
      </c>
      <c r="Q5" s="516">
        <v>2035</v>
      </c>
      <c r="R5" s="516">
        <v>2037</v>
      </c>
      <c r="S5" s="516">
        <v>2040</v>
      </c>
      <c r="T5" s="516">
        <v>2043</v>
      </c>
      <c r="U5" s="511">
        <v>2045</v>
      </c>
      <c r="V5" s="511">
        <v>2047</v>
      </c>
      <c r="W5" s="512">
        <v>2050</v>
      </c>
      <c r="X5" s="51" t="s">
        <v>914</v>
      </c>
      <c r="Y5" s="515">
        <v>2020</v>
      </c>
      <c r="Z5" s="516">
        <v>2023</v>
      </c>
      <c r="AA5" s="516">
        <v>2025</v>
      </c>
      <c r="AB5" s="516">
        <v>2027</v>
      </c>
      <c r="AC5" s="516">
        <v>2030</v>
      </c>
      <c r="AD5" s="516">
        <v>2033</v>
      </c>
      <c r="AE5" s="516">
        <v>2035</v>
      </c>
      <c r="AF5" s="516">
        <v>2037</v>
      </c>
      <c r="AG5" s="516">
        <v>2040</v>
      </c>
      <c r="AH5" s="516">
        <v>2043</v>
      </c>
      <c r="AI5" s="511">
        <v>2045</v>
      </c>
      <c r="AJ5" s="511">
        <v>2047</v>
      </c>
      <c r="AK5" s="508">
        <v>2050</v>
      </c>
      <c r="AL5" s="532" t="s">
        <v>919</v>
      </c>
      <c r="AP5" s="486" t="s">
        <v>936</v>
      </c>
      <c r="AQ5" t="s">
        <v>962</v>
      </c>
      <c r="AR5" s="504">
        <v>2020</v>
      </c>
      <c r="AS5" s="504">
        <v>2023</v>
      </c>
      <c r="AT5" s="504">
        <v>2025</v>
      </c>
      <c r="AU5" s="504">
        <v>2027</v>
      </c>
      <c r="AV5" s="504">
        <v>2030</v>
      </c>
      <c r="AW5" s="504">
        <v>2033</v>
      </c>
      <c r="AX5" s="504">
        <v>2035</v>
      </c>
      <c r="AY5" s="504">
        <v>2037</v>
      </c>
      <c r="AZ5" s="504">
        <v>2040</v>
      </c>
      <c r="BA5" s="504">
        <v>2043</v>
      </c>
      <c r="BB5" s="505">
        <v>2045</v>
      </c>
      <c r="BC5" s="505">
        <v>2047</v>
      </c>
      <c r="BD5" s="504">
        <v>2050</v>
      </c>
      <c r="BE5" s="532" t="s">
        <v>919</v>
      </c>
    </row>
    <row r="6" spans="5:57" ht="15.75" x14ac:dyDescent="0.25">
      <c r="E6" s="473" t="e" vm="1">
        <v>#VALUE!</v>
      </c>
      <c r="F6" s="474" t="s">
        <v>816</v>
      </c>
      <c r="G6" s="474" t="s">
        <v>837</v>
      </c>
      <c r="H6" s="474" t="s">
        <v>838</v>
      </c>
      <c r="I6" s="475" t="s">
        <v>839</v>
      </c>
      <c r="J6" s="517">
        <f>+C47</f>
        <v>28.68</v>
      </c>
      <c r="K6" s="517">
        <f>+AA47</f>
        <v>18483.601194567513</v>
      </c>
      <c r="L6" s="517">
        <f t="shared" ref="L6:W6" si="0">+AB47</f>
        <v>14640.064399328548</v>
      </c>
      <c r="M6" s="517">
        <f t="shared" si="0"/>
        <v>12077.70653583575</v>
      </c>
      <c r="N6" s="517">
        <f t="shared" si="0"/>
        <v>0</v>
      </c>
      <c r="O6" s="517">
        <f t="shared" si="0"/>
        <v>0</v>
      </c>
      <c r="P6" s="517">
        <f t="shared" si="0"/>
        <v>0</v>
      </c>
      <c r="Q6" s="517">
        <f t="shared" si="0"/>
        <v>0</v>
      </c>
      <c r="R6" s="517">
        <f t="shared" si="0"/>
        <v>0</v>
      </c>
      <c r="S6" s="517">
        <f t="shared" si="0"/>
        <v>0</v>
      </c>
      <c r="T6" s="517">
        <f t="shared" si="0"/>
        <v>0</v>
      </c>
      <c r="U6" s="514">
        <f t="shared" si="0"/>
        <v>0</v>
      </c>
      <c r="V6" s="514">
        <f t="shared" si="0"/>
        <v>0</v>
      </c>
      <c r="W6" s="514">
        <f t="shared" si="0"/>
        <v>0</v>
      </c>
      <c r="X6" s="514">
        <f>+SLOPE(K6:W6,K$5:W$5)</f>
        <v>-510.41980077296512</v>
      </c>
      <c r="Y6" s="518">
        <f>+K6*$P$2*365/1000</f>
        <v>38.455132285297715</v>
      </c>
      <c r="Z6" s="518">
        <f t="shared" ref="Z6:AA6" si="1">+L6*$P$2*365/1000</f>
        <v>30.458653982803046</v>
      </c>
      <c r="AA6" s="518">
        <f t="shared" si="1"/>
        <v>25.127668447806283</v>
      </c>
      <c r="AB6" s="518"/>
      <c r="AC6" s="518"/>
      <c r="AD6" s="518"/>
      <c r="AE6" s="518"/>
      <c r="AF6" s="518"/>
      <c r="AG6" s="518"/>
      <c r="AH6" s="518"/>
      <c r="AI6" s="518"/>
      <c r="AJ6" s="518"/>
      <c r="AK6" s="518"/>
      <c r="AL6" s="519">
        <f>+SLOPE(Y6:AK6,Y$5:AK$5)</f>
        <v>-2.6654927674982813</v>
      </c>
      <c r="AM6" s="518" t="s">
        <v>839</v>
      </c>
      <c r="AO6" s="75"/>
      <c r="AP6" s="544" t="s">
        <v>926</v>
      </c>
      <c r="AQ6" s="535">
        <f>+J6+J7</f>
        <v>43.6</v>
      </c>
      <c r="AR6" s="535">
        <f t="shared" ref="AR6:AY6" si="2">+Y6+Y7</f>
        <v>45.816389720978073</v>
      </c>
      <c r="AS6" s="536">
        <f t="shared" si="2"/>
        <v>36.93438053993998</v>
      </c>
      <c r="AT6" s="536">
        <f t="shared" si="2"/>
        <v>31.01304108591415</v>
      </c>
      <c r="AU6" s="536">
        <f t="shared" si="2"/>
        <v>5.2950187190789215</v>
      </c>
      <c r="AV6" s="536">
        <f t="shared" si="2"/>
        <v>4.4094878405355011</v>
      </c>
      <c r="AW6" s="536">
        <f t="shared" si="2"/>
        <v>3.5239569619919613</v>
      </c>
      <c r="AX6" s="536">
        <f t="shared" si="2"/>
        <v>2.9336030429630142</v>
      </c>
      <c r="AY6" s="536">
        <f t="shared" si="2"/>
        <v>2.3432491239340676</v>
      </c>
      <c r="AZ6" s="536"/>
      <c r="BA6" s="536"/>
      <c r="BB6" s="536"/>
      <c r="BC6" s="536"/>
      <c r="BD6" s="537"/>
      <c r="BE6">
        <f t="shared" ref="BE6:BE11" si="3">+SLOPE(AR6:BD6,AR$5:BD$5)</f>
        <v>-2.6851115732294639</v>
      </c>
    </row>
    <row r="7" spans="5:57" ht="15.75" x14ac:dyDescent="0.25">
      <c r="E7" s="473" t="e" vm="1">
        <v>#VALUE!</v>
      </c>
      <c r="F7" s="474" t="s">
        <v>816</v>
      </c>
      <c r="G7" s="474" t="s">
        <v>837</v>
      </c>
      <c r="H7" s="474" t="s">
        <v>838</v>
      </c>
      <c r="I7" s="475" t="s">
        <v>840</v>
      </c>
      <c r="J7" s="517">
        <f>+C39</f>
        <v>14.92</v>
      </c>
      <c r="K7" s="517">
        <f>+AA39</f>
        <v>3538.2155422640499</v>
      </c>
      <c r="L7" s="517">
        <f t="shared" ref="L7:W7" si="4">+AB39</f>
        <v>3112.5818587536342</v>
      </c>
      <c r="M7" s="517">
        <f t="shared" si="4"/>
        <v>2828.8260697466321</v>
      </c>
      <c r="N7" s="517">
        <f t="shared" si="4"/>
        <v>2545.0702807396883</v>
      </c>
      <c r="O7" s="517">
        <f t="shared" si="4"/>
        <v>2119.4365972292726</v>
      </c>
      <c r="P7" s="517">
        <f t="shared" si="4"/>
        <v>1693.8029137187987</v>
      </c>
      <c r="Q7" s="517">
        <f t="shared" si="4"/>
        <v>1410.0471247118548</v>
      </c>
      <c r="R7" s="517">
        <f t="shared" si="4"/>
        <v>1126.291335704911</v>
      </c>
      <c r="S7" s="517">
        <f t="shared" si="4"/>
        <v>0</v>
      </c>
      <c r="T7" s="517">
        <f t="shared" si="4"/>
        <v>0</v>
      </c>
      <c r="U7" s="514">
        <f t="shared" si="4"/>
        <v>0</v>
      </c>
      <c r="V7" s="514">
        <f t="shared" si="4"/>
        <v>0</v>
      </c>
      <c r="W7" s="514">
        <f t="shared" si="4"/>
        <v>0</v>
      </c>
      <c r="X7" s="514">
        <f t="shared" ref="X7:X25" si="5">+SLOPE(K7:W7,K$5:W$5)</f>
        <v>-134.16836701473517</v>
      </c>
      <c r="Y7" s="518">
        <f t="shared" ref="Y7:Y25" si="6">+K7*$P$2*365/1000</f>
        <v>7.361257435680356</v>
      </c>
      <c r="Z7" s="518">
        <f t="shared" ref="Z7:Z25" si="7">+L7*$P$2*365/1000</f>
        <v>6.4757265571369373</v>
      </c>
      <c r="AA7" s="518">
        <f t="shared" ref="AA7:AA25" si="8">+M7*$P$2*365/1000</f>
        <v>5.8853726381078681</v>
      </c>
      <c r="AB7" s="518">
        <f t="shared" ref="AB7:AB25" si="9">+N7*$P$2*365/1000</f>
        <v>5.2950187190789215</v>
      </c>
      <c r="AC7" s="518">
        <f t="shared" ref="AC7:AC25" si="10">+O7*$P$2*365/1000</f>
        <v>4.4094878405355011</v>
      </c>
      <c r="AD7" s="518">
        <f t="shared" ref="AD7:AD25" si="11">+P7*$P$2*365/1000</f>
        <v>3.5239569619919613</v>
      </c>
      <c r="AE7" s="518">
        <f t="shared" ref="AE7:AE25" si="12">+Q7*$P$2*365/1000</f>
        <v>2.9336030429630142</v>
      </c>
      <c r="AF7" s="518">
        <f t="shared" ref="AF7:AF25" si="13">+R7*$P$2*365/1000</f>
        <v>2.3432491239340676</v>
      </c>
      <c r="AG7" s="518"/>
      <c r="AH7" s="518"/>
      <c r="AI7" s="518"/>
      <c r="AJ7" s="518"/>
      <c r="AK7" s="518"/>
      <c r="AL7" s="519">
        <f t="shared" ref="AL7:AL25" si="14">+SLOPE(Y7:AK7,Y$5:AK$5)</f>
        <v>-0.29517695951448913</v>
      </c>
      <c r="AM7" t="s">
        <v>840</v>
      </c>
      <c r="AP7" s="545" t="s">
        <v>925</v>
      </c>
      <c r="AQ7" s="538">
        <f>+J8+J9+J10+J11+J12</f>
        <v>360.53999999999996</v>
      </c>
      <c r="AR7" s="538">
        <f t="shared" ref="AR7:BD7" si="15">+Y8+Y9+Y10+Y11+Y12</f>
        <v>301.36815227622213</v>
      </c>
      <c r="AS7" s="539">
        <f t="shared" si="15"/>
        <v>242.4264960500318</v>
      </c>
      <c r="AT7" s="539">
        <f t="shared" si="15"/>
        <v>171.85349200804063</v>
      </c>
      <c r="AU7" s="539">
        <f t="shared" si="15"/>
        <v>144.12763630355897</v>
      </c>
      <c r="AV7" s="539">
        <f t="shared" si="15"/>
        <v>105.8236587820916</v>
      </c>
      <c r="AW7" s="539">
        <f t="shared" si="15"/>
        <v>70.344739436893036</v>
      </c>
      <c r="AX7" s="539">
        <f t="shared" si="15"/>
        <v>40.133944941341369</v>
      </c>
      <c r="AY7" s="539">
        <f t="shared" si="15"/>
        <v>26.750010300979817</v>
      </c>
      <c r="AZ7" s="539">
        <f t="shared" si="15"/>
        <v>15.011164110721554</v>
      </c>
      <c r="BA7" s="539">
        <f t="shared" si="15"/>
        <v>11.223685114326383</v>
      </c>
      <c r="BB7" s="539">
        <f t="shared" si="15"/>
        <v>8.6986991167298644</v>
      </c>
      <c r="BC7" s="539">
        <f t="shared" si="15"/>
        <v>6.3213973707030426</v>
      </c>
      <c r="BD7" s="540">
        <f t="shared" si="15"/>
        <v>2.9625197140667652</v>
      </c>
      <c r="BE7">
        <f t="shared" si="3"/>
        <v>-9.382008134021282</v>
      </c>
    </row>
    <row r="8" spans="5:57" x14ac:dyDescent="0.25">
      <c r="E8" s="473" t="e" vm="2">
        <v>#VALUE!</v>
      </c>
      <c r="F8" s="474" t="s">
        <v>816</v>
      </c>
      <c r="G8" s="474" t="s">
        <v>850</v>
      </c>
      <c r="H8" s="474" t="s">
        <v>823</v>
      </c>
      <c r="I8" s="475" t="s">
        <v>851</v>
      </c>
      <c r="J8" s="517">
        <f>+C58</f>
        <v>3.84</v>
      </c>
      <c r="K8" s="517">
        <f>+AA58</f>
        <v>4827.9957140304614</v>
      </c>
      <c r="L8" s="517">
        <f t="shared" ref="L8:W8" si="16">+AB58</f>
        <v>2686.6182510862127</v>
      </c>
      <c r="M8" s="517">
        <f t="shared" si="16"/>
        <v>1259.0332757900469</v>
      </c>
      <c r="N8" s="517">
        <f t="shared" si="16"/>
        <v>0</v>
      </c>
      <c r="O8" s="517">
        <f t="shared" si="16"/>
        <v>0</v>
      </c>
      <c r="P8" s="517">
        <f t="shared" si="16"/>
        <v>0</v>
      </c>
      <c r="Q8" s="517">
        <f t="shared" si="16"/>
        <v>0</v>
      </c>
      <c r="R8" s="517">
        <f t="shared" si="16"/>
        <v>0</v>
      </c>
      <c r="S8" s="517">
        <f t="shared" si="16"/>
        <v>0</v>
      </c>
      <c r="T8" s="517">
        <f t="shared" si="16"/>
        <v>0</v>
      </c>
      <c r="U8" s="514">
        <f t="shared" si="16"/>
        <v>0</v>
      </c>
      <c r="V8" s="514">
        <f t="shared" si="16"/>
        <v>0</v>
      </c>
      <c r="W8" s="514">
        <f t="shared" si="16"/>
        <v>0</v>
      </c>
      <c r="X8" s="514">
        <f t="shared" si="5"/>
        <v>-104.31466857775084</v>
      </c>
      <c r="Y8" s="518">
        <f t="shared" si="6"/>
        <v>10.044645083040376</v>
      </c>
      <c r="Z8" s="518">
        <f t="shared" si="7"/>
        <v>5.5895092713848653</v>
      </c>
      <c r="AA8" s="518">
        <f t="shared" si="8"/>
        <v>2.6194187302811924</v>
      </c>
      <c r="AB8" s="518"/>
      <c r="AC8" s="518"/>
      <c r="AD8" s="518"/>
      <c r="AE8" s="518"/>
      <c r="AF8" s="518"/>
      <c r="AG8" s="518"/>
      <c r="AH8" s="518"/>
      <c r="AI8" s="518"/>
      <c r="AJ8" s="518"/>
      <c r="AK8" s="518"/>
      <c r="AL8" s="519">
        <f t="shared" si="14"/>
        <v>-1.4850452705518367</v>
      </c>
      <c r="AM8" t="s">
        <v>851</v>
      </c>
      <c r="AP8" s="546" t="s">
        <v>927</v>
      </c>
      <c r="AQ8" s="538">
        <f>+J13+J14+J15+J16+J17</f>
        <v>1300.8399999999997</v>
      </c>
      <c r="AR8" s="538">
        <f t="shared" ref="AR8:BD8" si="17">+Y13+Y14+Y15+Y16+Y17</f>
        <v>608.13099036155506</v>
      </c>
      <c r="AS8" s="539">
        <f t="shared" si="17"/>
        <v>522.49516194613284</v>
      </c>
      <c r="AT8" s="539">
        <f t="shared" si="17"/>
        <v>465.4046096691859</v>
      </c>
      <c r="AU8" s="539">
        <f t="shared" si="17"/>
        <v>408.31405739223914</v>
      </c>
      <c r="AV8" s="539">
        <f t="shared" si="17"/>
        <v>322.94891794545288</v>
      </c>
      <c r="AW8" s="539">
        <f t="shared" si="17"/>
        <v>238.8461909306553</v>
      </c>
      <c r="AX8" s="539">
        <f t="shared" si="17"/>
        <v>182.7777062541233</v>
      </c>
      <c r="AY8" s="539">
        <f t="shared" si="17"/>
        <v>108.5477198417107</v>
      </c>
      <c r="AZ8" s="539">
        <f t="shared" si="17"/>
        <v>81.980543736094816</v>
      </c>
      <c r="BA8" s="539">
        <f t="shared" si="17"/>
        <v>69.118940327005319</v>
      </c>
      <c r="BB8" s="539">
        <f t="shared" si="17"/>
        <v>57.053872779304349</v>
      </c>
      <c r="BC8" s="539">
        <f t="shared" si="17"/>
        <v>51.833914283484027</v>
      </c>
      <c r="BD8" s="540">
        <f t="shared" si="17"/>
        <v>40.640370330935419</v>
      </c>
      <c r="BE8">
        <f t="shared" si="3"/>
        <v>-19.949111557879402</v>
      </c>
    </row>
    <row r="9" spans="5:57" ht="30" x14ac:dyDescent="0.25">
      <c r="E9" s="473" t="e" vm="3">
        <v>#VALUE!</v>
      </c>
      <c r="F9" s="474" t="s">
        <v>816</v>
      </c>
      <c r="G9" s="474" t="s">
        <v>822</v>
      </c>
      <c r="H9" s="474" t="s">
        <v>823</v>
      </c>
      <c r="I9" s="475" t="s">
        <v>824</v>
      </c>
      <c r="J9" s="517">
        <f>+C48+C49+C50</f>
        <v>181.95999999999998</v>
      </c>
      <c r="K9" s="517">
        <f>+AA48+AA49+AA50</f>
        <v>57199.273556603264</v>
      </c>
      <c r="L9" s="517">
        <f t="shared" ref="L9:W9" si="18">+AB48+AB49+AB50</f>
        <v>48216.942760049453</v>
      </c>
      <c r="M9" s="517">
        <f t="shared" si="18"/>
        <v>42228.72222901287</v>
      </c>
      <c r="N9" s="517">
        <f t="shared" si="18"/>
        <v>36240.501697976375</v>
      </c>
      <c r="O9" s="517">
        <f t="shared" si="18"/>
        <v>27258.170901422563</v>
      </c>
      <c r="P9" s="517">
        <f t="shared" si="18"/>
        <v>18275.840104868665</v>
      </c>
      <c r="Q9" s="517">
        <f t="shared" si="18"/>
        <v>9120.5378289312648</v>
      </c>
      <c r="R9" s="517">
        <f t="shared" si="18"/>
        <v>8053.1278169640864</v>
      </c>
      <c r="S9" s="517">
        <f t="shared" si="18"/>
        <v>6452.0127990135225</v>
      </c>
      <c r="T9" s="517">
        <f t="shared" si="18"/>
        <v>4850.897781062813</v>
      </c>
      <c r="U9" s="514">
        <f t="shared" si="18"/>
        <v>3783.4877690957801</v>
      </c>
      <c r="V9" s="514">
        <f t="shared" si="18"/>
        <v>2787.0627374554751</v>
      </c>
      <c r="W9" s="514">
        <f t="shared" si="18"/>
        <v>1391.9565345775336</v>
      </c>
      <c r="X9" s="514">
        <f t="shared" si="5"/>
        <v>-1905.9730485977291</v>
      </c>
      <c r="Y9" s="518">
        <f t="shared" si="6"/>
        <v>119.00308863451311</v>
      </c>
      <c r="Z9" s="518">
        <f t="shared" si="7"/>
        <v>100.31534941228288</v>
      </c>
      <c r="AA9" s="518">
        <f t="shared" si="8"/>
        <v>87.856856597461288</v>
      </c>
      <c r="AB9" s="518">
        <f t="shared" si="9"/>
        <v>75.398363782639848</v>
      </c>
      <c r="AC9" s="518">
        <f t="shared" si="10"/>
        <v>56.710624560409649</v>
      </c>
      <c r="AD9" s="518">
        <f t="shared" si="11"/>
        <v>38.022885338179258</v>
      </c>
      <c r="AE9" s="518">
        <f t="shared" si="12"/>
        <v>18.975278953091497</v>
      </c>
      <c r="AF9" s="518">
        <f t="shared" si="13"/>
        <v>16.754532423193783</v>
      </c>
      <c r="AG9" s="518">
        <f t="shared" ref="AG9:AG25" si="19">+S9*$P$2*365/1000</f>
        <v>13.423412628347632</v>
      </c>
      <c r="AH9" s="518">
        <f t="shared" ref="AH9:AH25" si="20">+T9*$P$2*365/1000</f>
        <v>10.092292833501183</v>
      </c>
      <c r="AI9" s="518">
        <f t="shared" ref="AI9:AI25" si="21">+U9*$P$2*365/1000</f>
        <v>7.8715463036037701</v>
      </c>
      <c r="AJ9" s="518">
        <f t="shared" ref="AJ9:AJ25" si="22">+V9*$P$2*365/1000</f>
        <v>5.7984840252761156</v>
      </c>
      <c r="AK9" s="518">
        <f t="shared" ref="AK9:AK25" si="23">+W9*$P$2*365/1000</f>
        <v>2.8959655701885585</v>
      </c>
      <c r="AL9" s="519">
        <f t="shared" si="14"/>
        <v>-3.9653769276075757</v>
      </c>
      <c r="AM9" t="s">
        <v>824</v>
      </c>
      <c r="AP9" s="546" t="s">
        <v>928</v>
      </c>
      <c r="AQ9" s="538">
        <f>+J18</f>
        <v>7.3</v>
      </c>
      <c r="AR9" s="538">
        <f t="shared" ref="AR9:AZ9" si="24">+Y18</f>
        <v>3.8691863439810894</v>
      </c>
      <c r="AS9" s="539">
        <f t="shared" si="24"/>
        <v>3.4185516111034171</v>
      </c>
      <c r="AT9" s="539">
        <f t="shared" si="24"/>
        <v>3.1181284558516555</v>
      </c>
      <c r="AU9" s="539">
        <f t="shared" si="24"/>
        <v>2.8177053005998336</v>
      </c>
      <c r="AV9" s="539">
        <f t="shared" si="24"/>
        <v>2.3670705677222217</v>
      </c>
      <c r="AW9" s="539">
        <f t="shared" si="24"/>
        <v>1.9164358348445492</v>
      </c>
      <c r="AX9" s="539">
        <f t="shared" si="24"/>
        <v>1.616012679592727</v>
      </c>
      <c r="AY9" s="539">
        <f t="shared" si="24"/>
        <v>1.3155895243409652</v>
      </c>
      <c r="AZ9" s="539">
        <f t="shared" si="24"/>
        <v>0.86495479146329268</v>
      </c>
      <c r="BA9" s="539"/>
      <c r="BB9" s="539"/>
      <c r="BC9" s="539"/>
      <c r="BD9" s="540"/>
      <c r="BE9">
        <f t="shared" si="3"/>
        <v>-0.15021157762588969</v>
      </c>
    </row>
    <row r="10" spans="5:57" x14ac:dyDescent="0.25">
      <c r="E10" s="473" t="e" vm="3">
        <v>#VALUE!</v>
      </c>
      <c r="F10" s="474" t="s">
        <v>816</v>
      </c>
      <c r="G10" s="474" t="s">
        <v>825</v>
      </c>
      <c r="H10" s="474" t="s">
        <v>823</v>
      </c>
      <c r="I10" s="475" t="s">
        <v>826</v>
      </c>
      <c r="J10" s="517">
        <f>+C51+C52</f>
        <v>27.95</v>
      </c>
      <c r="K10" s="517">
        <f>+AA51+AA52</f>
        <v>28513.982927143341</v>
      </c>
      <c r="L10" s="517">
        <f t="shared" ref="L10:W10" si="25">+AB51+AB52</f>
        <v>20426.088212779025</v>
      </c>
      <c r="M10" s="517">
        <f t="shared" si="25"/>
        <v>0</v>
      </c>
      <c r="N10" s="517">
        <f t="shared" si="25"/>
        <v>0</v>
      </c>
      <c r="O10" s="517">
        <f t="shared" si="25"/>
        <v>0</v>
      </c>
      <c r="P10" s="517">
        <f t="shared" si="25"/>
        <v>0</v>
      </c>
      <c r="Q10" s="517">
        <f t="shared" si="25"/>
        <v>0</v>
      </c>
      <c r="R10" s="517">
        <f t="shared" si="25"/>
        <v>0</v>
      </c>
      <c r="S10" s="517">
        <f t="shared" si="25"/>
        <v>0</v>
      </c>
      <c r="T10" s="517">
        <f t="shared" si="25"/>
        <v>0</v>
      </c>
      <c r="U10" s="514">
        <f t="shared" si="25"/>
        <v>0</v>
      </c>
      <c r="V10" s="514">
        <f t="shared" si="25"/>
        <v>0</v>
      </c>
      <c r="W10" s="514">
        <f t="shared" si="25"/>
        <v>0</v>
      </c>
      <c r="X10" s="514">
        <f t="shared" si="5"/>
        <v>-598.59679934208043</v>
      </c>
      <c r="Y10" s="518">
        <f t="shared" si="6"/>
        <v>59.323341479921723</v>
      </c>
      <c r="Z10" s="518">
        <f t="shared" si="7"/>
        <v>42.496476526686763</v>
      </c>
      <c r="AA10" s="518"/>
      <c r="AB10" s="518"/>
      <c r="AC10" s="518"/>
      <c r="AD10" s="518"/>
      <c r="AE10" s="518"/>
      <c r="AF10" s="518"/>
      <c r="AG10" s="518"/>
      <c r="AH10" s="518"/>
      <c r="AI10" s="518"/>
      <c r="AJ10" s="518"/>
      <c r="AK10" s="518"/>
      <c r="AL10" s="519">
        <f t="shared" si="14"/>
        <v>-5.6089549844116533</v>
      </c>
      <c r="AM10" t="s">
        <v>826</v>
      </c>
      <c r="AP10" s="546" t="s">
        <v>930</v>
      </c>
      <c r="AQ10" s="538">
        <f>+J19+J21+J22</f>
        <v>179.83</v>
      </c>
      <c r="AR10" s="538">
        <f t="shared" ref="AR10:BC10" si="26">+Y19+Y21+Y22</f>
        <v>120.10488082771383</v>
      </c>
      <c r="AS10" s="539">
        <f t="shared" si="26"/>
        <v>102.2710976328155</v>
      </c>
      <c r="AT10" s="539">
        <f t="shared" si="26"/>
        <v>90.38190883621688</v>
      </c>
      <c r="AU10" s="539">
        <f t="shared" si="26"/>
        <v>78.492720039619002</v>
      </c>
      <c r="AV10" s="539">
        <f t="shared" si="26"/>
        <v>60.658936844720685</v>
      </c>
      <c r="AW10" s="539">
        <f t="shared" si="26"/>
        <v>42.82515364982315</v>
      </c>
      <c r="AX10" s="539">
        <f t="shared" si="26"/>
        <v>29.271790257160674</v>
      </c>
      <c r="AY10" s="539">
        <f t="shared" si="26"/>
        <v>19.864940326937376</v>
      </c>
      <c r="AZ10" s="539">
        <f t="shared" si="26"/>
        <v>13.68927126234288</v>
      </c>
      <c r="BA10" s="539">
        <f t="shared" si="26"/>
        <v>9.6070650611223698</v>
      </c>
      <c r="BB10" s="539">
        <f t="shared" si="26"/>
        <v>6.8855942603083893</v>
      </c>
      <c r="BC10" s="539">
        <f t="shared" si="26"/>
        <v>4.1641234594948973</v>
      </c>
      <c r="BD10" s="540"/>
      <c r="BE10">
        <f t="shared" si="3"/>
        <v>-4.4565773241322679</v>
      </c>
    </row>
    <row r="11" spans="5:57" ht="15.75" x14ac:dyDescent="0.25">
      <c r="E11" s="473" t="e" vm="3">
        <v>#VALUE!</v>
      </c>
      <c r="F11" s="474" t="s">
        <v>816</v>
      </c>
      <c r="G11" s="474" t="s">
        <v>827</v>
      </c>
      <c r="H11" s="474" t="s">
        <v>823</v>
      </c>
      <c r="I11" s="475" t="s">
        <v>828</v>
      </c>
      <c r="J11" s="517">
        <f>+C62+C63</f>
        <v>130.80000000000001</v>
      </c>
      <c r="K11" s="517">
        <f>+AA62+AA63</f>
        <v>48633.343378444086</v>
      </c>
      <c r="L11" s="517">
        <f t="shared" ref="L11:W11" si="27">+AB62+AB63</f>
        <v>40676.95037223761</v>
      </c>
      <c r="M11" s="517">
        <f t="shared" si="27"/>
        <v>35372.688368100266</v>
      </c>
      <c r="N11" s="517">
        <f t="shared" si="27"/>
        <v>30068.426363962935</v>
      </c>
      <c r="O11" s="517">
        <f t="shared" si="27"/>
        <v>22112.03335775646</v>
      </c>
      <c r="P11" s="517">
        <f t="shared" si="27"/>
        <v>14260.641422443092</v>
      </c>
      <c r="Q11" s="517">
        <f t="shared" si="27"/>
        <v>9041.2476984513924</v>
      </c>
      <c r="R11" s="517">
        <f t="shared" si="27"/>
        <v>3821.8539744596928</v>
      </c>
      <c r="S11" s="517">
        <f t="shared" si="27"/>
        <v>0</v>
      </c>
      <c r="T11" s="517">
        <f t="shared" si="27"/>
        <v>0</v>
      </c>
      <c r="U11" s="514">
        <f t="shared" si="27"/>
        <v>0</v>
      </c>
      <c r="V11" s="514">
        <f t="shared" si="27"/>
        <v>0</v>
      </c>
      <c r="W11" s="514">
        <f t="shared" si="27"/>
        <v>0</v>
      </c>
      <c r="X11" s="514">
        <f t="shared" si="5"/>
        <v>-1728.9462557126046</v>
      </c>
      <c r="Y11" s="518">
        <f t="shared" si="6"/>
        <v>101.18167089885293</v>
      </c>
      <c r="Z11" s="518">
        <f t="shared" si="7"/>
        <v>84.628395249440345</v>
      </c>
      <c r="AA11" s="518">
        <f t="shared" si="8"/>
        <v>73.5928781498326</v>
      </c>
      <c r="AB11" s="518">
        <f t="shared" si="9"/>
        <v>62.557361050224884</v>
      </c>
      <c r="AC11" s="518">
        <f t="shared" si="10"/>
        <v>46.004085400812315</v>
      </c>
      <c r="AD11" s="518">
        <f t="shared" si="11"/>
        <v>29.669264479392854</v>
      </c>
      <c r="AE11" s="518">
        <f t="shared" si="12"/>
        <v>18.810315836628124</v>
      </c>
      <c r="AF11" s="518">
        <f t="shared" si="13"/>
        <v>7.9513671938633914</v>
      </c>
      <c r="AG11" s="518">
        <f t="shared" si="19"/>
        <v>0</v>
      </c>
      <c r="AH11" s="518"/>
      <c r="AI11" s="518"/>
      <c r="AJ11" s="518"/>
      <c r="AK11" s="518"/>
      <c r="AL11" s="519">
        <f t="shared" si="14"/>
        <v>-5.2489972859455927</v>
      </c>
      <c r="AM11" t="s">
        <v>828</v>
      </c>
      <c r="AP11" s="547" t="s">
        <v>929</v>
      </c>
      <c r="AQ11" s="541">
        <f>+J23+J24+J25</f>
        <v>51.86</v>
      </c>
      <c r="AR11" s="541">
        <f t="shared" ref="AR11:BD11" si="28">+Y23+Y24+Y25</f>
        <v>22.745366925853645</v>
      </c>
      <c r="AS11" s="542">
        <f t="shared" si="28"/>
        <v>20.041242648559983</v>
      </c>
      <c r="AT11" s="542">
        <f t="shared" si="28"/>
        <v>18.238493130364368</v>
      </c>
      <c r="AU11" s="542">
        <f t="shared" si="28"/>
        <v>16.435743612168579</v>
      </c>
      <c r="AV11" s="542">
        <f t="shared" si="28"/>
        <v>13.731619334875035</v>
      </c>
      <c r="AW11" s="542">
        <f t="shared" si="28"/>
        <v>11.226900362824599</v>
      </c>
      <c r="AX11" s="542">
        <f t="shared" si="28"/>
        <v>9.6970968264457511</v>
      </c>
      <c r="AY11" s="542">
        <f t="shared" si="28"/>
        <v>8.1672932900669633</v>
      </c>
      <c r="AZ11" s="542">
        <f t="shared" si="28"/>
        <v>5.9100822889242215</v>
      </c>
      <c r="BA11" s="542">
        <f t="shared" si="28"/>
        <v>4.5094031449974228</v>
      </c>
      <c r="BB11" s="542">
        <f t="shared" si="28"/>
        <v>3.5362145742389126</v>
      </c>
      <c r="BC11" s="542">
        <f t="shared" si="28"/>
        <v>2.6600653984253664</v>
      </c>
      <c r="BD11" s="543">
        <f t="shared" si="28"/>
        <v>1.345841634704988</v>
      </c>
      <c r="BE11">
        <f t="shared" si="3"/>
        <v>-0.72707065395261417</v>
      </c>
    </row>
    <row r="12" spans="5:57" ht="15.75" x14ac:dyDescent="0.25">
      <c r="E12" s="473" t="e" vm="3">
        <v>#VALUE!</v>
      </c>
      <c r="F12" s="474" t="s">
        <v>816</v>
      </c>
      <c r="G12" s="474" t="s">
        <v>827</v>
      </c>
      <c r="H12" s="474" t="s">
        <v>823</v>
      </c>
      <c r="I12" s="475" t="s">
        <v>829</v>
      </c>
      <c r="J12" s="517">
        <f>+C56+C57</f>
        <v>15.989999999999998</v>
      </c>
      <c r="K12" s="517">
        <f>+AA56+AA57</f>
        <v>5679.11856760105</v>
      </c>
      <c r="L12" s="517">
        <f t="shared" ref="L12:W12" si="29">+AB56+AB57</f>
        <v>4516.5900457759853</v>
      </c>
      <c r="M12" s="517">
        <f t="shared" si="29"/>
        <v>3741.5710312259325</v>
      </c>
      <c r="N12" s="517">
        <f t="shared" si="29"/>
        <v>2966.5520166759088</v>
      </c>
      <c r="O12" s="517">
        <f t="shared" si="29"/>
        <v>1494.3277197162388</v>
      </c>
      <c r="P12" s="517">
        <f t="shared" si="29"/>
        <v>1274.9769859749649</v>
      </c>
      <c r="Q12" s="517">
        <f t="shared" si="29"/>
        <v>1128.7431634807726</v>
      </c>
      <c r="R12" s="517">
        <f t="shared" si="29"/>
        <v>982.50934098660946</v>
      </c>
      <c r="S12" s="517">
        <f t="shared" si="29"/>
        <v>763.15860724533559</v>
      </c>
      <c r="T12" s="517">
        <f t="shared" si="29"/>
        <v>543.80787350406172</v>
      </c>
      <c r="U12" s="514">
        <f t="shared" si="29"/>
        <v>397.57405100989854</v>
      </c>
      <c r="V12" s="514">
        <f t="shared" si="29"/>
        <v>251.34022851570626</v>
      </c>
      <c r="W12" s="514">
        <f t="shared" si="29"/>
        <v>31.989494774432387</v>
      </c>
      <c r="X12" s="514">
        <f t="shared" si="5"/>
        <v>-171.66604777525708</v>
      </c>
      <c r="Y12" s="518">
        <f t="shared" si="6"/>
        <v>11.815406179893985</v>
      </c>
      <c r="Z12" s="518">
        <f t="shared" si="7"/>
        <v>9.3967655902369387</v>
      </c>
      <c r="AA12" s="518">
        <f t="shared" si="8"/>
        <v>7.7843385304655532</v>
      </c>
      <c r="AB12" s="518">
        <f t="shared" si="9"/>
        <v>6.1719114706942282</v>
      </c>
      <c r="AC12" s="518">
        <f t="shared" si="10"/>
        <v>3.1089488208696352</v>
      </c>
      <c r="AD12" s="518">
        <f t="shared" si="11"/>
        <v>2.6525896193209144</v>
      </c>
      <c r="AE12" s="518">
        <f t="shared" si="12"/>
        <v>2.3483501516217475</v>
      </c>
      <c r="AF12" s="518">
        <f t="shared" si="13"/>
        <v>2.0441106839226411</v>
      </c>
      <c r="AG12" s="518">
        <f t="shared" si="19"/>
        <v>1.5877514823739207</v>
      </c>
      <c r="AH12" s="518">
        <f t="shared" si="20"/>
        <v>1.1313922808252004</v>
      </c>
      <c r="AI12" s="518">
        <f t="shared" si="21"/>
        <v>0.8271528131260939</v>
      </c>
      <c r="AJ12" s="518">
        <f t="shared" si="22"/>
        <v>0.52291334542692691</v>
      </c>
      <c r="AK12" s="518">
        <f t="shared" si="23"/>
        <v>6.6554143878206573E-2</v>
      </c>
      <c r="AL12" s="519">
        <f t="shared" si="14"/>
        <v>-0.35715121239642228</v>
      </c>
      <c r="AM12" t="s">
        <v>829</v>
      </c>
      <c r="AP12" s="524"/>
    </row>
    <row r="13" spans="5:57" x14ac:dyDescent="0.25">
      <c r="E13" s="473" t="e" vm="4">
        <v>#VALUE!</v>
      </c>
      <c r="F13" s="474" t="s">
        <v>816</v>
      </c>
      <c r="G13" s="474" t="s">
        <v>841</v>
      </c>
      <c r="H13" s="474" t="s">
        <v>823</v>
      </c>
      <c r="I13" s="475" t="s">
        <v>842</v>
      </c>
      <c r="J13" s="517">
        <f>+C64</f>
        <v>272.89999999999998</v>
      </c>
      <c r="K13" s="517">
        <f>+AA64</f>
        <v>101621.62162162177</v>
      </c>
      <c r="L13" s="517">
        <f t="shared" ref="L13:W13" si="30">+AB64</f>
        <v>84756.756756756455</v>
      </c>
      <c r="M13" s="517">
        <f t="shared" si="30"/>
        <v>73513.513513512909</v>
      </c>
      <c r="N13" s="517">
        <f t="shared" si="30"/>
        <v>62270.270270269364</v>
      </c>
      <c r="O13" s="517">
        <f t="shared" si="30"/>
        <v>45405.405405405909</v>
      </c>
      <c r="P13" s="517">
        <f t="shared" si="30"/>
        <v>28540.540540540591</v>
      </c>
      <c r="Q13" s="517">
        <f t="shared" si="30"/>
        <v>17297.297297297046</v>
      </c>
      <c r="R13" s="517">
        <f t="shared" si="30"/>
        <v>0</v>
      </c>
      <c r="S13" s="517">
        <f t="shared" si="30"/>
        <v>0</v>
      </c>
      <c r="T13" s="517">
        <f t="shared" si="30"/>
        <v>0</v>
      </c>
      <c r="U13" s="514">
        <f t="shared" si="30"/>
        <v>0</v>
      </c>
      <c r="V13" s="514">
        <f t="shared" si="30"/>
        <v>0</v>
      </c>
      <c r="W13" s="514">
        <f t="shared" si="30"/>
        <v>0</v>
      </c>
      <c r="X13" s="514">
        <f t="shared" si="5"/>
        <v>-3611.0416466288243</v>
      </c>
      <c r="Y13" s="518">
        <f t="shared" si="6"/>
        <v>211.4237837837841</v>
      </c>
      <c r="Z13" s="518">
        <f t="shared" si="7"/>
        <v>176.33643243243182</v>
      </c>
      <c r="AA13" s="518">
        <f t="shared" si="8"/>
        <v>152.94486486486363</v>
      </c>
      <c r="AB13" s="518">
        <f t="shared" si="9"/>
        <v>129.55329729729542</v>
      </c>
      <c r="AC13" s="518">
        <f t="shared" si="10"/>
        <v>94.465945945946999</v>
      </c>
      <c r="AD13" s="518">
        <f t="shared" si="11"/>
        <v>59.378594594594702</v>
      </c>
      <c r="AE13" s="518">
        <f t="shared" si="12"/>
        <v>35.9870270270265</v>
      </c>
      <c r="AF13" s="518"/>
      <c r="AG13" s="518"/>
      <c r="AH13" s="518"/>
      <c r="AI13" s="518"/>
      <c r="AJ13" s="518"/>
      <c r="AK13" s="518"/>
      <c r="AL13" s="519">
        <f t="shared" si="14"/>
        <v>-11.695783783783762</v>
      </c>
      <c r="AM13" t="s">
        <v>842</v>
      </c>
      <c r="AR13" s="291">
        <f>+SUM(AR6:BD11)</f>
        <v>5175.1741990991441</v>
      </c>
    </row>
    <row r="14" spans="5:57" ht="25.5" x14ac:dyDescent="0.25">
      <c r="E14" s="473" t="e" vm="4">
        <v>#VALUE!</v>
      </c>
      <c r="F14" s="474" t="s">
        <v>816</v>
      </c>
      <c r="G14" s="474" t="s">
        <v>843</v>
      </c>
      <c r="H14" s="474" t="s">
        <v>823</v>
      </c>
      <c r="I14" s="475" t="s">
        <v>844</v>
      </c>
      <c r="J14" s="517">
        <f>+C43+C42+C44</f>
        <v>697.95999999999992</v>
      </c>
      <c r="K14" s="517">
        <f>+AA43+AA42+AA44</f>
        <v>104196.74339982207</v>
      </c>
      <c r="L14" s="517">
        <f t="shared" ref="L14:W14" si="31">+AB43+AB42+AB44</f>
        <v>91549.650787922772</v>
      </c>
      <c r="M14" s="517">
        <f t="shared" si="31"/>
        <v>83118.25571332348</v>
      </c>
      <c r="N14" s="517">
        <f t="shared" si="31"/>
        <v>74686.860638724189</v>
      </c>
      <c r="O14" s="517">
        <f t="shared" si="31"/>
        <v>62039.768026825594</v>
      </c>
      <c r="P14" s="517">
        <f t="shared" si="31"/>
        <v>49392.675414926314</v>
      </c>
      <c r="Q14" s="517">
        <f t="shared" si="31"/>
        <v>40961.280340327015</v>
      </c>
      <c r="R14" s="517">
        <f t="shared" si="31"/>
        <v>29854.546512339461</v>
      </c>
      <c r="S14" s="517">
        <f t="shared" si="31"/>
        <v>27470.868534586669</v>
      </c>
      <c r="T14" s="517">
        <f t="shared" si="31"/>
        <v>25050.419885017211</v>
      </c>
      <c r="U14" s="514">
        <f t="shared" si="31"/>
        <v>23474.28389575053</v>
      </c>
      <c r="V14" s="514">
        <f t="shared" si="31"/>
        <v>21898.14790648385</v>
      </c>
      <c r="W14" s="514">
        <f t="shared" si="31"/>
        <v>19533.943922583712</v>
      </c>
      <c r="X14" s="514">
        <f t="shared" si="5"/>
        <v>-2945.9181727825594</v>
      </c>
      <c r="Y14" s="518">
        <f t="shared" si="6"/>
        <v>216.78132464332984</v>
      </c>
      <c r="Z14" s="518">
        <f t="shared" si="7"/>
        <v>190.46904846427333</v>
      </c>
      <c r="AA14" s="518">
        <f t="shared" si="8"/>
        <v>172.92753101156953</v>
      </c>
      <c r="AB14" s="518">
        <f t="shared" si="9"/>
        <v>155.38601355886567</v>
      </c>
      <c r="AC14" s="518">
        <f t="shared" si="10"/>
        <v>129.07373737981067</v>
      </c>
      <c r="AD14" s="518">
        <f t="shared" si="11"/>
        <v>102.7614612007542</v>
      </c>
      <c r="AE14" s="518">
        <f t="shared" si="12"/>
        <v>85.219943748050355</v>
      </c>
      <c r="AF14" s="518">
        <f t="shared" si="13"/>
        <v>62.112384018922256</v>
      </c>
      <c r="AG14" s="518">
        <f t="shared" si="19"/>
        <v>57.153141986207565</v>
      </c>
      <c r="AH14" s="518">
        <f t="shared" si="20"/>
        <v>52.117398570778313</v>
      </c>
      <c r="AI14" s="518">
        <f t="shared" si="21"/>
        <v>48.838247645108986</v>
      </c>
      <c r="AJ14" s="518">
        <f t="shared" si="22"/>
        <v>45.559096719439651</v>
      </c>
      <c r="AK14" s="518">
        <f t="shared" si="23"/>
        <v>40.640370330935419</v>
      </c>
      <c r="AL14" s="519">
        <f t="shared" si="14"/>
        <v>-6.1289827584741143</v>
      </c>
      <c r="AM14" t="s">
        <v>844</v>
      </c>
    </row>
    <row r="15" spans="5:57" x14ac:dyDescent="0.25">
      <c r="E15" s="473" t="e" vm="4">
        <v>#VALUE!</v>
      </c>
      <c r="F15" s="474" t="s">
        <v>816</v>
      </c>
      <c r="G15" s="474" t="s">
        <v>845</v>
      </c>
      <c r="H15" s="474" t="s">
        <v>823</v>
      </c>
      <c r="I15" s="475" t="s">
        <v>846</v>
      </c>
      <c r="J15" s="517">
        <f>+C45+C46</f>
        <v>236.24</v>
      </c>
      <c r="K15" s="517">
        <f>+AA45+AA46</f>
        <v>68166.815655914135</v>
      </c>
      <c r="L15" s="517">
        <f t="shared" ref="L15:W15" si="32">+AB45+AB46</f>
        <v>58703.848843057407</v>
      </c>
      <c r="M15" s="517">
        <f t="shared" si="32"/>
        <v>52395.20430115331</v>
      </c>
      <c r="N15" s="517">
        <f t="shared" si="32"/>
        <v>46086.559759249212</v>
      </c>
      <c r="O15" s="517">
        <f t="shared" si="32"/>
        <v>36623.592946392484</v>
      </c>
      <c r="P15" s="517">
        <f t="shared" si="32"/>
        <v>27160.626133535523</v>
      </c>
      <c r="Q15" s="517">
        <f t="shared" si="32"/>
        <v>20851.981591630494</v>
      </c>
      <c r="R15" s="517">
        <f t="shared" si="32"/>
        <v>14543.337049726397</v>
      </c>
      <c r="S15" s="517">
        <f t="shared" si="32"/>
        <v>5606.7655319848564</v>
      </c>
      <c r="T15" s="517">
        <f t="shared" si="32"/>
        <v>3290.1269175105263</v>
      </c>
      <c r="U15" s="514">
        <f t="shared" si="32"/>
        <v>0</v>
      </c>
      <c r="V15" s="514">
        <f t="shared" si="32"/>
        <v>0</v>
      </c>
      <c r="W15" s="514">
        <f t="shared" si="32"/>
        <v>0</v>
      </c>
      <c r="X15" s="514">
        <f t="shared" si="5"/>
        <v>-2467.6073326872774</v>
      </c>
      <c r="Y15" s="518">
        <f t="shared" si="6"/>
        <v>141.82105997212938</v>
      </c>
      <c r="Z15" s="518">
        <f t="shared" si="7"/>
        <v>122.13335751798094</v>
      </c>
      <c r="AA15" s="518">
        <f t="shared" si="8"/>
        <v>109.00822254854945</v>
      </c>
      <c r="AB15" s="518">
        <f t="shared" si="9"/>
        <v>95.883087579117998</v>
      </c>
      <c r="AC15" s="518">
        <f t="shared" si="10"/>
        <v>76.195385124969576</v>
      </c>
      <c r="AD15" s="518">
        <f t="shared" si="11"/>
        <v>56.507682670820657</v>
      </c>
      <c r="AE15" s="518">
        <f t="shared" si="12"/>
        <v>43.382547701387246</v>
      </c>
      <c r="AF15" s="518">
        <f t="shared" si="13"/>
        <v>30.257412731955768</v>
      </c>
      <c r="AG15" s="518">
        <f t="shared" si="19"/>
        <v>11.664875689294496</v>
      </c>
      <c r="AH15" s="518">
        <f t="shared" si="20"/>
        <v>6.8451090518806508</v>
      </c>
      <c r="AI15" s="518"/>
      <c r="AJ15" s="518"/>
      <c r="AK15" s="518"/>
      <c r="AL15" s="519">
        <f t="shared" si="14"/>
        <v>-6.183690388691935</v>
      </c>
      <c r="AM15" t="s">
        <v>846</v>
      </c>
      <c r="BE15">
        <f>15*BE11</f>
        <v>-10.906059809289212</v>
      </c>
    </row>
    <row r="16" spans="5:57" x14ac:dyDescent="0.25">
      <c r="E16" s="473" t="e" vm="4">
        <v>#VALUE!</v>
      </c>
      <c r="F16" s="474" t="s">
        <v>816</v>
      </c>
      <c r="G16" s="474" t="s">
        <v>845</v>
      </c>
      <c r="H16" s="474" t="s">
        <v>823</v>
      </c>
      <c r="I16" s="475" t="s">
        <v>847</v>
      </c>
      <c r="J16" s="517">
        <f>+C36</f>
        <v>89.87</v>
      </c>
      <c r="K16" s="517">
        <f>+AA36</f>
        <v>15609.574506649165</v>
      </c>
      <c r="L16" s="517">
        <f t="shared" ref="L16:W16" si="33">+AB36</f>
        <v>14210.290029251133</v>
      </c>
      <c r="M16" s="517">
        <f t="shared" si="33"/>
        <v>13277.433710985701</v>
      </c>
      <c r="N16" s="517">
        <f t="shared" si="33"/>
        <v>12344.577392720385</v>
      </c>
      <c r="O16" s="517">
        <f t="shared" si="33"/>
        <v>10945.292915322352</v>
      </c>
      <c r="P16" s="517">
        <f t="shared" si="33"/>
        <v>9546.0084379243199</v>
      </c>
      <c r="Q16" s="517">
        <f t="shared" si="33"/>
        <v>8613.1521196590038</v>
      </c>
      <c r="R16" s="517">
        <f t="shared" si="33"/>
        <v>7680.2958013936877</v>
      </c>
      <c r="S16" s="517">
        <f t="shared" si="33"/>
        <v>6281.0113239956554</v>
      </c>
      <c r="T16" s="517">
        <f t="shared" si="33"/>
        <v>4881.7268465976231</v>
      </c>
      <c r="U16" s="514">
        <f t="shared" si="33"/>
        <v>3948.870528332307</v>
      </c>
      <c r="V16" s="514">
        <f t="shared" si="33"/>
        <v>3016.0142100669909</v>
      </c>
      <c r="W16" s="514">
        <f t="shared" si="33"/>
        <v>0</v>
      </c>
      <c r="X16" s="514">
        <f t="shared" si="5"/>
        <v>-488.0037338569021</v>
      </c>
      <c r="Y16" s="518">
        <f t="shared" si="6"/>
        <v>32.475719761083589</v>
      </c>
      <c r="Z16" s="518">
        <f t="shared" si="7"/>
        <v>29.56450840585698</v>
      </c>
      <c r="AA16" s="518">
        <f t="shared" si="8"/>
        <v>27.623700835705748</v>
      </c>
      <c r="AB16" s="518">
        <f t="shared" si="9"/>
        <v>25.68289326555476</v>
      </c>
      <c r="AC16" s="518">
        <f t="shared" si="10"/>
        <v>22.771681910328155</v>
      </c>
      <c r="AD16" s="518">
        <f t="shared" si="11"/>
        <v>19.860470555101546</v>
      </c>
      <c r="AE16" s="518">
        <f t="shared" si="12"/>
        <v>17.919662984950559</v>
      </c>
      <c r="AF16" s="518">
        <f t="shared" si="13"/>
        <v>15.97885541479957</v>
      </c>
      <c r="AG16" s="518">
        <f t="shared" si="19"/>
        <v>13.067644059572961</v>
      </c>
      <c r="AH16" s="518">
        <f t="shared" si="20"/>
        <v>10.156432704346354</v>
      </c>
      <c r="AI16" s="518">
        <f t="shared" si="21"/>
        <v>8.2156251341953652</v>
      </c>
      <c r="AJ16" s="518">
        <f t="shared" si="22"/>
        <v>6.2748175640443753</v>
      </c>
      <c r="AK16" s="518"/>
      <c r="AL16" s="519">
        <f t="shared" si="14"/>
        <v>-0.97040378507552527</v>
      </c>
      <c r="AM16" t="s">
        <v>847</v>
      </c>
      <c r="BE16" s="291">
        <f>+AR11+BE15</f>
        <v>11.839307116564433</v>
      </c>
    </row>
    <row r="17" spans="5:57" x14ac:dyDescent="0.25">
      <c r="E17" s="473" t="e" vm="4">
        <v>#VALUE!</v>
      </c>
      <c r="F17" s="474" t="s">
        <v>816</v>
      </c>
      <c r="G17" s="474" t="s">
        <v>848</v>
      </c>
      <c r="H17" s="474" t="s">
        <v>823</v>
      </c>
      <c r="I17" s="475" t="s">
        <v>849</v>
      </c>
      <c r="J17" s="517">
        <f>+C37+C38</f>
        <v>3.87</v>
      </c>
      <c r="K17" s="517">
        <f>+AA37+AA38</f>
        <v>2705.6487388743917</v>
      </c>
      <c r="L17" s="517">
        <f t="shared" ref="L17:W17" si="34">+AB37+AB38</f>
        <v>1918.6806659888607</v>
      </c>
      <c r="M17" s="517">
        <f t="shared" si="34"/>
        <v>1394.035284065154</v>
      </c>
      <c r="N17" s="517">
        <f t="shared" si="34"/>
        <v>869.38990214144724</v>
      </c>
      <c r="O17" s="517">
        <f t="shared" si="34"/>
        <v>212.52948060442577</v>
      </c>
      <c r="P17" s="517">
        <f t="shared" si="34"/>
        <v>162.45225156654487</v>
      </c>
      <c r="Q17" s="517">
        <f t="shared" si="34"/>
        <v>129.06743220795761</v>
      </c>
      <c r="R17" s="517">
        <f t="shared" si="34"/>
        <v>95.682612849370344</v>
      </c>
      <c r="S17" s="517">
        <f t="shared" si="34"/>
        <v>45.605383811489446</v>
      </c>
      <c r="T17" s="517">
        <f t="shared" si="34"/>
        <v>0</v>
      </c>
      <c r="U17" s="514">
        <f t="shared" si="34"/>
        <v>0</v>
      </c>
      <c r="V17" s="514">
        <f t="shared" si="34"/>
        <v>0</v>
      </c>
      <c r="W17" s="514">
        <f t="shared" si="34"/>
        <v>0</v>
      </c>
      <c r="X17" s="514">
        <f t="shared" si="5"/>
        <v>-76.043176952103508</v>
      </c>
      <c r="Y17" s="518">
        <f t="shared" si="6"/>
        <v>5.6291022012281715</v>
      </c>
      <c r="Z17" s="518">
        <f t="shared" si="7"/>
        <v>3.9918151255898247</v>
      </c>
      <c r="AA17" s="518">
        <f t="shared" si="8"/>
        <v>2.9002904084975532</v>
      </c>
      <c r="AB17" s="518">
        <f t="shared" si="9"/>
        <v>1.8087656914052812</v>
      </c>
      <c r="AC17" s="518">
        <f t="shared" si="10"/>
        <v>0.44216758439750781</v>
      </c>
      <c r="AD17" s="518">
        <f t="shared" si="11"/>
        <v>0.33798190938419664</v>
      </c>
      <c r="AE17" s="518">
        <f t="shared" si="12"/>
        <v>0.26852479270865581</v>
      </c>
      <c r="AF17" s="518">
        <f t="shared" si="13"/>
        <v>0.19906767603311501</v>
      </c>
      <c r="AG17" s="518">
        <f t="shared" si="19"/>
        <v>9.4882001019803791E-2</v>
      </c>
      <c r="AH17" s="518"/>
      <c r="AI17" s="518"/>
      <c r="AJ17" s="518"/>
      <c r="AK17" s="518"/>
      <c r="AL17" s="519">
        <f t="shared" si="14"/>
        <v>-0.27175577479231794</v>
      </c>
      <c r="AM17" t="s">
        <v>849</v>
      </c>
      <c r="BD17" s="291"/>
    </row>
    <row r="18" spans="5:57" x14ac:dyDescent="0.25">
      <c r="E18" s="473" t="e" vm="5">
        <v>#VALUE!</v>
      </c>
      <c r="F18" s="474" t="s">
        <v>816</v>
      </c>
      <c r="G18" s="474" t="s">
        <v>852</v>
      </c>
      <c r="H18" s="474" t="s">
        <v>853</v>
      </c>
      <c r="I18" s="475" t="s">
        <v>852</v>
      </c>
      <c r="J18" s="517">
        <f>+C61</f>
        <v>7.3</v>
      </c>
      <c r="K18" s="517">
        <f>+AA61</f>
        <v>1859.7386897289543</v>
      </c>
      <c r="L18" s="517">
        <f t="shared" ref="L18:W18" si="35">+AB61</f>
        <v>1643.1394429720822</v>
      </c>
      <c r="M18" s="517">
        <f t="shared" si="35"/>
        <v>1498.7399451341771</v>
      </c>
      <c r="N18" s="517">
        <f t="shared" si="35"/>
        <v>1354.3404472962429</v>
      </c>
      <c r="O18" s="517">
        <f t="shared" si="35"/>
        <v>1137.7412005393999</v>
      </c>
      <c r="P18" s="517">
        <f t="shared" si="35"/>
        <v>921.14195378252771</v>
      </c>
      <c r="Q18" s="517">
        <f t="shared" si="35"/>
        <v>776.74245594459353</v>
      </c>
      <c r="R18" s="517">
        <f t="shared" si="35"/>
        <v>632.34295810668846</v>
      </c>
      <c r="S18" s="517">
        <f t="shared" si="35"/>
        <v>415.74371134981629</v>
      </c>
      <c r="T18" s="517">
        <f t="shared" si="35"/>
        <v>199.14446459294413</v>
      </c>
      <c r="U18" s="514">
        <f t="shared" si="35"/>
        <v>0</v>
      </c>
      <c r="V18" s="514">
        <f t="shared" si="35"/>
        <v>0</v>
      </c>
      <c r="W18" s="514">
        <f t="shared" si="35"/>
        <v>0</v>
      </c>
      <c r="X18" s="514">
        <f t="shared" si="5"/>
        <v>-67.642621362871054</v>
      </c>
      <c r="Y18" s="518">
        <f t="shared" si="6"/>
        <v>3.8691863439810894</v>
      </c>
      <c r="Z18" s="518">
        <f t="shared" si="7"/>
        <v>3.4185516111034171</v>
      </c>
      <c r="AA18" s="518">
        <f t="shared" si="8"/>
        <v>3.1181284558516555</v>
      </c>
      <c r="AB18" s="518">
        <f t="shared" si="9"/>
        <v>2.8177053005998336</v>
      </c>
      <c r="AC18" s="518">
        <f t="shared" si="10"/>
        <v>2.3670705677222217</v>
      </c>
      <c r="AD18" s="518">
        <f t="shared" si="11"/>
        <v>1.9164358348445492</v>
      </c>
      <c r="AE18" s="518">
        <f t="shared" si="12"/>
        <v>1.616012679592727</v>
      </c>
      <c r="AF18" s="518">
        <f t="shared" si="13"/>
        <v>1.3155895243409652</v>
      </c>
      <c r="AG18" s="518">
        <f t="shared" si="19"/>
        <v>0.86495479146329268</v>
      </c>
      <c r="AH18" s="518">
        <f t="shared" si="20"/>
        <v>0.41432005858562032</v>
      </c>
      <c r="AI18" s="518"/>
      <c r="AJ18" s="518"/>
      <c r="AK18" s="518"/>
      <c r="AL18" s="519">
        <f t="shared" si="14"/>
        <v>-0.15021157762588988</v>
      </c>
      <c r="AM18" t="s">
        <v>852</v>
      </c>
      <c r="BE18" s="529"/>
    </row>
    <row r="19" spans="5:57" x14ac:dyDescent="0.25">
      <c r="E19" s="473" t="e" vm="6">
        <v>#VALUE!</v>
      </c>
      <c r="F19" s="474" t="s">
        <v>816</v>
      </c>
      <c r="G19" s="474" t="s">
        <v>817</v>
      </c>
      <c r="H19" s="474" t="s">
        <v>818</v>
      </c>
      <c r="I19" s="475" t="s">
        <v>819</v>
      </c>
      <c r="J19" s="517">
        <f>+C41+C40</f>
        <v>30.759999999999998</v>
      </c>
      <c r="K19" s="517">
        <f>+AA41+AA40</f>
        <v>11630.082572906918</v>
      </c>
      <c r="L19" s="517">
        <f t="shared" ref="L19:V19" si="36">+AB41+AB40</f>
        <v>9640.5228169767361</v>
      </c>
      <c r="M19" s="517">
        <f t="shared" si="36"/>
        <v>8314.1496463567019</v>
      </c>
      <c r="N19" s="517">
        <f t="shared" si="36"/>
        <v>6987.7764757366676</v>
      </c>
      <c r="O19" s="517">
        <f t="shared" si="36"/>
        <v>4998.2167198064853</v>
      </c>
      <c r="P19" s="517">
        <f t="shared" si="36"/>
        <v>3008.6569638763322</v>
      </c>
      <c r="Q19" s="517">
        <f t="shared" si="36"/>
        <v>882.392134489608</v>
      </c>
      <c r="R19" s="517">
        <f t="shared" si="36"/>
        <v>749.16429738342413</v>
      </c>
      <c r="S19" s="517">
        <f t="shared" si="36"/>
        <v>549.32254172416287</v>
      </c>
      <c r="T19" s="517">
        <f t="shared" si="36"/>
        <v>349.48078606487252</v>
      </c>
      <c r="U19" s="514">
        <f t="shared" si="36"/>
        <v>216.25294895868865</v>
      </c>
      <c r="V19" s="514">
        <f t="shared" si="36"/>
        <v>83.025111852504779</v>
      </c>
      <c r="W19" s="514">
        <f>+AM41+AM40</f>
        <v>0</v>
      </c>
      <c r="X19" s="514">
        <f t="shared" si="5"/>
        <v>-400.346974884205</v>
      </c>
      <c r="Y19" s="518">
        <f t="shared" si="6"/>
        <v>24.196386792932845</v>
      </c>
      <c r="Z19" s="518">
        <f t="shared" si="7"/>
        <v>20.057107720720101</v>
      </c>
      <c r="AA19" s="518">
        <f t="shared" si="8"/>
        <v>17.297588339245117</v>
      </c>
      <c r="AB19" s="518">
        <f t="shared" si="9"/>
        <v>14.538068957770138</v>
      </c>
      <c r="AC19" s="518">
        <f t="shared" si="10"/>
        <v>10.398789885557393</v>
      </c>
      <c r="AD19" s="518">
        <f t="shared" si="11"/>
        <v>6.2595108133447104</v>
      </c>
      <c r="AE19" s="518">
        <f t="shared" si="12"/>
        <v>1.8358168358056295</v>
      </c>
      <c r="AF19" s="518">
        <f t="shared" si="13"/>
        <v>1.5586363207062142</v>
      </c>
      <c r="AG19" s="518">
        <f t="shared" si="19"/>
        <v>1.1428655480571208</v>
      </c>
      <c r="AH19" s="518">
        <f t="shared" si="20"/>
        <v>0.7270947754079673</v>
      </c>
      <c r="AI19" s="518">
        <f t="shared" si="21"/>
        <v>0.44991426030855169</v>
      </c>
      <c r="AJ19" s="518">
        <f t="shared" si="22"/>
        <v>0.1727337452091362</v>
      </c>
      <c r="AK19" s="518"/>
      <c r="AL19" s="519">
        <f t="shared" si="14"/>
        <v>-0.92350020111029185</v>
      </c>
      <c r="AM19" t="s">
        <v>819</v>
      </c>
    </row>
    <row r="20" spans="5:57" x14ac:dyDescent="0.25">
      <c r="E20" s="473" t="e" vm="6">
        <v>#VALUE!</v>
      </c>
      <c r="F20" s="474" t="s">
        <v>816</v>
      </c>
      <c r="G20" s="474" t="s">
        <v>820</v>
      </c>
      <c r="H20" s="474" t="s">
        <v>818</v>
      </c>
      <c r="I20" s="475" t="s">
        <v>821</v>
      </c>
      <c r="J20" s="517">
        <f>+C66</f>
        <v>5.59</v>
      </c>
      <c r="K20" s="517">
        <f>+AA66</f>
        <v>1493.6552899376111</v>
      </c>
      <c r="L20" s="517">
        <f t="shared" ref="L20:W20" si="37">+AB66</f>
        <v>1319.8699844136281</v>
      </c>
      <c r="M20" s="517">
        <f t="shared" si="37"/>
        <v>1204.0131140643207</v>
      </c>
      <c r="N20" s="517">
        <f t="shared" si="37"/>
        <v>1088.1562437149987</v>
      </c>
      <c r="O20" s="517">
        <f t="shared" si="37"/>
        <v>914.37093819101574</v>
      </c>
      <c r="P20" s="517">
        <f t="shared" si="37"/>
        <v>740.58563266703277</v>
      </c>
      <c r="Q20" s="517">
        <f t="shared" si="37"/>
        <v>624.72876231772534</v>
      </c>
      <c r="R20" s="517">
        <f t="shared" si="37"/>
        <v>508.87189196840336</v>
      </c>
      <c r="S20" s="517">
        <f t="shared" si="37"/>
        <v>335.08658644442039</v>
      </c>
      <c r="T20" s="517">
        <f t="shared" si="37"/>
        <v>161.30128092043742</v>
      </c>
      <c r="U20" s="514">
        <f t="shared" si="37"/>
        <v>45.444410571129993</v>
      </c>
      <c r="V20" s="514">
        <f t="shared" si="37"/>
        <v>0</v>
      </c>
      <c r="W20" s="514">
        <f t="shared" si="37"/>
        <v>0</v>
      </c>
      <c r="X20" s="514">
        <f t="shared" si="5"/>
        <v>-53.917833753955819</v>
      </c>
      <c r="Y20" s="518">
        <f t="shared" si="6"/>
        <v>3.1075498307151999</v>
      </c>
      <c r="Z20" s="518">
        <f t="shared" si="7"/>
        <v>2.7459895025725531</v>
      </c>
      <c r="AA20" s="518">
        <f t="shared" si="8"/>
        <v>2.5049492838108196</v>
      </c>
      <c r="AB20" s="518">
        <f t="shared" si="9"/>
        <v>2.263909065049055</v>
      </c>
      <c r="AC20" s="518">
        <f t="shared" si="10"/>
        <v>1.9023487369064083</v>
      </c>
      <c r="AD20" s="518">
        <f t="shared" si="11"/>
        <v>1.5407884087637616</v>
      </c>
      <c r="AE20" s="518">
        <f t="shared" si="12"/>
        <v>1.2997481900020276</v>
      </c>
      <c r="AF20" s="518">
        <f t="shared" si="13"/>
        <v>1.0587079712402634</v>
      </c>
      <c r="AG20" s="518">
        <f t="shared" si="19"/>
        <v>0.69714764309761668</v>
      </c>
      <c r="AH20" s="518">
        <f t="shared" si="20"/>
        <v>0.33558731495497007</v>
      </c>
      <c r="AI20" s="518">
        <f t="shared" si="21"/>
        <v>9.4547096193235938E-2</v>
      </c>
      <c r="AJ20" s="518"/>
      <c r="AK20" s="518"/>
      <c r="AL20" s="519">
        <f t="shared" si="14"/>
        <v>-0.12052010938087906</v>
      </c>
      <c r="AM20" t="s">
        <v>821</v>
      </c>
    </row>
    <row r="21" spans="5:57" x14ac:dyDescent="0.25">
      <c r="E21" s="473" t="e" vm="7">
        <v>#VALUE!</v>
      </c>
      <c r="F21" s="474" t="s">
        <v>816</v>
      </c>
      <c r="G21" s="474" t="s">
        <v>854</v>
      </c>
      <c r="H21" s="474" t="s">
        <v>818</v>
      </c>
      <c r="I21" s="475" t="s">
        <v>855</v>
      </c>
      <c r="J21" s="517">
        <f>+C68</f>
        <v>90.73</v>
      </c>
      <c r="K21" s="517">
        <f>+AA68</f>
        <v>17779.047619047575</v>
      </c>
      <c r="L21" s="517">
        <f t="shared" ref="L21:W21" si="38">+AB68</f>
        <v>16016.761904761894</v>
      </c>
      <c r="M21" s="517">
        <f t="shared" si="38"/>
        <v>14841.904761904618</v>
      </c>
      <c r="N21" s="517">
        <f t="shared" si="38"/>
        <v>13667.047619047575</v>
      </c>
      <c r="O21" s="517">
        <f t="shared" si="38"/>
        <v>11904.761904761894</v>
      </c>
      <c r="P21" s="517">
        <f t="shared" si="38"/>
        <v>10142.476190476213</v>
      </c>
      <c r="Q21" s="517">
        <f t="shared" si="38"/>
        <v>8967.6190476189367</v>
      </c>
      <c r="R21" s="517">
        <f t="shared" si="38"/>
        <v>7792.7619047618937</v>
      </c>
      <c r="S21" s="517">
        <f t="shared" si="38"/>
        <v>6030.4761904762127</v>
      </c>
      <c r="T21" s="517">
        <f t="shared" si="38"/>
        <v>4268.1904761905316</v>
      </c>
      <c r="U21" s="514">
        <f t="shared" si="38"/>
        <v>3093.3333333332557</v>
      </c>
      <c r="V21" s="514">
        <f t="shared" si="38"/>
        <v>1918.4761904762127</v>
      </c>
      <c r="W21" s="514">
        <f t="shared" si="38"/>
        <v>156.19047619053163</v>
      </c>
      <c r="X21" s="514">
        <f t="shared" si="5"/>
        <v>-587.42857142856838</v>
      </c>
      <c r="Y21" s="518">
        <f t="shared" si="6"/>
        <v>36.989308571428481</v>
      </c>
      <c r="Z21" s="518">
        <f t="shared" si="7"/>
        <v>33.322873142857119</v>
      </c>
      <c r="AA21" s="518">
        <f t="shared" si="8"/>
        <v>30.878582857142554</v>
      </c>
      <c r="AB21" s="518">
        <f t="shared" si="9"/>
        <v>28.434292571428479</v>
      </c>
      <c r="AC21" s="518">
        <f t="shared" si="10"/>
        <v>24.767857142857121</v>
      </c>
      <c r="AD21" s="518">
        <f t="shared" si="11"/>
        <v>21.10142171428576</v>
      </c>
      <c r="AE21" s="518">
        <f t="shared" si="12"/>
        <v>18.657131428571201</v>
      </c>
      <c r="AF21" s="518">
        <f t="shared" si="13"/>
        <v>16.212841142857119</v>
      </c>
      <c r="AG21" s="518">
        <f t="shared" si="19"/>
        <v>12.546405714285759</v>
      </c>
      <c r="AH21" s="518">
        <f t="shared" si="20"/>
        <v>8.8799702857144016</v>
      </c>
      <c r="AI21" s="518">
        <f t="shared" si="21"/>
        <v>6.435679999999838</v>
      </c>
      <c r="AJ21" s="518">
        <f t="shared" si="22"/>
        <v>3.9913897142857606</v>
      </c>
      <c r="AK21" s="518">
        <f t="shared" si="23"/>
        <v>0.32495428571440105</v>
      </c>
      <c r="AL21" s="519">
        <f t="shared" si="14"/>
        <v>-1.2221451428571364</v>
      </c>
      <c r="AM21" t="s">
        <v>855</v>
      </c>
    </row>
    <row r="22" spans="5:57" x14ac:dyDescent="0.25">
      <c r="E22" s="473" t="e" vm="7">
        <v>#VALUE!</v>
      </c>
      <c r="F22" s="474" t="s">
        <v>816</v>
      </c>
      <c r="G22" s="474" t="s">
        <v>856</v>
      </c>
      <c r="H22" s="474" t="s">
        <v>818</v>
      </c>
      <c r="I22" s="475" t="s">
        <v>857</v>
      </c>
      <c r="J22" s="517">
        <f>+C60+C59</f>
        <v>58.34</v>
      </c>
      <c r="K22" s="517">
        <f>+AA60+AA59</f>
        <v>28319.723846840905</v>
      </c>
      <c r="L22" s="517">
        <f t="shared" ref="L22:W22" si="39">+AB60+AB59</f>
        <v>23499.695635298383</v>
      </c>
      <c r="M22" s="517">
        <f t="shared" si="39"/>
        <v>20286.34349427023</v>
      </c>
      <c r="N22" s="517">
        <f t="shared" si="39"/>
        <v>17072.991353242192</v>
      </c>
      <c r="O22" s="517">
        <f t="shared" si="39"/>
        <v>12252.963141699671</v>
      </c>
      <c r="P22" s="517">
        <f t="shared" si="39"/>
        <v>7432.9349301574985</v>
      </c>
      <c r="Q22" s="517">
        <f t="shared" si="39"/>
        <v>4219.5827891294612</v>
      </c>
      <c r="R22" s="517">
        <f t="shared" si="39"/>
        <v>1006.2306481009582</v>
      </c>
      <c r="S22" s="517">
        <f t="shared" si="39"/>
        <v>0</v>
      </c>
      <c r="T22" s="517">
        <f t="shared" si="39"/>
        <v>0</v>
      </c>
      <c r="U22" s="514">
        <f t="shared" si="39"/>
        <v>0</v>
      </c>
      <c r="V22" s="514">
        <f t="shared" si="39"/>
        <v>0</v>
      </c>
      <c r="W22" s="514">
        <f t="shared" si="39"/>
        <v>0</v>
      </c>
      <c r="X22" s="514">
        <f t="shared" si="5"/>
        <v>-996.7596044194355</v>
      </c>
      <c r="Y22" s="518">
        <f t="shared" si="6"/>
        <v>58.919185463352498</v>
      </c>
      <c r="Z22" s="518">
        <f t="shared" si="7"/>
        <v>48.891116769238288</v>
      </c>
      <c r="AA22" s="518">
        <f t="shared" si="8"/>
        <v>42.205737639829209</v>
      </c>
      <c r="AB22" s="518">
        <f t="shared" si="9"/>
        <v>35.520358510420387</v>
      </c>
      <c r="AC22" s="518">
        <f t="shared" si="10"/>
        <v>25.492289816306165</v>
      </c>
      <c r="AD22" s="518">
        <f t="shared" si="11"/>
        <v>15.464221122192678</v>
      </c>
      <c r="AE22" s="518">
        <f t="shared" si="12"/>
        <v>8.7788419927838444</v>
      </c>
      <c r="AF22" s="518">
        <f t="shared" si="13"/>
        <v>2.0934628633740435</v>
      </c>
      <c r="AG22" s="518"/>
      <c r="AH22" s="518"/>
      <c r="AI22" s="518"/>
      <c r="AJ22" s="518"/>
      <c r="AK22" s="518"/>
      <c r="AL22" s="519">
        <f t="shared" si="14"/>
        <v>-3.3426895647045884</v>
      </c>
      <c r="AM22" t="s">
        <v>857</v>
      </c>
    </row>
    <row r="23" spans="5:57" x14ac:dyDescent="0.25">
      <c r="E23" s="473" t="e" vm="8">
        <v>#VALUE!</v>
      </c>
      <c r="F23" s="474" t="s">
        <v>816</v>
      </c>
      <c r="G23" s="474" t="s">
        <v>830</v>
      </c>
      <c r="H23" s="474" t="s">
        <v>831</v>
      </c>
      <c r="I23" s="475" t="s">
        <v>832</v>
      </c>
      <c r="J23" s="517">
        <f>+C53+C54+C55</f>
        <v>11.25</v>
      </c>
      <c r="K23" s="517">
        <f>+AA53+AA54+AA55</f>
        <v>3968.89577214374</v>
      </c>
      <c r="L23" s="517">
        <f t="shared" ref="L23:W23" si="40">+AB53+AB54+AB55</f>
        <v>3300.834962928031</v>
      </c>
      <c r="M23" s="517">
        <f t="shared" si="40"/>
        <v>2855.4610901176165</v>
      </c>
      <c r="N23" s="517">
        <f t="shared" si="40"/>
        <v>2410.0872173071148</v>
      </c>
      <c r="O23" s="517">
        <f t="shared" si="40"/>
        <v>1742.026408091464</v>
      </c>
      <c r="P23" s="517">
        <f t="shared" si="40"/>
        <v>1169.8104944504848</v>
      </c>
      <c r="Q23" s="517">
        <f t="shared" si="40"/>
        <v>855.62911470271138</v>
      </c>
      <c r="R23" s="517">
        <f t="shared" si="40"/>
        <v>541.44773495493791</v>
      </c>
      <c r="S23" s="517">
        <f t="shared" si="40"/>
        <v>88.197440591869963</v>
      </c>
      <c r="T23" s="517">
        <f t="shared" si="40"/>
        <v>46.642343160281598</v>
      </c>
      <c r="U23" s="514">
        <f t="shared" si="40"/>
        <v>18.938944872556021</v>
      </c>
      <c r="V23" s="514">
        <f t="shared" si="40"/>
        <v>0</v>
      </c>
      <c r="W23" s="514">
        <f t="shared" si="40"/>
        <v>0</v>
      </c>
      <c r="X23" s="514">
        <f t="shared" si="5"/>
        <v>-138.73852930552206</v>
      </c>
      <c r="Y23" s="518">
        <f t="shared" si="6"/>
        <v>8.2572876539450526</v>
      </c>
      <c r="Z23" s="518">
        <f t="shared" si="7"/>
        <v>6.8673871403717692</v>
      </c>
      <c r="AA23" s="518">
        <f t="shared" si="8"/>
        <v>5.9407867979897011</v>
      </c>
      <c r="AB23" s="518">
        <f t="shared" si="9"/>
        <v>5.0141864556074527</v>
      </c>
      <c r="AC23" s="518">
        <f t="shared" si="10"/>
        <v>3.6242859420342906</v>
      </c>
      <c r="AD23" s="518">
        <f t="shared" si="11"/>
        <v>2.4337907337042339</v>
      </c>
      <c r="AE23" s="518">
        <f t="shared" si="12"/>
        <v>1.780136373138991</v>
      </c>
      <c r="AF23" s="518">
        <f t="shared" si="13"/>
        <v>1.1264820125737482</v>
      </c>
      <c r="AG23" s="518">
        <f t="shared" si="19"/>
        <v>0.18349477515138546</v>
      </c>
      <c r="AH23" s="518">
        <f t="shared" si="20"/>
        <v>9.7039394944965857E-2</v>
      </c>
      <c r="AI23" s="518"/>
      <c r="AJ23" s="518"/>
      <c r="AK23" s="518"/>
      <c r="AL23" s="519">
        <f t="shared" si="14"/>
        <v>-0.37469510191372613</v>
      </c>
      <c r="AM23" t="s">
        <v>832</v>
      </c>
    </row>
    <row r="24" spans="5:57" x14ac:dyDescent="0.25">
      <c r="E24" s="473" t="e" vm="8">
        <v>#VALUE!</v>
      </c>
      <c r="F24" s="474" t="s">
        <v>816</v>
      </c>
      <c r="G24" s="474" t="s">
        <v>833</v>
      </c>
      <c r="H24" s="474" t="s">
        <v>831</v>
      </c>
      <c r="I24" s="475" t="s">
        <v>834</v>
      </c>
      <c r="J24" s="517">
        <f>+C65</f>
        <v>24.09</v>
      </c>
      <c r="K24" s="517">
        <f>+AA65</f>
        <v>3699.072721168428</v>
      </c>
      <c r="L24" s="517">
        <f t="shared" ref="L24:W24" si="41">+AB65</f>
        <v>3390.493496084353</v>
      </c>
      <c r="M24" s="517">
        <f t="shared" si="41"/>
        <v>3184.7740126949793</v>
      </c>
      <c r="N24" s="517">
        <f t="shared" si="41"/>
        <v>2979.0545293056057</v>
      </c>
      <c r="O24" s="517">
        <f t="shared" si="41"/>
        <v>2670.4753042215307</v>
      </c>
      <c r="P24" s="517">
        <f t="shared" si="41"/>
        <v>2361.8960791374557</v>
      </c>
      <c r="Q24" s="517">
        <f t="shared" si="41"/>
        <v>2156.1765957480529</v>
      </c>
      <c r="R24" s="517">
        <f t="shared" si="41"/>
        <v>1950.4571123586793</v>
      </c>
      <c r="S24" s="517">
        <f t="shared" si="41"/>
        <v>1641.8778872746043</v>
      </c>
      <c r="T24" s="517">
        <f t="shared" si="41"/>
        <v>1333.2986621905293</v>
      </c>
      <c r="U24" s="514">
        <f t="shared" si="41"/>
        <v>1127.5791788011556</v>
      </c>
      <c r="V24" s="514">
        <f t="shared" si="41"/>
        <v>921.85969541178201</v>
      </c>
      <c r="W24" s="514">
        <f t="shared" si="41"/>
        <v>613.28047032770701</v>
      </c>
      <c r="X24" s="514">
        <f t="shared" si="5"/>
        <v>-102.85974169469101</v>
      </c>
      <c r="Y24" s="518">
        <f t="shared" si="6"/>
        <v>7.6959207963909142</v>
      </c>
      <c r="Z24" s="518">
        <f t="shared" si="7"/>
        <v>7.0539217186034957</v>
      </c>
      <c r="AA24" s="518">
        <f t="shared" si="8"/>
        <v>6.6259223334119044</v>
      </c>
      <c r="AB24" s="518">
        <f t="shared" si="9"/>
        <v>6.1979229482203131</v>
      </c>
      <c r="AC24" s="518">
        <f t="shared" si="10"/>
        <v>5.5559238704328946</v>
      </c>
      <c r="AD24" s="518">
        <f t="shared" si="11"/>
        <v>4.9139247926454761</v>
      </c>
      <c r="AE24" s="518">
        <f t="shared" si="12"/>
        <v>4.4859254074538235</v>
      </c>
      <c r="AF24" s="518">
        <f t="shared" si="13"/>
        <v>4.0579260222622322</v>
      </c>
      <c r="AG24" s="518">
        <f t="shared" si="19"/>
        <v>3.4159269444748142</v>
      </c>
      <c r="AH24" s="518">
        <f t="shared" si="20"/>
        <v>2.7739278666873961</v>
      </c>
      <c r="AI24" s="518">
        <f t="shared" si="21"/>
        <v>2.3459284814958048</v>
      </c>
      <c r="AJ24" s="518">
        <f t="shared" si="22"/>
        <v>1.9179290963042124</v>
      </c>
      <c r="AK24" s="518">
        <f t="shared" si="23"/>
        <v>1.2759300185167946</v>
      </c>
      <c r="AL24" s="519">
        <f t="shared" si="14"/>
        <v>-0.21399969259580465</v>
      </c>
      <c r="AM24" t="s">
        <v>834</v>
      </c>
    </row>
    <row r="25" spans="5:57" x14ac:dyDescent="0.25">
      <c r="E25" s="473" t="e" vm="8">
        <v>#VALUE!</v>
      </c>
      <c r="F25" s="474" t="s">
        <v>816</v>
      </c>
      <c r="G25" s="474" t="s">
        <v>835</v>
      </c>
      <c r="H25" s="474" t="s">
        <v>831</v>
      </c>
      <c r="I25" s="480" t="s">
        <v>836</v>
      </c>
      <c r="J25" s="517">
        <f>+C67</f>
        <v>16.52</v>
      </c>
      <c r="K25" s="517">
        <f>+AA67</f>
        <v>3264.6760276460845</v>
      </c>
      <c r="L25" s="517">
        <f t="shared" ref="L25:W25" si="42">+AB67</f>
        <v>2941.5687525040703</v>
      </c>
      <c r="M25" s="517">
        <f t="shared" si="42"/>
        <v>2726.1639024094038</v>
      </c>
      <c r="N25" s="517">
        <f t="shared" si="42"/>
        <v>2510.7590523147373</v>
      </c>
      <c r="O25" s="517">
        <f t="shared" si="42"/>
        <v>2187.6517771727231</v>
      </c>
      <c r="P25" s="517">
        <f t="shared" si="42"/>
        <v>1864.5445020307088</v>
      </c>
      <c r="Q25" s="517">
        <f t="shared" si="42"/>
        <v>1649.1396519360424</v>
      </c>
      <c r="R25" s="517">
        <f t="shared" si="42"/>
        <v>1433.7348018413759</v>
      </c>
      <c r="S25" s="517">
        <f t="shared" si="42"/>
        <v>1110.6275266993616</v>
      </c>
      <c r="T25" s="517">
        <f t="shared" si="42"/>
        <v>787.52025155734736</v>
      </c>
      <c r="U25" s="514">
        <f t="shared" si="42"/>
        <v>572.11540146268089</v>
      </c>
      <c r="V25" s="514">
        <f t="shared" si="42"/>
        <v>356.71055136801442</v>
      </c>
      <c r="W25" s="514">
        <f t="shared" si="42"/>
        <v>33.603276226000162</v>
      </c>
      <c r="X25" s="514">
        <f t="shared" si="5"/>
        <v>-107.70242504733608</v>
      </c>
      <c r="Y25" s="518">
        <f t="shared" si="6"/>
        <v>6.7921584755176792</v>
      </c>
      <c r="Z25" s="518">
        <f t="shared" si="7"/>
        <v>6.1199337895847181</v>
      </c>
      <c r="AA25" s="518">
        <f t="shared" si="8"/>
        <v>5.6717839989627645</v>
      </c>
      <c r="AB25" s="518">
        <f t="shared" si="9"/>
        <v>5.2236342083408118</v>
      </c>
      <c r="AC25" s="518">
        <f t="shared" si="10"/>
        <v>4.5514095224078499</v>
      </c>
      <c r="AD25" s="518">
        <f t="shared" si="11"/>
        <v>3.8791848364748893</v>
      </c>
      <c r="AE25" s="518">
        <f t="shared" si="12"/>
        <v>3.4310350458529362</v>
      </c>
      <c r="AF25" s="518">
        <f t="shared" si="13"/>
        <v>2.9828852552309821</v>
      </c>
      <c r="AG25" s="518">
        <f t="shared" si="19"/>
        <v>2.310660569298022</v>
      </c>
      <c r="AH25" s="518">
        <f t="shared" si="20"/>
        <v>1.638435883365061</v>
      </c>
      <c r="AI25" s="518">
        <f t="shared" si="21"/>
        <v>1.1902860927431076</v>
      </c>
      <c r="AJ25" s="518">
        <f t="shared" si="22"/>
        <v>0.742136302121154</v>
      </c>
      <c r="AK25" s="518">
        <f t="shared" si="23"/>
        <v>6.9911616188193332E-2</v>
      </c>
      <c r="AL25" s="519">
        <f t="shared" si="14"/>
        <v>-0.22407489531098276</v>
      </c>
      <c r="AM25" t="s">
        <v>836</v>
      </c>
    </row>
    <row r="27" spans="5:57" ht="18" customHeight="1" x14ac:dyDescent="0.25">
      <c r="K27" s="57"/>
      <c r="AK27" s="75">
        <f>+SUM(Y6:AK25)-SUM(Y20:AK20)</f>
        <v>5175.9134734434429</v>
      </c>
    </row>
    <row r="28" spans="5:57" x14ac:dyDescent="0.25">
      <c r="K28" s="57"/>
    </row>
    <row r="30" spans="5:57" x14ac:dyDescent="0.25">
      <c r="F30">
        <v>5800</v>
      </c>
      <c r="G30" t="s">
        <v>433</v>
      </c>
    </row>
    <row r="31" spans="5:57" x14ac:dyDescent="0.25">
      <c r="F31" s="485">
        <v>5800000</v>
      </c>
      <c r="G31" t="s">
        <v>453</v>
      </c>
    </row>
    <row r="32" spans="5:57" x14ac:dyDescent="0.25">
      <c r="F32">
        <v>5.7</v>
      </c>
      <c r="G32" t="s">
        <v>871</v>
      </c>
    </row>
    <row r="33" spans="1:39" x14ac:dyDescent="0.25">
      <c r="F33">
        <v>1</v>
      </c>
      <c r="G33" t="s">
        <v>872</v>
      </c>
    </row>
    <row r="34" spans="1:39" ht="15.75" x14ac:dyDescent="0.25">
      <c r="J34" s="603" t="s">
        <v>873</v>
      </c>
      <c r="K34" s="603"/>
      <c r="L34" s="603"/>
      <c r="M34" s="603"/>
      <c r="N34" s="603"/>
      <c r="O34" s="603"/>
      <c r="P34" s="603"/>
      <c r="Q34" s="603"/>
      <c r="R34" s="603"/>
      <c r="S34" s="603"/>
      <c r="AA34" s="604" t="s">
        <v>873</v>
      </c>
      <c r="AB34" s="604"/>
      <c r="AC34" s="604"/>
      <c r="AD34" s="604"/>
      <c r="AE34" s="604"/>
      <c r="AF34" s="604"/>
      <c r="AG34" s="604"/>
      <c r="AH34" s="604"/>
      <c r="AI34" s="604"/>
      <c r="AJ34" s="604"/>
      <c r="AK34" s="51"/>
      <c r="AL34" s="51"/>
      <c r="AM34" s="51"/>
    </row>
    <row r="35" spans="1:39" x14ac:dyDescent="0.25">
      <c r="C35" s="486" t="s">
        <v>874</v>
      </c>
      <c r="D35" s="486" t="s">
        <v>875</v>
      </c>
      <c r="E35" s="486" t="s">
        <v>876</v>
      </c>
      <c r="F35" s="486" t="s">
        <v>877</v>
      </c>
      <c r="G35" s="486" t="s">
        <v>878</v>
      </c>
      <c r="H35" s="486" t="s">
        <v>879</v>
      </c>
      <c r="I35" s="487" t="s">
        <v>880</v>
      </c>
      <c r="J35" s="243">
        <v>2020</v>
      </c>
      <c r="K35" s="488">
        <v>2023</v>
      </c>
      <c r="L35" s="488">
        <v>2025</v>
      </c>
      <c r="M35" s="488">
        <v>2027</v>
      </c>
      <c r="N35" s="488">
        <v>2030</v>
      </c>
      <c r="O35" s="488">
        <v>2033</v>
      </c>
      <c r="P35" s="488">
        <v>2035</v>
      </c>
      <c r="Q35" s="488">
        <v>2037</v>
      </c>
      <c r="R35" s="488">
        <v>2040</v>
      </c>
      <c r="S35" s="488">
        <v>2043</v>
      </c>
      <c r="T35" s="488">
        <v>2045</v>
      </c>
      <c r="U35" s="488">
        <v>2047</v>
      </c>
      <c r="V35" s="489">
        <v>2050</v>
      </c>
      <c r="W35" s="504" t="s">
        <v>910</v>
      </c>
      <c r="X35" s="504" t="s">
        <v>911</v>
      </c>
      <c r="Y35" s="508" t="s">
        <v>912</v>
      </c>
      <c r="AA35" s="510">
        <v>2020</v>
      </c>
      <c r="AB35" s="511">
        <v>2023</v>
      </c>
      <c r="AC35" s="511">
        <v>2025</v>
      </c>
      <c r="AD35" s="511">
        <v>2027</v>
      </c>
      <c r="AE35" s="511">
        <v>2030</v>
      </c>
      <c r="AF35" s="511">
        <v>2033</v>
      </c>
      <c r="AG35" s="511">
        <v>2035</v>
      </c>
      <c r="AH35" s="511">
        <v>2037</v>
      </c>
      <c r="AI35" s="511">
        <v>2040</v>
      </c>
      <c r="AJ35" s="511">
        <v>2043</v>
      </c>
      <c r="AK35" s="511">
        <v>2045</v>
      </c>
      <c r="AL35" s="511">
        <v>2047</v>
      </c>
      <c r="AM35" s="512">
        <v>2050</v>
      </c>
    </row>
    <row r="36" spans="1:39" x14ac:dyDescent="0.25">
      <c r="A36" t="s">
        <v>881</v>
      </c>
      <c r="B36" t="s">
        <v>847</v>
      </c>
      <c r="C36" s="486">
        <v>89.87</v>
      </c>
      <c r="D36" s="490">
        <f t="shared" ref="D36:D68" si="43">+G36/C36</f>
        <v>1</v>
      </c>
      <c r="E36" s="490">
        <f t="shared" ref="E36:E68" si="44">100%-D36</f>
        <v>0</v>
      </c>
      <c r="F36" s="490" t="str">
        <f t="shared" ref="F36:F68" si="45">+IF(AND(D36&gt;0,E36&gt;0),"Oil and Gas",IF(D36&gt;0,"Oil","Gas"))</f>
        <v>Oil</v>
      </c>
      <c r="G36" s="491">
        <f>+C36</f>
        <v>89.87</v>
      </c>
      <c r="H36" s="121">
        <v>0</v>
      </c>
      <c r="I36" s="492">
        <f t="shared" ref="I36:I68" si="46">+E36*(G36*1000000*$F$30)/(1000000000)</f>
        <v>0</v>
      </c>
      <c r="J36" s="493">
        <v>9590.163934426233</v>
      </c>
      <c r="K36" s="494">
        <v>19016.393442622953</v>
      </c>
      <c r="L36" s="494">
        <v>16065.573770491805</v>
      </c>
      <c r="M36" s="494"/>
      <c r="N36" s="494">
        <v>11065.573770491806</v>
      </c>
      <c r="O36" s="494"/>
      <c r="P36" s="494">
        <v>7786.8852459016416</v>
      </c>
      <c r="Q36" s="494"/>
      <c r="R36" s="494">
        <v>5409.8360655737706</v>
      </c>
      <c r="S36" s="494"/>
      <c r="T36" s="494">
        <v>3852.4590163934445</v>
      </c>
      <c r="U36" s="494">
        <v>3114.7540983606559</v>
      </c>
      <c r="V36" s="495"/>
      <c r="W36" s="505">
        <f t="shared" ref="W36:W68" si="47">+SLOPE(J36:V36,$J$35:$V$35)</f>
        <v>-466.42815913267293</v>
      </c>
      <c r="X36" s="505">
        <f>+INTERCEPT(J36:V36,$J$35:$V$35)</f>
        <v>957794.45595464844</v>
      </c>
      <c r="Y36" s="509">
        <v>2048</v>
      </c>
      <c r="Z36" s="121" t="s">
        <v>847</v>
      </c>
      <c r="AA36" s="513">
        <f>+IF(AA$35&lt;$Y36,$W36*AA$35+$X36,0)</f>
        <v>15609.574506649165</v>
      </c>
      <c r="AB36" s="513">
        <f t="shared" ref="AB36:AM51" si="48">+IF(AB$35&lt;$Y36,$W36*AB$35+$X36,0)</f>
        <v>14210.290029251133</v>
      </c>
      <c r="AC36" s="513">
        <f t="shared" si="48"/>
        <v>13277.433710985701</v>
      </c>
      <c r="AD36" s="513">
        <f t="shared" si="48"/>
        <v>12344.577392720385</v>
      </c>
      <c r="AE36" s="513">
        <f t="shared" si="48"/>
        <v>10945.292915322352</v>
      </c>
      <c r="AF36" s="513">
        <f t="shared" si="48"/>
        <v>9546.0084379243199</v>
      </c>
      <c r="AG36" s="513">
        <f t="shared" si="48"/>
        <v>8613.1521196590038</v>
      </c>
      <c r="AH36" s="513">
        <f t="shared" si="48"/>
        <v>7680.2958013936877</v>
      </c>
      <c r="AI36" s="513">
        <f t="shared" si="48"/>
        <v>6281.0113239956554</v>
      </c>
      <c r="AJ36" s="513">
        <f t="shared" si="48"/>
        <v>4881.7268465976231</v>
      </c>
      <c r="AK36" s="513">
        <f t="shared" si="48"/>
        <v>3948.870528332307</v>
      </c>
      <c r="AL36" s="513">
        <f t="shared" si="48"/>
        <v>3016.0142100669909</v>
      </c>
      <c r="AM36" s="513">
        <f t="shared" si="48"/>
        <v>0</v>
      </c>
    </row>
    <row r="37" spans="1:39" x14ac:dyDescent="0.25">
      <c r="A37" t="s">
        <v>881</v>
      </c>
      <c r="B37" t="s">
        <v>849</v>
      </c>
      <c r="C37" s="486">
        <v>2.5</v>
      </c>
      <c r="D37" s="490">
        <f t="shared" si="43"/>
        <v>0.99529999999999996</v>
      </c>
      <c r="E37" s="490">
        <f t="shared" si="44"/>
        <v>4.7000000000000375E-3</v>
      </c>
      <c r="F37" s="490" t="str">
        <f t="shared" si="45"/>
        <v>Oil and Gas</v>
      </c>
      <c r="G37" s="491">
        <f>+C37*99.53%</f>
        <v>2.4882499999999999</v>
      </c>
      <c r="H37" s="121">
        <v>7.0000000000000007E-2</v>
      </c>
      <c r="I37" s="492">
        <f t="shared" si="46"/>
        <v>6.7829695000000537E-2</v>
      </c>
      <c r="J37" s="496">
        <v>2895.7055214723941</v>
      </c>
      <c r="K37" s="436">
        <v>1104.2944785276086</v>
      </c>
      <c r="L37" s="436">
        <v>638.03680981595244</v>
      </c>
      <c r="M37" s="436"/>
      <c r="N37" s="436">
        <v>245.39877300613625</v>
      </c>
      <c r="O37" s="436"/>
      <c r="P37" s="436"/>
      <c r="Q37" s="436"/>
      <c r="R37" s="436"/>
      <c r="S37" s="436"/>
      <c r="T37" s="436"/>
      <c r="U37" s="436"/>
      <c r="V37" s="497"/>
      <c r="W37" s="505">
        <f t="shared" si="47"/>
        <v>-245.6302812825559</v>
      </c>
      <c r="X37" s="505">
        <f t="shared" ref="X37:X68" si="49">+INTERCEPT(J37:V37,$J$35:$V$35)</f>
        <v>498499.36335223995</v>
      </c>
      <c r="Y37" s="504">
        <v>2029</v>
      </c>
      <c r="Z37" s="121" t="s">
        <v>849</v>
      </c>
      <c r="AA37" s="513">
        <f t="shared" ref="AA37:AM52" si="50">+IF(AA$35&lt;$Y37,$W37*AA$35+$X37,0)</f>
        <v>2326.1951614770223</v>
      </c>
      <c r="AB37" s="513">
        <f t="shared" si="48"/>
        <v>1589.3043176293722</v>
      </c>
      <c r="AC37" s="513">
        <f t="shared" si="48"/>
        <v>1098.0437550642528</v>
      </c>
      <c r="AD37" s="513">
        <f t="shared" si="48"/>
        <v>606.78319249913329</v>
      </c>
      <c r="AE37" s="513">
        <f t="shared" si="48"/>
        <v>0</v>
      </c>
      <c r="AF37" s="513">
        <f t="shared" si="48"/>
        <v>0</v>
      </c>
      <c r="AG37" s="513">
        <f t="shared" si="48"/>
        <v>0</v>
      </c>
      <c r="AH37" s="513">
        <f t="shared" si="48"/>
        <v>0</v>
      </c>
      <c r="AI37" s="513">
        <f t="shared" si="48"/>
        <v>0</v>
      </c>
      <c r="AJ37" s="513">
        <f t="shared" si="48"/>
        <v>0</v>
      </c>
      <c r="AK37" s="513">
        <f t="shared" si="48"/>
        <v>0</v>
      </c>
      <c r="AL37" s="513">
        <f t="shared" si="48"/>
        <v>0</v>
      </c>
      <c r="AM37" s="513">
        <f t="shared" si="48"/>
        <v>0</v>
      </c>
    </row>
    <row r="38" spans="1:39" x14ac:dyDescent="0.25">
      <c r="A38" t="s">
        <v>881</v>
      </c>
      <c r="B38" t="s">
        <v>882</v>
      </c>
      <c r="C38" s="486">
        <v>1.37</v>
      </c>
      <c r="D38" s="490">
        <f t="shared" si="43"/>
        <v>0.98879999999999979</v>
      </c>
      <c r="E38" s="490">
        <f t="shared" si="44"/>
        <v>1.120000000000021E-2</v>
      </c>
      <c r="F38" s="490" t="str">
        <f t="shared" si="45"/>
        <v>Oil and Gas</v>
      </c>
      <c r="G38" s="498">
        <f>+C38*98.88%</f>
        <v>1.3546559999999999</v>
      </c>
      <c r="H38" s="121">
        <v>1.5344000000000003E-2</v>
      </c>
      <c r="I38" s="492">
        <f t="shared" si="46"/>
        <v>8.7998453760001649E-2</v>
      </c>
      <c r="J38" s="496">
        <v>390.47502763283035</v>
      </c>
      <c r="K38" s="436">
        <v>344.4663650618204</v>
      </c>
      <c r="L38" s="436">
        <v>275.72230933347043</v>
      </c>
      <c r="M38" s="436"/>
      <c r="N38" s="436">
        <v>198.10040356784828</v>
      </c>
      <c r="O38" s="436"/>
      <c r="P38" s="436">
        <v>123.34138755365916</v>
      </c>
      <c r="Q38" s="436"/>
      <c r="R38" s="436">
        <v>59.918258232013045</v>
      </c>
      <c r="S38" s="436"/>
      <c r="T38" s="436"/>
      <c r="U38" s="436"/>
      <c r="V38" s="497"/>
      <c r="W38" s="505">
        <f t="shared" si="47"/>
        <v>-16.69240967929418</v>
      </c>
      <c r="X38" s="505">
        <f t="shared" si="49"/>
        <v>34098.121129571613</v>
      </c>
      <c r="Y38" s="504">
        <v>2041</v>
      </c>
      <c r="Z38" s="121" t="s">
        <v>882</v>
      </c>
      <c r="AA38" s="513">
        <f t="shared" si="50"/>
        <v>379.45357739736937</v>
      </c>
      <c r="AB38" s="513">
        <f t="shared" si="48"/>
        <v>329.37634835948847</v>
      </c>
      <c r="AC38" s="513">
        <f t="shared" si="48"/>
        <v>295.99152900090121</v>
      </c>
      <c r="AD38" s="513">
        <f t="shared" si="48"/>
        <v>262.60670964231394</v>
      </c>
      <c r="AE38" s="513">
        <f t="shared" si="48"/>
        <v>212.52948060442577</v>
      </c>
      <c r="AF38" s="513">
        <f t="shared" si="48"/>
        <v>162.45225156654487</v>
      </c>
      <c r="AG38" s="513">
        <f t="shared" si="48"/>
        <v>129.06743220795761</v>
      </c>
      <c r="AH38" s="513">
        <f t="shared" si="48"/>
        <v>95.682612849370344</v>
      </c>
      <c r="AI38" s="513">
        <f t="shared" si="48"/>
        <v>45.605383811489446</v>
      </c>
      <c r="AJ38" s="513">
        <f t="shared" si="48"/>
        <v>0</v>
      </c>
      <c r="AK38" s="513">
        <f t="shared" si="48"/>
        <v>0</v>
      </c>
      <c r="AL38" s="513">
        <f t="shared" si="48"/>
        <v>0</v>
      </c>
      <c r="AM38" s="513">
        <f t="shared" si="48"/>
        <v>0</v>
      </c>
    </row>
    <row r="39" spans="1:39" x14ac:dyDescent="0.25">
      <c r="A39" t="s">
        <v>881</v>
      </c>
      <c r="B39" t="s">
        <v>840</v>
      </c>
      <c r="C39" s="486">
        <v>14.92</v>
      </c>
      <c r="D39" s="490">
        <f t="shared" si="43"/>
        <v>0</v>
      </c>
      <c r="E39" s="490">
        <f t="shared" si="44"/>
        <v>1</v>
      </c>
      <c r="F39" s="490" t="str">
        <f t="shared" si="45"/>
        <v>Gas</v>
      </c>
      <c r="G39" s="491">
        <v>0</v>
      </c>
      <c r="H39" s="121">
        <v>89.54</v>
      </c>
      <c r="I39" s="492">
        <f t="shared" si="46"/>
        <v>0</v>
      </c>
      <c r="J39" s="496">
        <v>2688.1998197310859</v>
      </c>
      <c r="K39" s="436">
        <v>4033.9723277920784</v>
      </c>
      <c r="L39" s="436">
        <v>2897.3861007089963</v>
      </c>
      <c r="M39" s="436">
        <v>2545.9174665712671</v>
      </c>
      <c r="N39" s="436">
        <v>2313.091797764293</v>
      </c>
      <c r="O39" s="436">
        <v>1610.2660360352002</v>
      </c>
      <c r="P39" s="436">
        <v>1259.1319215365602</v>
      </c>
      <c r="Q39" s="436">
        <v>1026.306252729586</v>
      </c>
      <c r="R39" s="436"/>
      <c r="S39" s="436"/>
      <c r="T39" s="436"/>
      <c r="U39" s="436"/>
      <c r="V39" s="497"/>
      <c r="W39" s="505">
        <f t="shared" si="47"/>
        <v>-141.87789450348069</v>
      </c>
      <c r="X39" s="505">
        <f t="shared" si="49"/>
        <v>290131.56243929506</v>
      </c>
      <c r="Y39" s="504">
        <v>2039</v>
      </c>
      <c r="Z39" s="121" t="s">
        <v>840</v>
      </c>
      <c r="AA39" s="513">
        <f t="shared" si="50"/>
        <v>3538.2155422640499</v>
      </c>
      <c r="AB39" s="513">
        <f t="shared" si="48"/>
        <v>3112.5818587536342</v>
      </c>
      <c r="AC39" s="513">
        <f t="shared" si="48"/>
        <v>2828.8260697466321</v>
      </c>
      <c r="AD39" s="513">
        <f t="shared" si="48"/>
        <v>2545.0702807396883</v>
      </c>
      <c r="AE39" s="513">
        <f t="shared" si="48"/>
        <v>2119.4365972292726</v>
      </c>
      <c r="AF39" s="513">
        <f t="shared" si="48"/>
        <v>1693.8029137187987</v>
      </c>
      <c r="AG39" s="513">
        <f t="shared" si="48"/>
        <v>1410.0471247118548</v>
      </c>
      <c r="AH39" s="513">
        <f t="shared" si="48"/>
        <v>1126.291335704911</v>
      </c>
      <c r="AI39" s="513">
        <f t="shared" si="48"/>
        <v>0</v>
      </c>
      <c r="AJ39" s="513">
        <f t="shared" si="48"/>
        <v>0</v>
      </c>
      <c r="AK39" s="513">
        <f t="shared" si="48"/>
        <v>0</v>
      </c>
      <c r="AL39" s="513">
        <f t="shared" si="48"/>
        <v>0</v>
      </c>
      <c r="AM39" s="513">
        <f t="shared" si="48"/>
        <v>0</v>
      </c>
    </row>
    <row r="40" spans="1:39" x14ac:dyDescent="0.25">
      <c r="A40" t="s">
        <v>881</v>
      </c>
      <c r="B40" t="s">
        <v>819</v>
      </c>
      <c r="C40" s="486">
        <v>21.91</v>
      </c>
      <c r="D40" s="490">
        <f t="shared" si="43"/>
        <v>1</v>
      </c>
      <c r="E40" s="490">
        <f t="shared" si="44"/>
        <v>0</v>
      </c>
      <c r="F40" s="490" t="str">
        <f t="shared" si="45"/>
        <v>Oil</v>
      </c>
      <c r="G40" s="491">
        <f>+C40</f>
        <v>21.91</v>
      </c>
      <c r="H40" s="121">
        <v>0</v>
      </c>
      <c r="I40" s="492">
        <f t="shared" si="46"/>
        <v>0</v>
      </c>
      <c r="J40" s="496">
        <v>10465.971477086872</v>
      </c>
      <c r="K40" s="436"/>
      <c r="L40" s="436">
        <v>6174.2002020980708</v>
      </c>
      <c r="M40" s="436"/>
      <c r="N40" s="436">
        <v>2813.1217901305317</v>
      </c>
      <c r="O40" s="436"/>
      <c r="P40" s="436">
        <v>1643.4531684602007</v>
      </c>
      <c r="Q40" s="436"/>
      <c r="R40" s="436"/>
      <c r="S40" s="436"/>
      <c r="T40" s="436"/>
      <c r="U40" s="436"/>
      <c r="V40" s="497"/>
      <c r="W40" s="505">
        <f t="shared" si="47"/>
        <v>-596.57266675695109</v>
      </c>
      <c r="X40" s="505">
        <f t="shared" si="49"/>
        <v>1214825.2685091621</v>
      </c>
      <c r="Y40" s="504">
        <v>2035</v>
      </c>
      <c r="Z40" s="121" t="s">
        <v>819</v>
      </c>
      <c r="AA40" s="513">
        <f t="shared" si="50"/>
        <v>9748.4816601208877</v>
      </c>
      <c r="AB40" s="513">
        <f t="shared" si="48"/>
        <v>7958.7636598499957</v>
      </c>
      <c r="AC40" s="513">
        <f t="shared" si="48"/>
        <v>6765.6183263361454</v>
      </c>
      <c r="AD40" s="513">
        <f t="shared" si="48"/>
        <v>5572.4729928222951</v>
      </c>
      <c r="AE40" s="513">
        <f t="shared" si="48"/>
        <v>3782.7549925514031</v>
      </c>
      <c r="AF40" s="513">
        <f t="shared" si="48"/>
        <v>1993.0369922805112</v>
      </c>
      <c r="AG40" s="513">
        <f t="shared" si="48"/>
        <v>0</v>
      </c>
      <c r="AH40" s="513">
        <f t="shared" si="48"/>
        <v>0</v>
      </c>
      <c r="AI40" s="513">
        <f t="shared" si="48"/>
        <v>0</v>
      </c>
      <c r="AJ40" s="513">
        <f t="shared" si="48"/>
        <v>0</v>
      </c>
      <c r="AK40" s="513">
        <f t="shared" si="48"/>
        <v>0</v>
      </c>
      <c r="AL40" s="513">
        <f t="shared" si="48"/>
        <v>0</v>
      </c>
      <c r="AM40" s="513">
        <f t="shared" si="48"/>
        <v>0</v>
      </c>
    </row>
    <row r="41" spans="1:39" x14ac:dyDescent="0.25">
      <c r="A41" t="s">
        <v>881</v>
      </c>
      <c r="B41" t="s">
        <v>883</v>
      </c>
      <c r="C41" s="486">
        <v>8.85</v>
      </c>
      <c r="D41" s="490">
        <f t="shared" si="43"/>
        <v>1</v>
      </c>
      <c r="E41" s="490">
        <f t="shared" si="44"/>
        <v>0</v>
      </c>
      <c r="F41" s="490" t="str">
        <f t="shared" si="45"/>
        <v>Oil</v>
      </c>
      <c r="G41" s="491">
        <f>+C41</f>
        <v>8.85</v>
      </c>
      <c r="H41" s="121">
        <v>0</v>
      </c>
      <c r="I41" s="492">
        <f t="shared" si="46"/>
        <v>0</v>
      </c>
      <c r="J41" s="496">
        <v>1648.5786991601608</v>
      </c>
      <c r="K41" s="436">
        <v>2065.3937346384009</v>
      </c>
      <c r="L41" s="436">
        <v>1591.6354730287221</v>
      </c>
      <c r="M41" s="436"/>
      <c r="N41" s="436">
        <v>1118.8933568407438</v>
      </c>
      <c r="O41" s="436"/>
      <c r="P41" s="436">
        <v>750.03256876351679</v>
      </c>
      <c r="Q41" s="436"/>
      <c r="R41" s="436">
        <v>440.61628785575977</v>
      </c>
      <c r="S41" s="436"/>
      <c r="T41" s="436">
        <v>279.75265109735119</v>
      </c>
      <c r="U41" s="436">
        <v>163.4430828288796</v>
      </c>
      <c r="V41" s="497"/>
      <c r="W41" s="505">
        <f t="shared" si="47"/>
        <v>-66.613918553093967</v>
      </c>
      <c r="X41" s="505">
        <f t="shared" si="49"/>
        <v>136441.71639003584</v>
      </c>
      <c r="Y41" s="504">
        <v>2052</v>
      </c>
      <c r="Z41" s="121" t="s">
        <v>883</v>
      </c>
      <c r="AA41" s="513">
        <f t="shared" si="50"/>
        <v>1881.6009127860307</v>
      </c>
      <c r="AB41" s="513">
        <f t="shared" si="48"/>
        <v>1681.7591571267403</v>
      </c>
      <c r="AC41" s="513">
        <f t="shared" si="48"/>
        <v>1548.5313200205564</v>
      </c>
      <c r="AD41" s="513">
        <f t="shared" si="48"/>
        <v>1415.3034829143726</v>
      </c>
      <c r="AE41" s="513">
        <f t="shared" si="48"/>
        <v>1215.4617272550822</v>
      </c>
      <c r="AF41" s="513">
        <f t="shared" si="48"/>
        <v>1015.619971595821</v>
      </c>
      <c r="AG41" s="513">
        <f t="shared" si="48"/>
        <v>882.392134489608</v>
      </c>
      <c r="AH41" s="513">
        <f t="shared" si="48"/>
        <v>749.16429738342413</v>
      </c>
      <c r="AI41" s="513">
        <f t="shared" si="48"/>
        <v>549.32254172416287</v>
      </c>
      <c r="AJ41" s="513">
        <f t="shared" si="48"/>
        <v>349.48078606487252</v>
      </c>
      <c r="AK41" s="513">
        <f t="shared" si="48"/>
        <v>216.25294895868865</v>
      </c>
      <c r="AL41" s="513">
        <f t="shared" si="48"/>
        <v>83.025111852504779</v>
      </c>
      <c r="AM41" s="513">
        <v>0</v>
      </c>
    </row>
    <row r="42" spans="1:39" x14ac:dyDescent="0.25">
      <c r="A42" t="s">
        <v>881</v>
      </c>
      <c r="B42" t="s">
        <v>884</v>
      </c>
      <c r="C42" s="486">
        <v>153.29</v>
      </c>
      <c r="D42" s="490">
        <f t="shared" si="43"/>
        <v>1</v>
      </c>
      <c r="E42" s="490">
        <f t="shared" si="44"/>
        <v>0</v>
      </c>
      <c r="F42" s="490" t="str">
        <f t="shared" si="45"/>
        <v>Oil</v>
      </c>
      <c r="G42" s="491">
        <v>153.29</v>
      </c>
      <c r="H42" s="121">
        <v>0</v>
      </c>
      <c r="I42" s="492">
        <f t="shared" si="46"/>
        <v>0</v>
      </c>
      <c r="J42" s="496">
        <v>66124.661246612479</v>
      </c>
      <c r="K42" s="436"/>
      <c r="L42" s="436">
        <v>37723.577235772369</v>
      </c>
      <c r="M42" s="436"/>
      <c r="N42" s="436">
        <v>22764.227642276433</v>
      </c>
      <c r="O42" s="436"/>
      <c r="P42" s="436">
        <v>14092.140921409227</v>
      </c>
      <c r="Q42" s="436"/>
      <c r="R42" s="436"/>
      <c r="S42" s="436"/>
      <c r="T42" s="436"/>
      <c r="U42" s="436"/>
      <c r="V42" s="497"/>
      <c r="W42" s="505">
        <f t="shared" si="47"/>
        <v>-3421.1382113821137</v>
      </c>
      <c r="X42" s="505">
        <f t="shared" si="49"/>
        <v>6971533.8753387537</v>
      </c>
      <c r="Y42" s="504">
        <v>2036</v>
      </c>
      <c r="Z42" s="121" t="s">
        <v>884</v>
      </c>
      <c r="AA42" s="513">
        <f t="shared" si="50"/>
        <v>60834.688346884213</v>
      </c>
      <c r="AB42" s="513">
        <f t="shared" si="48"/>
        <v>50571.273712737486</v>
      </c>
      <c r="AC42" s="513">
        <f t="shared" si="48"/>
        <v>43728.997289973311</v>
      </c>
      <c r="AD42" s="513">
        <f t="shared" si="48"/>
        <v>36886.720867209136</v>
      </c>
      <c r="AE42" s="513">
        <f t="shared" si="48"/>
        <v>26623.30623306334</v>
      </c>
      <c r="AF42" s="513">
        <f t="shared" si="48"/>
        <v>16359.891598916613</v>
      </c>
      <c r="AG42" s="513">
        <f t="shared" si="48"/>
        <v>9517.6151761524379</v>
      </c>
      <c r="AH42" s="513">
        <f t="shared" si="48"/>
        <v>0</v>
      </c>
      <c r="AI42" s="513">
        <f t="shared" si="48"/>
        <v>0</v>
      </c>
      <c r="AJ42" s="513">
        <f t="shared" si="48"/>
        <v>0</v>
      </c>
      <c r="AK42" s="513">
        <f t="shared" si="48"/>
        <v>0</v>
      </c>
      <c r="AL42" s="513">
        <f t="shared" si="48"/>
        <v>0</v>
      </c>
      <c r="AM42" s="513">
        <f t="shared" si="48"/>
        <v>0</v>
      </c>
    </row>
    <row r="43" spans="1:39" x14ac:dyDescent="0.25">
      <c r="A43" t="s">
        <v>474</v>
      </c>
      <c r="B43" t="s">
        <v>885</v>
      </c>
      <c r="C43" s="486">
        <v>0.88</v>
      </c>
      <c r="D43" s="490">
        <f t="shared" si="43"/>
        <v>1</v>
      </c>
      <c r="E43" s="490">
        <f t="shared" si="44"/>
        <v>0</v>
      </c>
      <c r="F43" s="490" t="str">
        <f t="shared" si="45"/>
        <v>Oil</v>
      </c>
      <c r="G43" s="491">
        <v>0.88</v>
      </c>
      <c r="H43" s="121">
        <v>0</v>
      </c>
      <c r="I43" s="492">
        <f t="shared" si="46"/>
        <v>0</v>
      </c>
      <c r="J43" s="496">
        <v>139.28969359331495</v>
      </c>
      <c r="K43" s="436">
        <v>224.70055710306417</v>
      </c>
      <c r="L43" s="436">
        <v>158.94150417827314</v>
      </c>
      <c r="M43" s="436"/>
      <c r="N43" s="436">
        <v>115.27855153203359</v>
      </c>
      <c r="O43" s="436"/>
      <c r="P43" s="436">
        <v>78.133704735376114</v>
      </c>
      <c r="Q43" s="436">
        <v>68.920612813370553</v>
      </c>
      <c r="R43" s="436">
        <v>62.841225626741107</v>
      </c>
      <c r="S43" s="436"/>
      <c r="T43" s="436"/>
      <c r="U43" s="436"/>
      <c r="V43" s="497"/>
      <c r="W43" s="505">
        <f t="shared" si="47"/>
        <v>-6.4913312842186155</v>
      </c>
      <c r="X43" s="505">
        <f t="shared" si="49"/>
        <v>13298.560485475529</v>
      </c>
      <c r="Y43" s="504">
        <v>2042</v>
      </c>
      <c r="Z43" s="121" t="s">
        <v>885</v>
      </c>
      <c r="AA43" s="513">
        <f t="shared" si="50"/>
        <v>186.07129135392643</v>
      </c>
      <c r="AB43" s="513">
        <f t="shared" si="48"/>
        <v>166.59729750127008</v>
      </c>
      <c r="AC43" s="513">
        <f t="shared" si="48"/>
        <v>153.61463493283372</v>
      </c>
      <c r="AD43" s="513">
        <f t="shared" si="48"/>
        <v>140.63197236439555</v>
      </c>
      <c r="AE43" s="513">
        <f t="shared" si="48"/>
        <v>121.1579785117392</v>
      </c>
      <c r="AF43" s="513">
        <f t="shared" si="48"/>
        <v>101.68398465908467</v>
      </c>
      <c r="AG43" s="513">
        <f t="shared" si="48"/>
        <v>88.701322090646499</v>
      </c>
      <c r="AH43" s="513">
        <f t="shared" si="48"/>
        <v>75.718659522210146</v>
      </c>
      <c r="AI43" s="513">
        <f t="shared" si="48"/>
        <v>56.244665669553797</v>
      </c>
      <c r="AJ43" s="513">
        <f t="shared" si="48"/>
        <v>0</v>
      </c>
      <c r="AK43" s="513">
        <f t="shared" si="48"/>
        <v>0</v>
      </c>
      <c r="AL43" s="513">
        <f t="shared" si="48"/>
        <v>0</v>
      </c>
      <c r="AM43" s="513">
        <f t="shared" si="48"/>
        <v>0</v>
      </c>
    </row>
    <row r="44" spans="1:39" x14ac:dyDescent="0.25">
      <c r="A44" t="s">
        <v>474</v>
      </c>
      <c r="B44" t="s">
        <v>886</v>
      </c>
      <c r="C44" s="486">
        <v>543.79</v>
      </c>
      <c r="D44" s="490">
        <f t="shared" si="43"/>
        <v>1</v>
      </c>
      <c r="E44" s="490">
        <f t="shared" si="44"/>
        <v>0</v>
      </c>
      <c r="F44" s="490" t="str">
        <f t="shared" si="45"/>
        <v>Oil</v>
      </c>
      <c r="G44" s="491">
        <f>+C44</f>
        <v>543.79</v>
      </c>
      <c r="H44" s="121">
        <v>0</v>
      </c>
      <c r="I44" s="492">
        <f t="shared" si="46"/>
        <v>0</v>
      </c>
      <c r="J44" s="496">
        <v>46080.722145667336</v>
      </c>
      <c r="K44" s="436">
        <v>39727.331429446349</v>
      </c>
      <c r="L44" s="436"/>
      <c r="M44" s="436"/>
      <c r="N44" s="436">
        <v>32953.221629753898</v>
      </c>
      <c r="O44" s="436"/>
      <c r="P44" s="436"/>
      <c r="Q44" s="436"/>
      <c r="R44" s="436">
        <v>26312.58362790327</v>
      </c>
      <c r="S44" s="436"/>
      <c r="T44" s="436"/>
      <c r="U44" s="436"/>
      <c r="V44" s="497">
        <v>21157.776313249327</v>
      </c>
      <c r="W44" s="505">
        <f t="shared" si="47"/>
        <v>-788.06799463334039</v>
      </c>
      <c r="X44" s="505">
        <f t="shared" si="49"/>
        <v>1635073.3329209315</v>
      </c>
      <c r="Y44" s="504">
        <v>2099</v>
      </c>
      <c r="Z44" s="121" t="s">
        <v>886</v>
      </c>
      <c r="AA44" s="513">
        <f t="shared" si="50"/>
        <v>43175.983761583921</v>
      </c>
      <c r="AB44" s="513">
        <f t="shared" si="48"/>
        <v>40811.779777684016</v>
      </c>
      <c r="AC44" s="513">
        <f t="shared" si="48"/>
        <v>39235.643788417336</v>
      </c>
      <c r="AD44" s="513">
        <f t="shared" si="48"/>
        <v>37659.507799150655</v>
      </c>
      <c r="AE44" s="513">
        <f t="shared" si="48"/>
        <v>35295.303815250518</v>
      </c>
      <c r="AF44" s="513">
        <f t="shared" si="48"/>
        <v>32931.099831350613</v>
      </c>
      <c r="AG44" s="513">
        <f t="shared" si="48"/>
        <v>31354.963842083933</v>
      </c>
      <c r="AH44" s="513">
        <f t="shared" si="48"/>
        <v>29778.827852817252</v>
      </c>
      <c r="AI44" s="513">
        <f t="shared" si="48"/>
        <v>27414.623868917115</v>
      </c>
      <c r="AJ44" s="513">
        <f t="shared" si="48"/>
        <v>25050.419885017211</v>
      </c>
      <c r="AK44" s="513">
        <f t="shared" si="48"/>
        <v>23474.28389575053</v>
      </c>
      <c r="AL44" s="513">
        <f t="shared" si="48"/>
        <v>21898.14790648385</v>
      </c>
      <c r="AM44" s="513">
        <f t="shared" si="48"/>
        <v>19533.943922583712</v>
      </c>
    </row>
    <row r="45" spans="1:39" x14ac:dyDescent="0.25">
      <c r="A45" t="s">
        <v>474</v>
      </c>
      <c r="B45" t="s">
        <v>846</v>
      </c>
      <c r="C45" s="486">
        <v>146.25</v>
      </c>
      <c r="D45" s="490">
        <f t="shared" si="43"/>
        <v>1</v>
      </c>
      <c r="E45" s="490">
        <f t="shared" si="44"/>
        <v>0</v>
      </c>
      <c r="F45" s="490" t="str">
        <f t="shared" si="45"/>
        <v>Oil</v>
      </c>
      <c r="G45" s="491">
        <v>146.25</v>
      </c>
      <c r="H45" s="121">
        <v>0</v>
      </c>
      <c r="I45" s="492">
        <f t="shared" si="46"/>
        <v>0</v>
      </c>
      <c r="J45" s="496">
        <v>49014.692742976287</v>
      </c>
      <c r="K45" s="436"/>
      <c r="L45" s="436">
        <v>34761.491114861514</v>
      </c>
      <c r="M45" s="436"/>
      <c r="N45" s="436">
        <v>19155.415467090243</v>
      </c>
      <c r="O45" s="436">
        <v>16260.547999602895</v>
      </c>
      <c r="P45" s="436">
        <v>12169.165094807897</v>
      </c>
      <c r="Q45" s="436">
        <v>8406.8797776233405</v>
      </c>
      <c r="R45" s="436"/>
      <c r="S45" s="436"/>
      <c r="T45" s="436"/>
      <c r="U45" s="436"/>
      <c r="V45" s="497"/>
      <c r="W45" s="505">
        <f t="shared" si="47"/>
        <v>-2382.1093994608605</v>
      </c>
      <c r="X45" s="505">
        <f t="shared" si="49"/>
        <v>4858976.7796050403</v>
      </c>
      <c r="Y45" s="504">
        <v>2039</v>
      </c>
      <c r="Z45" s="121" t="s">
        <v>846</v>
      </c>
      <c r="AA45" s="513">
        <f t="shared" si="50"/>
        <v>47115.792694102041</v>
      </c>
      <c r="AB45" s="513">
        <f t="shared" si="48"/>
        <v>39969.46449571941</v>
      </c>
      <c r="AC45" s="513">
        <f t="shared" si="48"/>
        <v>35205.245696797967</v>
      </c>
      <c r="AD45" s="513">
        <f t="shared" si="48"/>
        <v>30441.026897876523</v>
      </c>
      <c r="AE45" s="513">
        <f t="shared" si="48"/>
        <v>23294.698699493892</v>
      </c>
      <c r="AF45" s="513">
        <f t="shared" si="48"/>
        <v>16148.370501111262</v>
      </c>
      <c r="AG45" s="513">
        <f t="shared" si="48"/>
        <v>11384.151702188887</v>
      </c>
      <c r="AH45" s="513">
        <f t="shared" si="48"/>
        <v>6619.9329032674432</v>
      </c>
      <c r="AI45" s="513">
        <f t="shared" si="48"/>
        <v>0</v>
      </c>
      <c r="AJ45" s="513">
        <f t="shared" si="48"/>
        <v>0</v>
      </c>
      <c r="AK45" s="513">
        <f t="shared" si="48"/>
        <v>0</v>
      </c>
      <c r="AL45" s="513">
        <f t="shared" si="48"/>
        <v>0</v>
      </c>
      <c r="AM45" s="513">
        <f t="shared" si="48"/>
        <v>0</v>
      </c>
    </row>
    <row r="46" spans="1:39" x14ac:dyDescent="0.25">
      <c r="A46" t="s">
        <v>474</v>
      </c>
      <c r="B46" t="s">
        <v>887</v>
      </c>
      <c r="C46" s="486">
        <v>89.99</v>
      </c>
      <c r="D46" s="490">
        <f t="shared" si="43"/>
        <v>1</v>
      </c>
      <c r="E46" s="490">
        <f t="shared" si="44"/>
        <v>0</v>
      </c>
      <c r="F46" s="490" t="str">
        <f t="shared" si="45"/>
        <v>Oil</v>
      </c>
      <c r="G46" s="491">
        <f>+C46</f>
        <v>89.99</v>
      </c>
      <c r="H46" s="121">
        <v>0</v>
      </c>
      <c r="I46" s="492">
        <f t="shared" si="46"/>
        <v>0</v>
      </c>
      <c r="J46" s="496">
        <v>19904.801688505846</v>
      </c>
      <c r="K46" s="436">
        <v>21393.017324773544</v>
      </c>
      <c r="L46" s="436">
        <v>17374.901064110454</v>
      </c>
      <c r="M46" s="436"/>
      <c r="N46" s="436">
        <v>11787.002022689294</v>
      </c>
      <c r="O46" s="436"/>
      <c r="P46" s="436">
        <v>8168.8066133145694</v>
      </c>
      <c r="Q46" s="436"/>
      <c r="R46" s="436">
        <v>5706.1823938088055</v>
      </c>
      <c r="S46" s="436">
        <v>4334.2713921378891</v>
      </c>
      <c r="T46" s="436"/>
      <c r="U46" s="436"/>
      <c r="V46" s="497"/>
      <c r="W46" s="505">
        <f t="shared" si="47"/>
        <v>-772.21287149137254</v>
      </c>
      <c r="X46" s="505">
        <f t="shared" si="49"/>
        <v>1580921.0233743847</v>
      </c>
      <c r="Y46" s="504">
        <v>2044</v>
      </c>
      <c r="Z46" s="121" t="s">
        <v>887</v>
      </c>
      <c r="AA46" s="513">
        <f t="shared" si="50"/>
        <v>21051.022961812094</v>
      </c>
      <c r="AB46" s="513">
        <f t="shared" si="48"/>
        <v>18734.384347337997</v>
      </c>
      <c r="AC46" s="513">
        <f t="shared" si="48"/>
        <v>17189.958604355343</v>
      </c>
      <c r="AD46" s="513">
        <f t="shared" si="48"/>
        <v>15645.532861372689</v>
      </c>
      <c r="AE46" s="513">
        <f t="shared" si="48"/>
        <v>13328.894246898592</v>
      </c>
      <c r="AF46" s="513">
        <f t="shared" si="48"/>
        <v>11012.255632424261</v>
      </c>
      <c r="AG46" s="513">
        <f t="shared" si="48"/>
        <v>9467.8298894416075</v>
      </c>
      <c r="AH46" s="513">
        <f t="shared" si="48"/>
        <v>7923.4041464589536</v>
      </c>
      <c r="AI46" s="513">
        <f t="shared" si="48"/>
        <v>5606.7655319848564</v>
      </c>
      <c r="AJ46" s="513">
        <f t="shared" si="48"/>
        <v>3290.1269175105263</v>
      </c>
      <c r="AK46" s="513">
        <f t="shared" si="48"/>
        <v>0</v>
      </c>
      <c r="AL46" s="513">
        <f t="shared" si="48"/>
        <v>0</v>
      </c>
      <c r="AM46" s="513">
        <f t="shared" si="48"/>
        <v>0</v>
      </c>
    </row>
    <row r="47" spans="1:39" x14ac:dyDescent="0.25">
      <c r="A47" t="s">
        <v>474</v>
      </c>
      <c r="B47" t="s">
        <v>839</v>
      </c>
      <c r="C47" s="499">
        <v>28.68</v>
      </c>
      <c r="D47" s="490">
        <f t="shared" si="43"/>
        <v>0</v>
      </c>
      <c r="E47" s="490">
        <f t="shared" si="44"/>
        <v>1</v>
      </c>
      <c r="F47" s="490" t="str">
        <f t="shared" si="45"/>
        <v>Gas</v>
      </c>
      <c r="G47" s="491">
        <v>0</v>
      </c>
      <c r="H47" s="121">
        <v>172.07</v>
      </c>
      <c r="I47" s="492">
        <f t="shared" si="46"/>
        <v>0</v>
      </c>
      <c r="J47" s="496">
        <v>18473.762408216862</v>
      </c>
      <c r="K47" s="436"/>
      <c r="L47" s="436">
        <v>12112.142288064424</v>
      </c>
      <c r="M47" s="436">
        <v>9490.7517064662534</v>
      </c>
      <c r="N47" s="436"/>
      <c r="O47" s="436"/>
      <c r="P47" s="436"/>
      <c r="Q47" s="436"/>
      <c r="R47" s="436"/>
      <c r="S47" s="436"/>
      <c r="T47" s="436"/>
      <c r="U47" s="436"/>
      <c r="V47" s="497"/>
      <c r="W47" s="505">
        <f t="shared" si="47"/>
        <v>-1281.1789317463179</v>
      </c>
      <c r="X47" s="505">
        <f t="shared" si="49"/>
        <v>2606465.0433221296</v>
      </c>
      <c r="Y47" s="506">
        <v>2027</v>
      </c>
      <c r="Z47" s="121" t="s">
        <v>839</v>
      </c>
      <c r="AA47" s="513">
        <f t="shared" si="50"/>
        <v>18483.601194567513</v>
      </c>
      <c r="AB47" s="513">
        <f t="shared" si="48"/>
        <v>14640.064399328548</v>
      </c>
      <c r="AC47" s="513">
        <f t="shared" si="48"/>
        <v>12077.70653583575</v>
      </c>
      <c r="AD47" s="513">
        <f t="shared" si="48"/>
        <v>0</v>
      </c>
      <c r="AE47" s="513">
        <f t="shared" si="48"/>
        <v>0</v>
      </c>
      <c r="AF47" s="513">
        <f t="shared" si="48"/>
        <v>0</v>
      </c>
      <c r="AG47" s="513">
        <f t="shared" si="48"/>
        <v>0</v>
      </c>
      <c r="AH47" s="513">
        <f t="shared" si="48"/>
        <v>0</v>
      </c>
      <c r="AI47" s="513">
        <f t="shared" si="48"/>
        <v>0</v>
      </c>
      <c r="AJ47" s="513">
        <f t="shared" si="48"/>
        <v>0</v>
      </c>
      <c r="AK47" s="513">
        <f t="shared" si="48"/>
        <v>0</v>
      </c>
      <c r="AL47" s="513">
        <f t="shared" si="48"/>
        <v>0</v>
      </c>
      <c r="AM47" s="513">
        <f t="shared" si="48"/>
        <v>0</v>
      </c>
    </row>
    <row r="48" spans="1:39" x14ac:dyDescent="0.25">
      <c r="A48" t="s">
        <v>474</v>
      </c>
      <c r="B48" t="s">
        <v>888</v>
      </c>
      <c r="C48" s="486">
        <v>86.96</v>
      </c>
      <c r="D48" s="490">
        <f t="shared" si="43"/>
        <v>0.31430000000000002</v>
      </c>
      <c r="E48" s="490">
        <f t="shared" si="44"/>
        <v>0.68569999999999998</v>
      </c>
      <c r="F48" s="490" t="str">
        <f t="shared" si="45"/>
        <v>Oil and Gas</v>
      </c>
      <c r="G48" s="491">
        <f>+C48*(100%-68.57%)</f>
        <v>27.331527999999999</v>
      </c>
      <c r="H48" s="121">
        <v>357.74</v>
      </c>
      <c r="I48" s="492">
        <f t="shared" si="46"/>
        <v>108.69912674768</v>
      </c>
      <c r="J48" s="496">
        <v>44548.767539958091</v>
      </c>
      <c r="K48" s="436">
        <v>31427.013687623752</v>
      </c>
      <c r="L48" s="436">
        <v>23791.787425751099</v>
      </c>
      <c r="M48" s="436"/>
      <c r="N48" s="436">
        <v>13036.815977502934</v>
      </c>
      <c r="O48" s="436"/>
      <c r="P48" s="436">
        <v>6368.0449941174884</v>
      </c>
      <c r="Q48" s="436"/>
      <c r="R48" s="436"/>
      <c r="S48" s="436"/>
      <c r="T48" s="436"/>
      <c r="U48" s="436"/>
      <c r="V48" s="497"/>
      <c r="W48" s="505">
        <f t="shared" si="47"/>
        <v>-2460.405259534517</v>
      </c>
      <c r="X48" s="505">
        <f t="shared" si="49"/>
        <v>5010091.7848976431</v>
      </c>
      <c r="Y48" s="504">
        <v>2035</v>
      </c>
      <c r="Z48" s="121" t="s">
        <v>888</v>
      </c>
      <c r="AA48" s="513">
        <f t="shared" si="50"/>
        <v>40073.16063791886</v>
      </c>
      <c r="AB48" s="513">
        <f t="shared" si="48"/>
        <v>32691.944859315641</v>
      </c>
      <c r="AC48" s="513">
        <f t="shared" si="48"/>
        <v>27771.134340246208</v>
      </c>
      <c r="AD48" s="513">
        <f t="shared" si="48"/>
        <v>22850.323821176775</v>
      </c>
      <c r="AE48" s="513">
        <f t="shared" si="48"/>
        <v>15469.108042573556</v>
      </c>
      <c r="AF48" s="513">
        <f t="shared" si="48"/>
        <v>8087.8922639703378</v>
      </c>
      <c r="AG48" s="513">
        <f t="shared" si="48"/>
        <v>0</v>
      </c>
      <c r="AH48" s="513">
        <f t="shared" si="48"/>
        <v>0</v>
      </c>
      <c r="AI48" s="513">
        <f t="shared" si="48"/>
        <v>0</v>
      </c>
      <c r="AJ48" s="513">
        <f t="shared" si="48"/>
        <v>0</v>
      </c>
      <c r="AK48" s="513">
        <f t="shared" si="48"/>
        <v>0</v>
      </c>
      <c r="AL48" s="513">
        <f t="shared" si="48"/>
        <v>0</v>
      </c>
      <c r="AM48" s="513">
        <f t="shared" si="48"/>
        <v>0</v>
      </c>
    </row>
    <row r="49" spans="1:39" x14ac:dyDescent="0.25">
      <c r="A49" t="s">
        <v>889</v>
      </c>
      <c r="B49" t="s">
        <v>890</v>
      </c>
      <c r="C49" s="486">
        <v>5.73</v>
      </c>
      <c r="D49" s="490">
        <f t="shared" si="43"/>
        <v>1</v>
      </c>
      <c r="E49" s="490">
        <f t="shared" si="44"/>
        <v>0</v>
      </c>
      <c r="F49" s="490" t="str">
        <f t="shared" si="45"/>
        <v>Oil</v>
      </c>
      <c r="G49" s="491">
        <f>+C49</f>
        <v>5.73</v>
      </c>
      <c r="H49" s="121">
        <v>0</v>
      </c>
      <c r="I49" s="492">
        <f t="shared" si="46"/>
        <v>0</v>
      </c>
      <c r="J49" s="496">
        <v>2264.0625</v>
      </c>
      <c r="K49" s="436">
        <v>1785.9375000000005</v>
      </c>
      <c r="L49" s="436">
        <v>1223.4375</v>
      </c>
      <c r="M49" s="436"/>
      <c r="N49" s="436">
        <v>689.0625</v>
      </c>
      <c r="O49" s="436"/>
      <c r="P49" s="436">
        <v>407.8125</v>
      </c>
      <c r="Q49" s="436"/>
      <c r="R49" s="436">
        <v>239.0625</v>
      </c>
      <c r="S49" s="436"/>
      <c r="T49" s="436">
        <v>140.625</v>
      </c>
      <c r="U49" s="436"/>
      <c r="V49" s="497">
        <v>98.4375</v>
      </c>
      <c r="W49" s="505">
        <f t="shared" si="47"/>
        <v>-68.669605024213084</v>
      </c>
      <c r="X49" s="505">
        <f t="shared" si="49"/>
        <v>140495.6965042373</v>
      </c>
      <c r="Y49" s="504">
        <v>2050</v>
      </c>
      <c r="Z49" s="121" t="s">
        <v>890</v>
      </c>
      <c r="AA49" s="513">
        <f t="shared" si="50"/>
        <v>1783.0943553268735</v>
      </c>
      <c r="AB49" s="513">
        <f t="shared" si="48"/>
        <v>1577.085540254222</v>
      </c>
      <c r="AC49" s="513">
        <f t="shared" si="48"/>
        <v>1439.7463302058168</v>
      </c>
      <c r="AD49" s="513">
        <f t="shared" si="48"/>
        <v>1302.4071201573825</v>
      </c>
      <c r="AE49" s="513">
        <f t="shared" si="48"/>
        <v>1096.398305084731</v>
      </c>
      <c r="AF49" s="513">
        <f t="shared" si="48"/>
        <v>890.38949001210858</v>
      </c>
      <c r="AG49" s="513">
        <f t="shared" si="48"/>
        <v>753.05027996367426</v>
      </c>
      <c r="AH49" s="513">
        <f t="shared" si="48"/>
        <v>615.71106991523993</v>
      </c>
      <c r="AI49" s="513">
        <f t="shared" si="48"/>
        <v>409.70225484261755</v>
      </c>
      <c r="AJ49" s="513">
        <f t="shared" si="48"/>
        <v>203.69343976996606</v>
      </c>
      <c r="AK49" s="513">
        <f t="shared" si="48"/>
        <v>66.354229721560841</v>
      </c>
      <c r="AL49" s="513">
        <v>0</v>
      </c>
      <c r="AM49" s="513">
        <f t="shared" si="48"/>
        <v>0</v>
      </c>
    </row>
    <row r="50" spans="1:39" x14ac:dyDescent="0.25">
      <c r="A50" t="s">
        <v>474</v>
      </c>
      <c r="B50" t="s">
        <v>891</v>
      </c>
      <c r="C50" s="486">
        <v>89.27</v>
      </c>
      <c r="D50" s="490">
        <f t="shared" si="43"/>
        <v>5.8400000000000001E-2</v>
      </c>
      <c r="E50" s="490">
        <f t="shared" si="44"/>
        <v>0.94159999999999999</v>
      </c>
      <c r="F50" s="490" t="str">
        <f t="shared" si="45"/>
        <v>Oil and Gas</v>
      </c>
      <c r="G50" s="491">
        <f>+C50*5.84%</f>
        <v>5.213368</v>
      </c>
      <c r="H50" s="121">
        <v>504.38</v>
      </c>
      <c r="I50" s="492">
        <f t="shared" si="46"/>
        <v>28.471662391040002</v>
      </c>
      <c r="J50" s="496">
        <v>10948.509485094852</v>
      </c>
      <c r="K50" s="436">
        <v>18536.585365853658</v>
      </c>
      <c r="L50" s="436">
        <v>15121.951219512197</v>
      </c>
      <c r="M50" s="436"/>
      <c r="N50" s="436">
        <v>10135.501355013552</v>
      </c>
      <c r="O50" s="436"/>
      <c r="P50" s="436">
        <v>6991.8699186991871</v>
      </c>
      <c r="Q50" s="436"/>
      <c r="R50" s="436">
        <v>4932.2493224932259</v>
      </c>
      <c r="S50" s="436"/>
      <c r="T50" s="436">
        <v>3360.4336043360454</v>
      </c>
      <c r="U50" s="436"/>
      <c r="V50" s="497">
        <v>2493.2249322493226</v>
      </c>
      <c r="W50" s="505">
        <f t="shared" si="47"/>
        <v>-465.03540095933653</v>
      </c>
      <c r="X50" s="505">
        <f t="shared" si="49"/>
        <v>954714.52850121737</v>
      </c>
      <c r="Y50" s="504">
        <v>2059</v>
      </c>
      <c r="Z50" s="121" t="s">
        <v>891</v>
      </c>
      <c r="AA50" s="513">
        <f t="shared" si="50"/>
        <v>15343.018563357531</v>
      </c>
      <c r="AB50" s="513">
        <f t="shared" si="48"/>
        <v>13947.91236047959</v>
      </c>
      <c r="AC50" s="513">
        <f t="shared" si="48"/>
        <v>13017.841558560845</v>
      </c>
      <c r="AD50" s="513">
        <f t="shared" si="48"/>
        <v>12087.770756642218</v>
      </c>
      <c r="AE50" s="513">
        <f t="shared" si="48"/>
        <v>10692.664553764276</v>
      </c>
      <c r="AF50" s="513">
        <f t="shared" si="48"/>
        <v>9297.5583508862182</v>
      </c>
      <c r="AG50" s="513">
        <f t="shared" si="48"/>
        <v>8367.4875489675906</v>
      </c>
      <c r="AH50" s="513">
        <f t="shared" si="48"/>
        <v>7437.4167470488464</v>
      </c>
      <c r="AI50" s="513">
        <f t="shared" si="48"/>
        <v>6042.3105441709049</v>
      </c>
      <c r="AJ50" s="513">
        <f t="shared" si="48"/>
        <v>4647.2043412928469</v>
      </c>
      <c r="AK50" s="513">
        <f t="shared" si="48"/>
        <v>3717.1335393742193</v>
      </c>
      <c r="AL50" s="513">
        <f t="shared" si="48"/>
        <v>2787.0627374554751</v>
      </c>
      <c r="AM50" s="513">
        <f t="shared" si="48"/>
        <v>1391.9565345775336</v>
      </c>
    </row>
    <row r="51" spans="1:39" x14ac:dyDescent="0.25">
      <c r="A51" t="s">
        <v>889</v>
      </c>
      <c r="B51" t="s">
        <v>892</v>
      </c>
      <c r="C51" s="486">
        <v>17.7</v>
      </c>
      <c r="D51" s="490">
        <f t="shared" si="43"/>
        <v>8.2299999999999998E-2</v>
      </c>
      <c r="E51" s="490">
        <f t="shared" si="44"/>
        <v>0.91769999999999996</v>
      </c>
      <c r="F51" s="490" t="str">
        <f t="shared" si="45"/>
        <v>Oil and Gas</v>
      </c>
      <c r="G51" s="491">
        <f>+C51*8.23%</f>
        <v>1.4567099999999999</v>
      </c>
      <c r="H51" s="121">
        <v>97.48</v>
      </c>
      <c r="I51" s="492">
        <f t="shared" si="46"/>
        <v>7.7535720485999997</v>
      </c>
      <c r="J51" s="496">
        <v>18542.472955633653</v>
      </c>
      <c r="K51" s="436"/>
      <c r="L51" s="436">
        <v>10048.403417448106</v>
      </c>
      <c r="M51" s="436"/>
      <c r="N51" s="436"/>
      <c r="O51" s="436"/>
      <c r="P51" s="436"/>
      <c r="Q51" s="436"/>
      <c r="R51" s="436"/>
      <c r="S51" s="436"/>
      <c r="T51" s="436"/>
      <c r="U51" s="436"/>
      <c r="V51" s="497"/>
      <c r="W51" s="505">
        <f t="shared" si="47"/>
        <v>-1698.8139076371094</v>
      </c>
      <c r="X51" s="505">
        <f t="shared" si="49"/>
        <v>3450146.5663825944</v>
      </c>
      <c r="Y51" s="504">
        <v>2025</v>
      </c>
      <c r="Z51" s="121" t="s">
        <v>892</v>
      </c>
      <c r="AA51" s="513">
        <f t="shared" si="50"/>
        <v>18542.47295563342</v>
      </c>
      <c r="AB51" s="513">
        <f t="shared" si="48"/>
        <v>13446.031232722104</v>
      </c>
      <c r="AC51" s="513">
        <f t="shared" si="48"/>
        <v>0</v>
      </c>
      <c r="AD51" s="513">
        <f t="shared" si="48"/>
        <v>0</v>
      </c>
      <c r="AE51" s="513">
        <f t="shared" si="48"/>
        <v>0</v>
      </c>
      <c r="AF51" s="513">
        <f t="shared" si="48"/>
        <v>0</v>
      </c>
      <c r="AG51" s="513">
        <f t="shared" si="48"/>
        <v>0</v>
      </c>
      <c r="AH51" s="513">
        <f t="shared" si="48"/>
        <v>0</v>
      </c>
      <c r="AI51" s="513">
        <f t="shared" si="48"/>
        <v>0</v>
      </c>
      <c r="AJ51" s="513">
        <f t="shared" si="48"/>
        <v>0</v>
      </c>
      <c r="AK51" s="513">
        <f t="shared" si="48"/>
        <v>0</v>
      </c>
      <c r="AL51" s="513">
        <f t="shared" si="48"/>
        <v>0</v>
      </c>
      <c r="AM51" s="513">
        <f t="shared" si="48"/>
        <v>0</v>
      </c>
    </row>
    <row r="52" spans="1:39" x14ac:dyDescent="0.25">
      <c r="A52" t="s">
        <v>474</v>
      </c>
      <c r="B52" t="s">
        <v>893</v>
      </c>
      <c r="C52" s="486">
        <v>10.25</v>
      </c>
      <c r="D52" s="490">
        <f t="shared" si="43"/>
        <v>0.02</v>
      </c>
      <c r="E52" s="490">
        <f t="shared" si="44"/>
        <v>0.98</v>
      </c>
      <c r="F52" s="490" t="str">
        <f t="shared" si="45"/>
        <v>Oil and Gas</v>
      </c>
      <c r="G52" s="491">
        <f>+C52*2%</f>
        <v>0.20500000000000002</v>
      </c>
      <c r="H52" s="121">
        <v>60.26</v>
      </c>
      <c r="I52" s="492">
        <f t="shared" si="46"/>
        <v>1.1652200000000001</v>
      </c>
      <c r="J52" s="496">
        <v>9971.5099715100077</v>
      </c>
      <c r="K52" s="436"/>
      <c r="L52" s="436">
        <v>4985.7549857549602</v>
      </c>
      <c r="M52" s="436"/>
      <c r="N52" s="436"/>
      <c r="O52" s="436"/>
      <c r="P52" s="436"/>
      <c r="Q52" s="436"/>
      <c r="R52" s="436"/>
      <c r="S52" s="436"/>
      <c r="T52" s="436"/>
      <c r="U52" s="436"/>
      <c r="V52" s="497"/>
      <c r="W52" s="505">
        <f t="shared" si="47"/>
        <v>-997.15099715100951</v>
      </c>
      <c r="X52" s="505">
        <f t="shared" si="49"/>
        <v>2024216.5242165492</v>
      </c>
      <c r="Y52" s="504">
        <v>2025</v>
      </c>
      <c r="Z52" s="121" t="s">
        <v>893</v>
      </c>
      <c r="AA52" s="513">
        <f t="shared" si="50"/>
        <v>9971.5099715099204</v>
      </c>
      <c r="AB52" s="513">
        <f t="shared" si="50"/>
        <v>6980.056980056921</v>
      </c>
      <c r="AC52" s="513">
        <f t="shared" si="50"/>
        <v>0</v>
      </c>
      <c r="AD52" s="513">
        <f t="shared" si="50"/>
        <v>0</v>
      </c>
      <c r="AE52" s="513">
        <f t="shared" si="50"/>
        <v>0</v>
      </c>
      <c r="AF52" s="513">
        <f t="shared" si="50"/>
        <v>0</v>
      </c>
      <c r="AG52" s="513">
        <f t="shared" si="50"/>
        <v>0</v>
      </c>
      <c r="AH52" s="513">
        <f t="shared" si="50"/>
        <v>0</v>
      </c>
      <c r="AI52" s="513">
        <f t="shared" si="50"/>
        <v>0</v>
      </c>
      <c r="AJ52" s="513">
        <f t="shared" si="50"/>
        <v>0</v>
      </c>
      <c r="AK52" s="513">
        <f t="shared" si="50"/>
        <v>0</v>
      </c>
      <c r="AL52" s="513">
        <f t="shared" si="50"/>
        <v>0</v>
      </c>
      <c r="AM52" s="513">
        <f t="shared" si="50"/>
        <v>0</v>
      </c>
    </row>
    <row r="53" spans="1:39" x14ac:dyDescent="0.25">
      <c r="A53" t="s">
        <v>889</v>
      </c>
      <c r="B53" t="s">
        <v>894</v>
      </c>
      <c r="C53" s="486">
        <v>1.1399999999999999</v>
      </c>
      <c r="D53" s="490">
        <f t="shared" si="43"/>
        <v>0.93119999999999992</v>
      </c>
      <c r="E53" s="490">
        <f t="shared" si="44"/>
        <v>6.8800000000000083E-2</v>
      </c>
      <c r="F53" s="490" t="str">
        <f t="shared" si="45"/>
        <v>Oil and Gas</v>
      </c>
      <c r="G53" s="491">
        <f>+C53*93.12%</f>
        <v>1.0615679999999998</v>
      </c>
      <c r="H53" s="121">
        <v>0.47</v>
      </c>
      <c r="I53" s="492">
        <f t="shared" si="46"/>
        <v>0.42360809472000044</v>
      </c>
      <c r="J53" s="496">
        <v>1011.5853658536586</v>
      </c>
      <c r="K53" s="436">
        <v>426.82926829268285</v>
      </c>
      <c r="L53" s="436">
        <v>273.17073170731692</v>
      </c>
      <c r="M53" s="436">
        <v>170.73170731707319</v>
      </c>
      <c r="N53" s="436">
        <v>110.97560975609758</v>
      </c>
      <c r="O53" s="436">
        <v>55.487804878048792</v>
      </c>
      <c r="P53" s="436"/>
      <c r="Q53" s="436"/>
      <c r="R53" s="436"/>
      <c r="S53" s="436"/>
      <c r="T53" s="436"/>
      <c r="U53" s="436"/>
      <c r="V53" s="497"/>
      <c r="W53" s="505">
        <f t="shared" si="47"/>
        <v>-65.59624653132758</v>
      </c>
      <c r="X53" s="505">
        <f t="shared" si="49"/>
        <v>133261.32430261426</v>
      </c>
      <c r="Y53" s="504">
        <v>2033</v>
      </c>
      <c r="Z53" s="121" t="s">
        <v>894</v>
      </c>
      <c r="AA53" s="513">
        <f t="shared" ref="AA53:AM53" si="51">+IF(AA$35&lt;$Y53,$W53*AA$35+$X53,0)</f>
        <v>756.90630933255306</v>
      </c>
      <c r="AB53" s="513">
        <f t="shared" si="51"/>
        <v>560.11756973856245</v>
      </c>
      <c r="AC53" s="513">
        <f t="shared" si="51"/>
        <v>428.92507667592145</v>
      </c>
      <c r="AD53" s="513">
        <f t="shared" si="51"/>
        <v>297.73258361325134</v>
      </c>
      <c r="AE53" s="513">
        <f t="shared" si="51"/>
        <v>100.94384401926072</v>
      </c>
      <c r="AF53" s="513">
        <f t="shared" si="51"/>
        <v>0</v>
      </c>
      <c r="AG53" s="513">
        <f t="shared" si="51"/>
        <v>0</v>
      </c>
      <c r="AH53" s="513">
        <f t="shared" si="51"/>
        <v>0</v>
      </c>
      <c r="AI53" s="513">
        <f t="shared" si="51"/>
        <v>0</v>
      </c>
      <c r="AJ53" s="513">
        <f t="shared" si="51"/>
        <v>0</v>
      </c>
      <c r="AK53" s="513">
        <f t="shared" si="51"/>
        <v>0</v>
      </c>
      <c r="AL53" s="513">
        <f t="shared" si="51"/>
        <v>0</v>
      </c>
      <c r="AM53" s="513">
        <f t="shared" si="51"/>
        <v>0</v>
      </c>
    </row>
    <row r="54" spans="1:39" x14ac:dyDescent="0.25">
      <c r="A54" t="s">
        <v>889</v>
      </c>
      <c r="B54" t="s">
        <v>895</v>
      </c>
      <c r="C54" s="486">
        <v>1.31</v>
      </c>
      <c r="D54" s="490">
        <f t="shared" si="43"/>
        <v>0.95340000000000003</v>
      </c>
      <c r="E54" s="490">
        <f t="shared" si="44"/>
        <v>4.6599999999999975E-2</v>
      </c>
      <c r="F54" s="490" t="str">
        <f t="shared" si="45"/>
        <v>Oil and Gas</v>
      </c>
      <c r="G54" s="491">
        <f>+C54*95.34%</f>
        <v>1.2489540000000001</v>
      </c>
      <c r="H54" s="121">
        <v>0.37</v>
      </c>
      <c r="I54" s="492">
        <f t="shared" si="46"/>
        <v>0.33756728711999989</v>
      </c>
      <c r="J54" s="496">
        <v>478.4770733757025</v>
      </c>
      <c r="K54" s="436"/>
      <c r="L54" s="436">
        <v>279.42512737013499</v>
      </c>
      <c r="M54" s="436"/>
      <c r="N54" s="436">
        <v>141.14055360050423</v>
      </c>
      <c r="O54" s="436"/>
      <c r="P54" s="436">
        <v>88.287199957980988</v>
      </c>
      <c r="Q54" s="436"/>
      <c r="R54" s="436">
        <v>56.323861547350248</v>
      </c>
      <c r="S54" s="436"/>
      <c r="T54" s="436">
        <v>35.752928200010388</v>
      </c>
      <c r="U54" s="436"/>
      <c r="V54" s="497">
        <v>22.784810126582215</v>
      </c>
      <c r="W54" s="505">
        <f t="shared" si="47"/>
        <v>-13.851699143862602</v>
      </c>
      <c r="X54" s="505">
        <f t="shared" si="49"/>
        <v>28345.663694071576</v>
      </c>
      <c r="Y54" s="504">
        <v>2053</v>
      </c>
      <c r="Z54" s="121" t="s">
        <v>895</v>
      </c>
      <c r="AA54" s="513">
        <f t="shared" ref="AA54:AK57" si="52">+IF(AA$35&lt;$Y54,$W54*AA$35+$X54,0)</f>
        <v>365.23142346912209</v>
      </c>
      <c r="AB54" s="513">
        <f t="shared" si="52"/>
        <v>323.67632603753373</v>
      </c>
      <c r="AC54" s="513">
        <f t="shared" si="52"/>
        <v>295.97292774980815</v>
      </c>
      <c r="AD54" s="513">
        <f t="shared" si="52"/>
        <v>268.26952946208257</v>
      </c>
      <c r="AE54" s="513">
        <f t="shared" si="52"/>
        <v>226.71443203049421</v>
      </c>
      <c r="AF54" s="513">
        <f t="shared" si="52"/>
        <v>185.15933459890584</v>
      </c>
      <c r="AG54" s="513">
        <f t="shared" si="52"/>
        <v>157.45593631118027</v>
      </c>
      <c r="AH54" s="513">
        <f t="shared" si="52"/>
        <v>129.75253802345469</v>
      </c>
      <c r="AI54" s="513">
        <f t="shared" si="52"/>
        <v>88.197440591869963</v>
      </c>
      <c r="AJ54" s="513">
        <f t="shared" si="52"/>
        <v>46.642343160281598</v>
      </c>
      <c r="AK54" s="513">
        <f t="shared" si="52"/>
        <v>18.938944872556021</v>
      </c>
      <c r="AL54" s="513">
        <v>0</v>
      </c>
      <c r="AM54" s="513">
        <v>0</v>
      </c>
    </row>
    <row r="55" spans="1:39" x14ac:dyDescent="0.25">
      <c r="A55" t="s">
        <v>474</v>
      </c>
      <c r="B55" t="s">
        <v>896</v>
      </c>
      <c r="C55" s="486">
        <v>8.8000000000000007</v>
      </c>
      <c r="D55" s="490">
        <f t="shared" si="43"/>
        <v>0.9466</v>
      </c>
      <c r="E55" s="490">
        <f t="shared" si="44"/>
        <v>5.3400000000000003E-2</v>
      </c>
      <c r="F55" s="490" t="str">
        <f t="shared" si="45"/>
        <v>Oil and Gas</v>
      </c>
      <c r="G55" s="491">
        <f>+C55*94.66%</f>
        <v>8.3300800000000006</v>
      </c>
      <c r="H55" s="121">
        <v>2.82</v>
      </c>
      <c r="I55" s="492">
        <f t="shared" si="46"/>
        <v>2.5799923776000004</v>
      </c>
      <c r="J55" s="496">
        <v>3015.5763239875378</v>
      </c>
      <c r="K55" s="436"/>
      <c r="L55" s="436">
        <v>2068.5358255451711</v>
      </c>
      <c r="M55" s="436"/>
      <c r="N55" s="436">
        <v>1096.5732087227407</v>
      </c>
      <c r="O55" s="436"/>
      <c r="P55" s="436">
        <v>747.66355140186806</v>
      </c>
      <c r="Q55" s="436">
        <v>573.20872274143221</v>
      </c>
      <c r="R55" s="436"/>
      <c r="S55" s="436"/>
      <c r="T55" s="436"/>
      <c r="U55" s="436"/>
      <c r="V55" s="497"/>
      <c r="W55" s="505">
        <f t="shared" si="47"/>
        <v>-143.23899073003355</v>
      </c>
      <c r="X55" s="505">
        <f t="shared" si="49"/>
        <v>292189.51931400981</v>
      </c>
      <c r="Y55" s="504">
        <v>2039</v>
      </c>
      <c r="Z55" s="121" t="s">
        <v>896</v>
      </c>
      <c r="AA55" s="513">
        <f t="shared" si="52"/>
        <v>2846.7580393420649</v>
      </c>
      <c r="AB55" s="513">
        <f t="shared" si="52"/>
        <v>2417.0410671519348</v>
      </c>
      <c r="AC55" s="513">
        <f t="shared" si="52"/>
        <v>2130.563085691887</v>
      </c>
      <c r="AD55" s="513">
        <f t="shared" si="52"/>
        <v>1844.0851042317809</v>
      </c>
      <c r="AE55" s="513">
        <f t="shared" si="52"/>
        <v>1414.368132041709</v>
      </c>
      <c r="AF55" s="513">
        <f t="shared" si="52"/>
        <v>984.651159851579</v>
      </c>
      <c r="AG55" s="513">
        <f t="shared" si="52"/>
        <v>698.17317839153111</v>
      </c>
      <c r="AH55" s="513">
        <f t="shared" si="52"/>
        <v>411.69519693148322</v>
      </c>
      <c r="AI55" s="513">
        <f t="shared" si="52"/>
        <v>0</v>
      </c>
      <c r="AJ55" s="513">
        <f t="shared" si="52"/>
        <v>0</v>
      </c>
      <c r="AK55" s="513">
        <f t="shared" si="52"/>
        <v>0</v>
      </c>
      <c r="AL55" s="513">
        <f t="shared" ref="AL55:AM68" si="53">+IF(AL$35&lt;$Y55,$W55*AL$35+$X55,0)</f>
        <v>0</v>
      </c>
      <c r="AM55" s="513">
        <f t="shared" si="53"/>
        <v>0</v>
      </c>
    </row>
    <row r="56" spans="1:39" x14ac:dyDescent="0.25">
      <c r="A56" t="s">
        <v>889</v>
      </c>
      <c r="B56" t="s">
        <v>897</v>
      </c>
      <c r="C56" s="486">
        <v>4.72</v>
      </c>
      <c r="D56" s="490">
        <f t="shared" si="43"/>
        <v>0.73699999999999999</v>
      </c>
      <c r="E56" s="490">
        <f t="shared" si="44"/>
        <v>0.26300000000000001</v>
      </c>
      <c r="F56" s="490" t="str">
        <f t="shared" si="45"/>
        <v>Oil and Gas</v>
      </c>
      <c r="G56" s="491">
        <f>+C56*73.7%</f>
        <v>3.47864</v>
      </c>
      <c r="H56" s="121">
        <v>7.45</v>
      </c>
      <c r="I56" s="492">
        <f t="shared" si="46"/>
        <v>5.3063174560000004</v>
      </c>
      <c r="J56" s="496">
        <v>3418.0511603375526</v>
      </c>
      <c r="K56" s="436">
        <v>2772.6133966244743</v>
      </c>
      <c r="L56" s="436">
        <v>1873.6814345991588</v>
      </c>
      <c r="M56" s="436">
        <v>773.00896624472807</v>
      </c>
      <c r="N56" s="436">
        <v>570.93881856540247</v>
      </c>
      <c r="O56" s="436"/>
      <c r="P56" s="436"/>
      <c r="Q56" s="436"/>
      <c r="R56" s="436"/>
      <c r="S56" s="436"/>
      <c r="T56" s="436"/>
      <c r="U56" s="436"/>
      <c r="V56" s="497"/>
      <c r="W56" s="505">
        <f t="shared" si="47"/>
        <v>-314.39259602793521</v>
      </c>
      <c r="X56" s="505">
        <f t="shared" si="49"/>
        <v>638526.66571184306</v>
      </c>
      <c r="Y56" s="504">
        <v>2030</v>
      </c>
      <c r="Z56" s="121" t="s">
        <v>897</v>
      </c>
      <c r="AA56" s="513">
        <f t="shared" si="52"/>
        <v>3453.621735413908</v>
      </c>
      <c r="AB56" s="513">
        <f t="shared" si="52"/>
        <v>2510.4439473301172</v>
      </c>
      <c r="AC56" s="513">
        <f t="shared" si="52"/>
        <v>1881.6587552742567</v>
      </c>
      <c r="AD56" s="513">
        <f t="shared" si="52"/>
        <v>1252.8735632183962</v>
      </c>
      <c r="AE56" s="513">
        <f t="shared" si="52"/>
        <v>0</v>
      </c>
      <c r="AF56" s="513">
        <f t="shared" si="52"/>
        <v>0</v>
      </c>
      <c r="AG56" s="513">
        <f t="shared" si="52"/>
        <v>0</v>
      </c>
      <c r="AH56" s="513">
        <f t="shared" si="52"/>
        <v>0</v>
      </c>
      <c r="AI56" s="513">
        <f t="shared" si="52"/>
        <v>0</v>
      </c>
      <c r="AJ56" s="513">
        <f t="shared" si="52"/>
        <v>0</v>
      </c>
      <c r="AK56" s="513">
        <f t="shared" si="52"/>
        <v>0</v>
      </c>
      <c r="AL56" s="513">
        <f t="shared" si="53"/>
        <v>0</v>
      </c>
      <c r="AM56" s="513">
        <f t="shared" si="53"/>
        <v>0</v>
      </c>
    </row>
    <row r="57" spans="1:39" x14ac:dyDescent="0.25">
      <c r="A57" t="s">
        <v>474</v>
      </c>
      <c r="B57" t="s">
        <v>898</v>
      </c>
      <c r="C57" s="486">
        <v>11.27</v>
      </c>
      <c r="D57" s="490">
        <f t="shared" si="43"/>
        <v>1</v>
      </c>
      <c r="E57" s="490">
        <f t="shared" si="44"/>
        <v>0</v>
      </c>
      <c r="F57" s="490" t="str">
        <f t="shared" si="45"/>
        <v>Oil</v>
      </c>
      <c r="G57" s="491">
        <v>11.27</v>
      </c>
      <c r="H57" s="121">
        <v>0</v>
      </c>
      <c r="I57" s="492">
        <f t="shared" si="46"/>
        <v>0</v>
      </c>
      <c r="J57" s="496">
        <v>2515.9744408945689</v>
      </c>
      <c r="K57" s="436">
        <v>2180.5111821086266</v>
      </c>
      <c r="L57" s="436">
        <v>1744.408945686901</v>
      </c>
      <c r="M57" s="436"/>
      <c r="N57" s="436">
        <v>1230.031948881789</v>
      </c>
      <c r="O57" s="436"/>
      <c r="P57" s="436">
        <v>861.02236421725229</v>
      </c>
      <c r="Q57" s="436"/>
      <c r="R57" s="436">
        <v>615.01597444089475</v>
      </c>
      <c r="S57" s="436"/>
      <c r="T57" s="436">
        <v>447.28434504792313</v>
      </c>
      <c r="U57" s="436"/>
      <c r="V57" s="497">
        <v>313.09904153354637</v>
      </c>
      <c r="W57" s="505">
        <f t="shared" si="47"/>
        <v>-73.116911247089405</v>
      </c>
      <c r="X57" s="505">
        <f t="shared" si="49"/>
        <v>149921.65755130773</v>
      </c>
      <c r="Y57" s="504">
        <v>2067</v>
      </c>
      <c r="Z57" s="121" t="s">
        <v>898</v>
      </c>
      <c r="AA57" s="513">
        <f t="shared" si="52"/>
        <v>2225.496832187142</v>
      </c>
      <c r="AB57" s="513">
        <f t="shared" si="52"/>
        <v>2006.1460984458681</v>
      </c>
      <c r="AC57" s="513">
        <f t="shared" si="52"/>
        <v>1859.9122759516758</v>
      </c>
      <c r="AD57" s="513">
        <f t="shared" si="52"/>
        <v>1713.6784534575127</v>
      </c>
      <c r="AE57" s="513">
        <f t="shared" si="52"/>
        <v>1494.3277197162388</v>
      </c>
      <c r="AF57" s="513">
        <f t="shared" si="52"/>
        <v>1274.9769859749649</v>
      </c>
      <c r="AG57" s="513">
        <f t="shared" si="52"/>
        <v>1128.7431634807726</v>
      </c>
      <c r="AH57" s="513">
        <f t="shared" si="52"/>
        <v>982.50934098660946</v>
      </c>
      <c r="AI57" s="513">
        <f t="shared" si="52"/>
        <v>763.15860724533559</v>
      </c>
      <c r="AJ57" s="513">
        <f t="shared" si="52"/>
        <v>543.80787350406172</v>
      </c>
      <c r="AK57" s="513">
        <f t="shared" si="52"/>
        <v>397.57405100989854</v>
      </c>
      <c r="AL57" s="513">
        <f t="shared" si="53"/>
        <v>251.34022851570626</v>
      </c>
      <c r="AM57" s="513">
        <f t="shared" si="53"/>
        <v>31.989494774432387</v>
      </c>
    </row>
    <row r="58" spans="1:39" x14ac:dyDescent="0.25">
      <c r="A58" t="s">
        <v>474</v>
      </c>
      <c r="B58" t="s">
        <v>851</v>
      </c>
      <c r="C58" s="486">
        <v>3.84</v>
      </c>
      <c r="D58" s="490">
        <f t="shared" si="43"/>
        <v>0</v>
      </c>
      <c r="E58" s="490">
        <f t="shared" si="44"/>
        <v>1</v>
      </c>
      <c r="F58" s="490" t="str">
        <f t="shared" si="45"/>
        <v>Gas</v>
      </c>
      <c r="G58" s="491"/>
      <c r="H58" s="121">
        <v>23.03</v>
      </c>
      <c r="I58" s="492">
        <f t="shared" si="46"/>
        <v>0</v>
      </c>
      <c r="J58" s="496">
        <v>5461.7834394904457</v>
      </c>
      <c r="K58" s="436">
        <v>1738.8535031847141</v>
      </c>
      <c r="L58" s="436">
        <v>936.30573248407654</v>
      </c>
      <c r="M58" s="436">
        <v>468.15286624203873</v>
      </c>
      <c r="N58" s="436"/>
      <c r="O58" s="436"/>
      <c r="P58" s="436"/>
      <c r="Q58" s="436"/>
      <c r="R58" s="436"/>
      <c r="S58" s="436"/>
      <c r="T58" s="436"/>
      <c r="U58" s="436"/>
      <c r="V58" s="497"/>
      <c r="W58" s="505">
        <f t="shared" si="47"/>
        <v>-713.79248764807414</v>
      </c>
      <c r="X58" s="505">
        <f t="shared" si="49"/>
        <v>1446688.8207631402</v>
      </c>
      <c r="Y58" s="504">
        <v>2028</v>
      </c>
      <c r="Z58" s="121" t="s">
        <v>851</v>
      </c>
      <c r="AA58" s="513">
        <f t="shared" ref="AA58:AC68" si="54">+IF(AA$35&lt;$Y58,$W58*AA$35+$X58,0)</f>
        <v>4827.9957140304614</v>
      </c>
      <c r="AB58" s="513">
        <f t="shared" si="54"/>
        <v>2686.6182510862127</v>
      </c>
      <c r="AC58" s="513">
        <f t="shared" si="54"/>
        <v>1259.0332757900469</v>
      </c>
      <c r="AD58" s="513">
        <v>0</v>
      </c>
      <c r="AE58" s="513">
        <f t="shared" ref="AE58:AK58" si="55">+IF(AE$35&lt;$Y58,$W58*AE$35+$X58,0)</f>
        <v>0</v>
      </c>
      <c r="AF58" s="513">
        <f t="shared" si="55"/>
        <v>0</v>
      </c>
      <c r="AG58" s="513">
        <f t="shared" si="55"/>
        <v>0</v>
      </c>
      <c r="AH58" s="513">
        <f t="shared" si="55"/>
        <v>0</v>
      </c>
      <c r="AI58" s="513">
        <f t="shared" si="55"/>
        <v>0</v>
      </c>
      <c r="AJ58" s="513">
        <f t="shared" si="55"/>
        <v>0</v>
      </c>
      <c r="AK58" s="513">
        <f t="shared" si="55"/>
        <v>0</v>
      </c>
      <c r="AL58" s="513">
        <f t="shared" si="53"/>
        <v>0</v>
      </c>
      <c r="AM58" s="513">
        <f t="shared" si="53"/>
        <v>0</v>
      </c>
    </row>
    <row r="59" spans="1:39" x14ac:dyDescent="0.25">
      <c r="A59" t="s">
        <v>474</v>
      </c>
      <c r="B59" t="s">
        <v>899</v>
      </c>
      <c r="C59" s="486">
        <v>14.92</v>
      </c>
      <c r="D59" s="490">
        <f t="shared" si="43"/>
        <v>0.99739999999999995</v>
      </c>
      <c r="E59" s="490">
        <f t="shared" si="44"/>
        <v>2.6000000000000467E-3</v>
      </c>
      <c r="F59" s="490" t="str">
        <f t="shared" si="45"/>
        <v>Oil and Gas</v>
      </c>
      <c r="G59" s="491">
        <f>+C59*99.74%</f>
        <v>14.881207999999999</v>
      </c>
      <c r="H59" s="121">
        <v>0.24</v>
      </c>
      <c r="I59" s="492">
        <f t="shared" si="46"/>
        <v>0.22440861664000403</v>
      </c>
      <c r="J59" s="496">
        <v>10378.588980143002</v>
      </c>
      <c r="K59" s="436"/>
      <c r="L59" s="436">
        <v>4118.367166227612</v>
      </c>
      <c r="M59" s="436"/>
      <c r="N59" s="436">
        <v>1302.5922564363664</v>
      </c>
      <c r="O59" s="436"/>
      <c r="P59" s="436">
        <v>695.4596772408313</v>
      </c>
      <c r="Q59" s="436"/>
      <c r="R59" s="436">
        <v>529.80762845062418</v>
      </c>
      <c r="S59" s="436"/>
      <c r="T59" s="436"/>
      <c r="U59" s="436"/>
      <c r="V59" s="497"/>
      <c r="W59" s="505">
        <f t="shared" si="47"/>
        <v>-462.40940384743078</v>
      </c>
      <c r="X59" s="505">
        <f t="shared" si="49"/>
        <v>942096.05295198411</v>
      </c>
      <c r="Y59" s="504">
        <v>2043</v>
      </c>
      <c r="Z59" s="121" t="s">
        <v>899</v>
      </c>
      <c r="AA59" s="513">
        <f t="shared" si="54"/>
        <v>8029.0571801739279</v>
      </c>
      <c r="AB59" s="513">
        <f t="shared" si="54"/>
        <v>6641.8289686316857</v>
      </c>
      <c r="AC59" s="513">
        <f t="shared" si="54"/>
        <v>5717.0101609367412</v>
      </c>
      <c r="AD59" s="513">
        <f t="shared" ref="AD59:AH68" si="56">+IF(AD$35&lt;$Y59,$W59*AD$35+$X59,0)</f>
        <v>4792.191353241913</v>
      </c>
      <c r="AE59" s="513">
        <f t="shared" si="56"/>
        <v>3404.9631416996708</v>
      </c>
      <c r="AF59" s="513">
        <f t="shared" si="56"/>
        <v>2017.7349301573122</v>
      </c>
      <c r="AG59" s="513">
        <f t="shared" si="56"/>
        <v>1092.9161224624841</v>
      </c>
      <c r="AH59" s="513">
        <f t="shared" si="56"/>
        <v>168.09731476765592</v>
      </c>
      <c r="AI59" s="513">
        <v>0</v>
      </c>
      <c r="AJ59" s="513">
        <f t="shared" ref="AJ59:AK68" si="57">+IF(AJ$35&lt;$Y59,$W59*AJ$35+$X59,0)</f>
        <v>0</v>
      </c>
      <c r="AK59" s="513">
        <f t="shared" si="57"/>
        <v>0</v>
      </c>
      <c r="AL59" s="513">
        <f t="shared" si="53"/>
        <v>0</v>
      </c>
      <c r="AM59" s="513">
        <f t="shared" si="53"/>
        <v>0</v>
      </c>
    </row>
    <row r="60" spans="1:39" x14ac:dyDescent="0.25">
      <c r="A60" t="s">
        <v>474</v>
      </c>
      <c r="B60" t="s">
        <v>857</v>
      </c>
      <c r="C60" s="486">
        <v>43.42</v>
      </c>
      <c r="D60" s="490">
        <f t="shared" si="43"/>
        <v>0.93490000000000006</v>
      </c>
      <c r="E60" s="490">
        <f t="shared" si="44"/>
        <v>6.5099999999999936E-2</v>
      </c>
      <c r="F60" s="490" t="str">
        <f t="shared" si="45"/>
        <v>Oil and Gas</v>
      </c>
      <c r="G60" s="491">
        <f>+C60*93.49%</f>
        <v>40.593358000000002</v>
      </c>
      <c r="H60" s="121">
        <v>16.96</v>
      </c>
      <c r="I60" s="492">
        <f t="shared" si="46"/>
        <v>15.327240113639984</v>
      </c>
      <c r="J60" s="496">
        <v>25106.666666666664</v>
      </c>
      <c r="K60" s="436"/>
      <c r="L60" s="436">
        <v>11573.333333333336</v>
      </c>
      <c r="M60" s="436"/>
      <c r="N60" s="436">
        <v>4200</v>
      </c>
      <c r="O60" s="436"/>
      <c r="P60" s="436">
        <v>2146.6666666666642</v>
      </c>
      <c r="Q60" s="436"/>
      <c r="R60" s="436">
        <v>1213.3333333333358</v>
      </c>
      <c r="S60" s="436"/>
      <c r="T60" s="436"/>
      <c r="U60" s="436"/>
      <c r="V60" s="497"/>
      <c r="W60" s="505">
        <f t="shared" si="47"/>
        <v>-1144.2666666666664</v>
      </c>
      <c r="X60" s="505">
        <f t="shared" si="49"/>
        <v>2331709.333333333</v>
      </c>
      <c r="Y60" s="504">
        <v>2042</v>
      </c>
      <c r="Z60" s="121" t="s">
        <v>857</v>
      </c>
      <c r="AA60" s="513">
        <f t="shared" si="54"/>
        <v>20290.666666666977</v>
      </c>
      <c r="AB60" s="513">
        <f t="shared" si="54"/>
        <v>16857.866666666698</v>
      </c>
      <c r="AC60" s="513">
        <f t="shared" si="54"/>
        <v>14569.333333333489</v>
      </c>
      <c r="AD60" s="513">
        <f t="shared" si="56"/>
        <v>12280.800000000279</v>
      </c>
      <c r="AE60" s="513">
        <f t="shared" si="56"/>
        <v>8848</v>
      </c>
      <c r="AF60" s="513">
        <f t="shared" si="56"/>
        <v>5415.2000000001863</v>
      </c>
      <c r="AG60" s="513">
        <f t="shared" si="56"/>
        <v>3126.6666666669771</v>
      </c>
      <c r="AH60" s="513">
        <f t="shared" si="56"/>
        <v>838.13333333330229</v>
      </c>
      <c r="AI60" s="513">
        <v>0</v>
      </c>
      <c r="AJ60" s="513">
        <f t="shared" si="57"/>
        <v>0</v>
      </c>
      <c r="AK60" s="513">
        <f t="shared" si="57"/>
        <v>0</v>
      </c>
      <c r="AL60" s="513">
        <f t="shared" si="53"/>
        <v>0</v>
      </c>
      <c r="AM60" s="513">
        <f t="shared" si="53"/>
        <v>0</v>
      </c>
    </row>
    <row r="61" spans="1:39" x14ac:dyDescent="0.25">
      <c r="A61" t="s">
        <v>474</v>
      </c>
      <c r="B61" t="s">
        <v>852</v>
      </c>
      <c r="C61" s="486">
        <v>7.3</v>
      </c>
      <c r="D61" s="490">
        <f t="shared" si="43"/>
        <v>0.89639999999999997</v>
      </c>
      <c r="E61" s="490">
        <f t="shared" si="44"/>
        <v>0.10360000000000003</v>
      </c>
      <c r="F61" s="490" t="str">
        <f t="shared" si="45"/>
        <v>Oil and Gas</v>
      </c>
      <c r="G61" s="491">
        <f>+C61*89.64%</f>
        <v>6.5437199999999995</v>
      </c>
      <c r="H61" s="121">
        <v>4.54</v>
      </c>
      <c r="I61" s="492">
        <f t="shared" si="46"/>
        <v>3.9319904736000009</v>
      </c>
      <c r="J61" s="496">
        <v>1984.4236760124613</v>
      </c>
      <c r="K61" s="436"/>
      <c r="L61" s="436">
        <v>1548.2866043613712</v>
      </c>
      <c r="M61" s="436"/>
      <c r="N61" s="436">
        <v>937.6947040498444</v>
      </c>
      <c r="O61" s="436"/>
      <c r="P61" s="436">
        <v>632.39875389408189</v>
      </c>
      <c r="Q61" s="436"/>
      <c r="R61" s="436">
        <v>414.33021806853685</v>
      </c>
      <c r="S61" s="436">
        <v>370.71651090342766</v>
      </c>
      <c r="T61" s="436"/>
      <c r="U61" s="436"/>
      <c r="V61" s="497"/>
      <c r="W61" s="505">
        <f t="shared" si="47"/>
        <v>-72.199748918956587</v>
      </c>
      <c r="X61" s="505">
        <f t="shared" si="49"/>
        <v>147703.23150602126</v>
      </c>
      <c r="Y61" s="504">
        <v>2044</v>
      </c>
      <c r="Z61" s="121" t="s">
        <v>852</v>
      </c>
      <c r="AA61" s="513">
        <f t="shared" si="54"/>
        <v>1859.7386897289543</v>
      </c>
      <c r="AB61" s="513">
        <f t="shared" si="54"/>
        <v>1643.1394429720822</v>
      </c>
      <c r="AC61" s="513">
        <f t="shared" si="54"/>
        <v>1498.7399451341771</v>
      </c>
      <c r="AD61" s="513">
        <f t="shared" si="56"/>
        <v>1354.3404472962429</v>
      </c>
      <c r="AE61" s="513">
        <f t="shared" si="56"/>
        <v>1137.7412005393999</v>
      </c>
      <c r="AF61" s="513">
        <f t="shared" si="56"/>
        <v>921.14195378252771</v>
      </c>
      <c r="AG61" s="513">
        <f t="shared" si="56"/>
        <v>776.74245594459353</v>
      </c>
      <c r="AH61" s="513">
        <f t="shared" si="56"/>
        <v>632.34295810668846</v>
      </c>
      <c r="AI61" s="513">
        <f>+IF(AI$35&lt;$Y61,$W61*AI$35+$X61,0)</f>
        <v>415.74371134981629</v>
      </c>
      <c r="AJ61" s="513">
        <f t="shared" si="57"/>
        <v>199.14446459294413</v>
      </c>
      <c r="AK61" s="513">
        <f t="shared" si="57"/>
        <v>0</v>
      </c>
      <c r="AL61" s="513">
        <f t="shared" si="53"/>
        <v>0</v>
      </c>
      <c r="AM61" s="513">
        <f t="shared" si="53"/>
        <v>0</v>
      </c>
    </row>
    <row r="62" spans="1:39" x14ac:dyDescent="0.25">
      <c r="A62" t="s">
        <v>474</v>
      </c>
      <c r="B62" t="s">
        <v>900</v>
      </c>
      <c r="C62" s="486">
        <v>130.22</v>
      </c>
      <c r="D62" s="490">
        <f t="shared" si="43"/>
        <v>0.63649999999999995</v>
      </c>
      <c r="E62" s="490">
        <f t="shared" si="44"/>
        <v>0.36350000000000005</v>
      </c>
      <c r="F62" s="490" t="str">
        <f t="shared" si="45"/>
        <v>Oil and Gas</v>
      </c>
      <c r="G62" s="491">
        <f>+C62*63.65%</f>
        <v>82.88503</v>
      </c>
      <c r="H62" s="121">
        <v>284</v>
      </c>
      <c r="I62" s="492">
        <f t="shared" si="46"/>
        <v>174.74650874900004</v>
      </c>
      <c r="J62" s="496">
        <v>56720.867208672084</v>
      </c>
      <c r="K62" s="436">
        <v>45149.051490514903</v>
      </c>
      <c r="L62" s="436">
        <v>33197.83197831978</v>
      </c>
      <c r="M62" s="436">
        <v>20298.102981029806</v>
      </c>
      <c r="N62" s="436">
        <v>14986.449864498638</v>
      </c>
      <c r="O62" s="436">
        <v>10433.604336043354</v>
      </c>
      <c r="P62" s="436">
        <v>7777.7777777777665</v>
      </c>
      <c r="Q62" s="436">
        <v>5880.7588075880631</v>
      </c>
      <c r="R62" s="436">
        <v>4363.1436314363091</v>
      </c>
      <c r="S62" s="436"/>
      <c r="T62" s="436"/>
      <c r="U62" s="436"/>
      <c r="V62" s="497"/>
      <c r="W62" s="505">
        <f t="shared" si="47"/>
        <v>-2609.6968619959425</v>
      </c>
      <c r="X62" s="505">
        <f t="shared" si="49"/>
        <v>5319774.3618601942</v>
      </c>
      <c r="Y62" s="504">
        <v>2043</v>
      </c>
      <c r="Z62" s="121" t="s">
        <v>900</v>
      </c>
      <c r="AA62" s="513">
        <f t="shared" si="54"/>
        <v>48186.700628390536</v>
      </c>
      <c r="AB62" s="513">
        <f t="shared" si="54"/>
        <v>40357.610042402521</v>
      </c>
      <c r="AC62" s="513">
        <f t="shared" si="54"/>
        <v>35138.216318410821</v>
      </c>
      <c r="AD62" s="513">
        <f t="shared" si="56"/>
        <v>29918.822594419122</v>
      </c>
      <c r="AE62" s="513">
        <f t="shared" si="56"/>
        <v>22089.732008431107</v>
      </c>
      <c r="AF62" s="513">
        <f t="shared" si="56"/>
        <v>14260.641422443092</v>
      </c>
      <c r="AG62" s="513">
        <f t="shared" si="56"/>
        <v>9041.2476984513924</v>
      </c>
      <c r="AH62" s="513">
        <f t="shared" si="56"/>
        <v>3821.8539744596928</v>
      </c>
      <c r="AI62" s="513">
        <v>0</v>
      </c>
      <c r="AJ62" s="513">
        <f t="shared" si="57"/>
        <v>0</v>
      </c>
      <c r="AK62" s="513">
        <f t="shared" si="57"/>
        <v>0</v>
      </c>
      <c r="AL62" s="513">
        <f t="shared" si="53"/>
        <v>0</v>
      </c>
      <c r="AM62" s="513">
        <f t="shared" si="53"/>
        <v>0</v>
      </c>
    </row>
    <row r="63" spans="1:39" x14ac:dyDescent="0.25">
      <c r="A63" t="s">
        <v>474</v>
      </c>
      <c r="B63" t="s">
        <v>901</v>
      </c>
      <c r="C63" s="486">
        <v>0.57999999999999996</v>
      </c>
      <c r="D63" s="490">
        <f t="shared" si="43"/>
        <v>1</v>
      </c>
      <c r="E63" s="490">
        <f t="shared" si="44"/>
        <v>0</v>
      </c>
      <c r="F63" s="490" t="str">
        <f t="shared" si="45"/>
        <v>Oil</v>
      </c>
      <c r="G63" s="491">
        <f>+C63</f>
        <v>0.57999999999999996</v>
      </c>
      <c r="H63" s="121">
        <v>0</v>
      </c>
      <c r="I63" s="492">
        <f t="shared" si="46"/>
        <v>0</v>
      </c>
      <c r="J63" s="496">
        <v>473.60248447204958</v>
      </c>
      <c r="K63" s="436">
        <v>349.37888198757764</v>
      </c>
      <c r="L63" s="436">
        <v>163.04347826086996</v>
      </c>
      <c r="M63" s="436">
        <v>108.695652173913</v>
      </c>
      <c r="N63" s="436">
        <v>77.639751552795133</v>
      </c>
      <c r="O63" s="436"/>
      <c r="P63" s="436"/>
      <c r="Q63" s="436"/>
      <c r="R63" s="436"/>
      <c r="S63" s="436"/>
      <c r="T63" s="436"/>
      <c r="U63" s="436"/>
      <c r="V63" s="497"/>
      <c r="W63" s="505">
        <f t="shared" si="47"/>
        <v>-42.434140072820718</v>
      </c>
      <c r="X63" s="505">
        <f t="shared" si="49"/>
        <v>86163.605697151404</v>
      </c>
      <c r="Y63" s="504">
        <v>2031</v>
      </c>
      <c r="Z63" s="121" t="s">
        <v>901</v>
      </c>
      <c r="AA63" s="513">
        <f t="shared" si="54"/>
        <v>446.64275005355012</v>
      </c>
      <c r="AB63" s="513">
        <f t="shared" si="54"/>
        <v>319.34032983508951</v>
      </c>
      <c r="AC63" s="513">
        <f t="shared" si="54"/>
        <v>234.47204968944425</v>
      </c>
      <c r="AD63" s="513">
        <f t="shared" si="56"/>
        <v>149.60376954381354</v>
      </c>
      <c r="AE63" s="513">
        <f t="shared" si="56"/>
        <v>22.30134932535293</v>
      </c>
      <c r="AF63" s="513">
        <f t="shared" si="56"/>
        <v>0</v>
      </c>
      <c r="AG63" s="513">
        <f t="shared" si="56"/>
        <v>0</v>
      </c>
      <c r="AH63" s="513">
        <f t="shared" si="56"/>
        <v>0</v>
      </c>
      <c r="AI63" s="513">
        <f t="shared" ref="AI63:AI68" si="58">+IF(AI$35&lt;$Y63,$W63*AI$35+$X63,0)</f>
        <v>0</v>
      </c>
      <c r="AJ63" s="513">
        <f t="shared" si="57"/>
        <v>0</v>
      </c>
      <c r="AK63" s="513">
        <f t="shared" si="57"/>
        <v>0</v>
      </c>
      <c r="AL63" s="513">
        <f t="shared" si="53"/>
        <v>0</v>
      </c>
      <c r="AM63" s="513">
        <f t="shared" si="53"/>
        <v>0</v>
      </c>
    </row>
    <row r="64" spans="1:39" x14ac:dyDescent="0.25">
      <c r="A64" t="s">
        <v>474</v>
      </c>
      <c r="B64" t="s">
        <v>842</v>
      </c>
      <c r="C64" s="486">
        <v>272.89999999999998</v>
      </c>
      <c r="D64" s="490">
        <f t="shared" si="43"/>
        <v>0.99776474899230505</v>
      </c>
      <c r="E64" s="490">
        <f t="shared" si="44"/>
        <v>2.2352510076949494E-3</v>
      </c>
      <c r="F64" s="490" t="str">
        <f t="shared" si="45"/>
        <v>Oil and Gas</v>
      </c>
      <c r="G64" s="491">
        <v>272.29000000000002</v>
      </c>
      <c r="H64" s="121">
        <v>0</v>
      </c>
      <c r="I64" s="492">
        <f t="shared" si="46"/>
        <v>3.5300916819344952</v>
      </c>
      <c r="J64" s="496">
        <v>106081.08108108109</v>
      </c>
      <c r="K64" s="436"/>
      <c r="L64" s="436">
        <v>70945.945945945947</v>
      </c>
      <c r="M64" s="436"/>
      <c r="N64" s="436">
        <v>37162.16216216216</v>
      </c>
      <c r="O64" s="436"/>
      <c r="P64" s="436">
        <v>23648.648648648639</v>
      </c>
      <c r="Q64" s="436"/>
      <c r="R64" s="436"/>
      <c r="S64" s="436"/>
      <c r="T64" s="436"/>
      <c r="U64" s="436"/>
      <c r="V64" s="497"/>
      <c r="W64" s="505">
        <f t="shared" si="47"/>
        <v>-5621.6216216216235</v>
      </c>
      <c r="X64" s="505">
        <f t="shared" si="49"/>
        <v>11457297.297297301</v>
      </c>
      <c r="Y64" s="504">
        <v>2036</v>
      </c>
      <c r="Z64" s="121" t="s">
        <v>842</v>
      </c>
      <c r="AA64" s="513">
        <f t="shared" si="54"/>
        <v>101621.62162162177</v>
      </c>
      <c r="AB64" s="513">
        <f t="shared" si="54"/>
        <v>84756.756756756455</v>
      </c>
      <c r="AC64" s="513">
        <f t="shared" si="54"/>
        <v>73513.513513512909</v>
      </c>
      <c r="AD64" s="513">
        <f t="shared" si="56"/>
        <v>62270.270270269364</v>
      </c>
      <c r="AE64" s="513">
        <f t="shared" si="56"/>
        <v>45405.405405405909</v>
      </c>
      <c r="AF64" s="513">
        <f t="shared" si="56"/>
        <v>28540.540540540591</v>
      </c>
      <c r="AG64" s="513">
        <f t="shared" si="56"/>
        <v>17297.297297297046</v>
      </c>
      <c r="AH64" s="513">
        <f t="shared" si="56"/>
        <v>0</v>
      </c>
      <c r="AI64" s="513">
        <f t="shared" si="58"/>
        <v>0</v>
      </c>
      <c r="AJ64" s="513">
        <f t="shared" si="57"/>
        <v>0</v>
      </c>
      <c r="AK64" s="513">
        <f t="shared" si="57"/>
        <v>0</v>
      </c>
      <c r="AL64" s="513">
        <f t="shared" si="53"/>
        <v>0</v>
      </c>
      <c r="AM64" s="513">
        <f t="shared" si="53"/>
        <v>0</v>
      </c>
    </row>
    <row r="65" spans="1:39" x14ac:dyDescent="0.25">
      <c r="A65" t="s">
        <v>474</v>
      </c>
      <c r="B65" t="s">
        <v>834</v>
      </c>
      <c r="C65" s="486">
        <v>24.09</v>
      </c>
      <c r="D65" s="490">
        <f t="shared" si="43"/>
        <v>1</v>
      </c>
      <c r="E65" s="490">
        <f t="shared" si="44"/>
        <v>0</v>
      </c>
      <c r="F65" s="490" t="str">
        <f t="shared" si="45"/>
        <v>Oil</v>
      </c>
      <c r="G65" s="491">
        <f>+C65</f>
        <v>24.09</v>
      </c>
      <c r="H65" s="121">
        <v>0</v>
      </c>
      <c r="I65" s="492">
        <f t="shared" si="46"/>
        <v>0</v>
      </c>
      <c r="J65" s="496">
        <v>3685.1509048868647</v>
      </c>
      <c r="K65" s="436">
        <v>3841.6159807970034</v>
      </c>
      <c r="L65" s="436">
        <v>3234.0636166995537</v>
      </c>
      <c r="M65" s="436"/>
      <c r="N65" s="436">
        <v>2400.88284952908</v>
      </c>
      <c r="O65" s="436"/>
      <c r="P65" s="436">
        <v>1796.8903625650128</v>
      </c>
      <c r="Q65" s="436"/>
      <c r="R65" s="436">
        <v>1422.2556737660816</v>
      </c>
      <c r="S65" s="436"/>
      <c r="T65" s="436">
        <v>1124.0735843555267</v>
      </c>
      <c r="U65" s="436"/>
      <c r="V65" s="497">
        <v>978.79669372173157</v>
      </c>
      <c r="W65" s="505">
        <f t="shared" si="47"/>
        <v>-102.85974169469129</v>
      </c>
      <c r="X65" s="505">
        <f t="shared" si="49"/>
        <v>211475.75094444485</v>
      </c>
      <c r="Y65" s="504">
        <v>2064</v>
      </c>
      <c r="Z65" s="121" t="s">
        <v>834</v>
      </c>
      <c r="AA65" s="513">
        <f t="shared" si="54"/>
        <v>3699.072721168428</v>
      </c>
      <c r="AB65" s="513">
        <f t="shared" si="54"/>
        <v>3390.493496084353</v>
      </c>
      <c r="AC65" s="513">
        <f t="shared" si="54"/>
        <v>3184.7740126949793</v>
      </c>
      <c r="AD65" s="513">
        <f t="shared" si="56"/>
        <v>2979.0545293056057</v>
      </c>
      <c r="AE65" s="513">
        <f t="shared" si="56"/>
        <v>2670.4753042215307</v>
      </c>
      <c r="AF65" s="513">
        <f t="shared" si="56"/>
        <v>2361.8960791374557</v>
      </c>
      <c r="AG65" s="513">
        <f t="shared" si="56"/>
        <v>2156.1765957480529</v>
      </c>
      <c r="AH65" s="513">
        <f t="shared" si="56"/>
        <v>1950.4571123586793</v>
      </c>
      <c r="AI65" s="513">
        <f t="shared" si="58"/>
        <v>1641.8778872746043</v>
      </c>
      <c r="AJ65" s="513">
        <f t="shared" si="57"/>
        <v>1333.2986621905293</v>
      </c>
      <c r="AK65" s="513">
        <f t="shared" si="57"/>
        <v>1127.5791788011556</v>
      </c>
      <c r="AL65" s="513">
        <f t="shared" si="53"/>
        <v>921.85969541178201</v>
      </c>
      <c r="AM65" s="513">
        <f t="shared" si="53"/>
        <v>613.28047032770701</v>
      </c>
    </row>
    <row r="66" spans="1:39" x14ac:dyDescent="0.25">
      <c r="A66" t="s">
        <v>474</v>
      </c>
      <c r="B66" t="s">
        <v>902</v>
      </c>
      <c r="C66" s="486">
        <v>5.59</v>
      </c>
      <c r="D66" s="490">
        <f t="shared" si="43"/>
        <v>1</v>
      </c>
      <c r="E66" s="490">
        <f t="shared" si="44"/>
        <v>0</v>
      </c>
      <c r="F66" s="490" t="str">
        <f t="shared" si="45"/>
        <v>Oil</v>
      </c>
      <c r="G66" s="491">
        <f>+C66</f>
        <v>5.59</v>
      </c>
      <c r="H66" s="121">
        <v>0</v>
      </c>
      <c r="I66" s="492">
        <f t="shared" si="46"/>
        <v>0</v>
      </c>
      <c r="J66" s="496">
        <v>1369.449727815309</v>
      </c>
      <c r="K66" s="436">
        <v>1555.5355151833155</v>
      </c>
      <c r="L66" s="436">
        <v>1215.2021709188698</v>
      </c>
      <c r="M66" s="436"/>
      <c r="N66" s="436"/>
      <c r="O66" s="436">
        <v>733.31229094248101</v>
      </c>
      <c r="P66" s="436">
        <v>436.58588574801706</v>
      </c>
      <c r="Q66" s="436"/>
      <c r="R66" s="436">
        <v>268.17160752935069</v>
      </c>
      <c r="S66" s="436"/>
      <c r="T66" s="436">
        <v>185.1265822784826</v>
      </c>
      <c r="U66" s="436"/>
      <c r="V66" s="497"/>
      <c r="W66" s="505">
        <f t="shared" si="47"/>
        <v>-57.928435174659477</v>
      </c>
      <c r="X66" s="505">
        <f t="shared" si="49"/>
        <v>118509.09434274976</v>
      </c>
      <c r="Y66" s="504">
        <v>2047</v>
      </c>
      <c r="Z66" s="121" t="s">
        <v>902</v>
      </c>
      <c r="AA66" s="513">
        <f t="shared" si="54"/>
        <v>1493.6552899376111</v>
      </c>
      <c r="AB66" s="513">
        <f t="shared" si="54"/>
        <v>1319.8699844136281</v>
      </c>
      <c r="AC66" s="513">
        <f t="shared" si="54"/>
        <v>1204.0131140643207</v>
      </c>
      <c r="AD66" s="513">
        <f t="shared" si="56"/>
        <v>1088.1562437149987</v>
      </c>
      <c r="AE66" s="513">
        <f t="shared" si="56"/>
        <v>914.37093819101574</v>
      </c>
      <c r="AF66" s="513">
        <f t="shared" si="56"/>
        <v>740.58563266703277</v>
      </c>
      <c r="AG66" s="513">
        <f t="shared" si="56"/>
        <v>624.72876231772534</v>
      </c>
      <c r="AH66" s="513">
        <f t="shared" si="56"/>
        <v>508.87189196840336</v>
      </c>
      <c r="AI66" s="513">
        <f t="shared" si="58"/>
        <v>335.08658644442039</v>
      </c>
      <c r="AJ66" s="513">
        <f t="shared" si="57"/>
        <v>161.30128092043742</v>
      </c>
      <c r="AK66" s="513">
        <f t="shared" si="57"/>
        <v>45.444410571129993</v>
      </c>
      <c r="AL66" s="513">
        <f t="shared" si="53"/>
        <v>0</v>
      </c>
      <c r="AM66" s="513">
        <f t="shared" si="53"/>
        <v>0</v>
      </c>
    </row>
    <row r="67" spans="1:39" x14ac:dyDescent="0.25">
      <c r="A67" t="s">
        <v>474</v>
      </c>
      <c r="B67" t="s">
        <v>836</v>
      </c>
      <c r="C67" s="486">
        <v>16.52</v>
      </c>
      <c r="D67" s="490">
        <f t="shared" si="43"/>
        <v>0.98069999999999991</v>
      </c>
      <c r="E67" s="490">
        <f t="shared" si="44"/>
        <v>1.9300000000000095E-2</v>
      </c>
      <c r="F67" s="490" t="str">
        <f t="shared" si="45"/>
        <v>Oil and Gas</v>
      </c>
      <c r="G67" s="500">
        <f>+C67*98.07%</f>
        <v>16.201163999999999</v>
      </c>
      <c r="H67" s="121">
        <v>1.91</v>
      </c>
      <c r="I67" s="492">
        <f t="shared" si="46"/>
        <v>1.8135582981600087</v>
      </c>
      <c r="J67" s="496">
        <v>3788.1619937694686</v>
      </c>
      <c r="K67" s="436"/>
      <c r="L67" s="436">
        <v>2847.1394346734687</v>
      </c>
      <c r="M67" s="436"/>
      <c r="N67" s="436">
        <v>1707.0015780737667</v>
      </c>
      <c r="O67" s="436"/>
      <c r="P67" s="436">
        <v>1164.8637378271615</v>
      </c>
      <c r="Q67" s="436"/>
      <c r="R67" s="436">
        <v>871.94708138118222</v>
      </c>
      <c r="S67" s="436"/>
      <c r="T67" s="436">
        <v>679.11137276064619</v>
      </c>
      <c r="U67" s="436"/>
      <c r="V67" s="497">
        <v>485.75236506651345</v>
      </c>
      <c r="W67" s="505">
        <f t="shared" si="47"/>
        <v>-107.70242504733639</v>
      </c>
      <c r="X67" s="505">
        <f t="shared" si="49"/>
        <v>220823.57462326559</v>
      </c>
      <c r="Y67" s="504">
        <v>2060</v>
      </c>
      <c r="Z67" s="121" t="s">
        <v>836</v>
      </c>
      <c r="AA67" s="513">
        <f t="shared" si="54"/>
        <v>3264.6760276460845</v>
      </c>
      <c r="AB67" s="513">
        <f t="shared" si="54"/>
        <v>2941.5687525040703</v>
      </c>
      <c r="AC67" s="513">
        <f t="shared" si="54"/>
        <v>2726.1639024094038</v>
      </c>
      <c r="AD67" s="513">
        <f t="shared" si="56"/>
        <v>2510.7590523147373</v>
      </c>
      <c r="AE67" s="513">
        <f t="shared" si="56"/>
        <v>2187.6517771727231</v>
      </c>
      <c r="AF67" s="513">
        <f t="shared" si="56"/>
        <v>1864.5445020307088</v>
      </c>
      <c r="AG67" s="513">
        <f t="shared" si="56"/>
        <v>1649.1396519360424</v>
      </c>
      <c r="AH67" s="513">
        <f t="shared" si="56"/>
        <v>1433.7348018413759</v>
      </c>
      <c r="AI67" s="513">
        <f t="shared" si="58"/>
        <v>1110.6275266993616</v>
      </c>
      <c r="AJ67" s="513">
        <f t="shared" si="57"/>
        <v>787.52025155734736</v>
      </c>
      <c r="AK67" s="513">
        <f t="shared" si="57"/>
        <v>572.11540146268089</v>
      </c>
      <c r="AL67" s="513">
        <f t="shared" si="53"/>
        <v>356.71055136801442</v>
      </c>
      <c r="AM67" s="513">
        <f t="shared" si="53"/>
        <v>33.603276226000162</v>
      </c>
    </row>
    <row r="68" spans="1:39" x14ac:dyDescent="0.25">
      <c r="A68" t="s">
        <v>474</v>
      </c>
      <c r="B68" t="s">
        <v>903</v>
      </c>
      <c r="C68" s="486">
        <v>90.73</v>
      </c>
      <c r="D68" s="490">
        <f t="shared" si="43"/>
        <v>0.98150000000000004</v>
      </c>
      <c r="E68" s="490">
        <f t="shared" si="44"/>
        <v>1.8499999999999961E-2</v>
      </c>
      <c r="F68" s="490" t="str">
        <f t="shared" si="45"/>
        <v>Oil and Gas</v>
      </c>
      <c r="G68" s="491">
        <f>+C68*98.15%</f>
        <v>89.051495000000003</v>
      </c>
      <c r="H68" s="121">
        <v>10.09</v>
      </c>
      <c r="I68" s="492">
        <f t="shared" si="46"/>
        <v>9.5552254134999792</v>
      </c>
      <c r="J68" s="501">
        <v>19200.000000000004</v>
      </c>
      <c r="K68" s="502"/>
      <c r="L68" s="502">
        <v>16106.66666666667</v>
      </c>
      <c r="M68" s="502"/>
      <c r="N68" s="502">
        <v>10560.000000000004</v>
      </c>
      <c r="O68" s="502"/>
      <c r="P68" s="502">
        <v>6666.6666666666679</v>
      </c>
      <c r="Q68" s="502"/>
      <c r="R68" s="502">
        <v>4640.0000000000036</v>
      </c>
      <c r="S68" s="502"/>
      <c r="T68" s="502">
        <v>3306.6666666666679</v>
      </c>
      <c r="U68" s="502"/>
      <c r="V68" s="503">
        <v>2293.3333333333358</v>
      </c>
      <c r="W68" s="505">
        <f t="shared" si="47"/>
        <v>-587.42857142857144</v>
      </c>
      <c r="X68" s="505">
        <f t="shared" si="49"/>
        <v>1204384.7619047619</v>
      </c>
      <c r="Y68" s="504">
        <v>2061</v>
      </c>
      <c r="Z68" s="121" t="s">
        <v>903</v>
      </c>
      <c r="AA68" s="513">
        <f t="shared" si="54"/>
        <v>17779.047619047575</v>
      </c>
      <c r="AB68" s="513">
        <f t="shared" si="54"/>
        <v>16016.761904761894</v>
      </c>
      <c r="AC68" s="513">
        <f t="shared" si="54"/>
        <v>14841.904761904618</v>
      </c>
      <c r="AD68" s="513">
        <f t="shared" si="56"/>
        <v>13667.047619047575</v>
      </c>
      <c r="AE68" s="513">
        <f t="shared" si="56"/>
        <v>11904.761904761894</v>
      </c>
      <c r="AF68" s="513">
        <f t="shared" si="56"/>
        <v>10142.476190476213</v>
      </c>
      <c r="AG68" s="513">
        <f t="shared" si="56"/>
        <v>8967.6190476189367</v>
      </c>
      <c r="AH68" s="513">
        <f t="shared" si="56"/>
        <v>7792.7619047618937</v>
      </c>
      <c r="AI68" s="513">
        <f t="shared" si="58"/>
        <v>6030.4761904762127</v>
      </c>
      <c r="AJ68" s="513">
        <f t="shared" si="57"/>
        <v>4268.1904761905316</v>
      </c>
      <c r="AK68" s="513">
        <f t="shared" si="57"/>
        <v>3093.3333333332557</v>
      </c>
      <c r="AL68" s="513">
        <f t="shared" si="53"/>
        <v>1918.4761904762127</v>
      </c>
      <c r="AM68" s="513">
        <f t="shared" si="53"/>
        <v>156.19047619053163</v>
      </c>
    </row>
    <row r="71" spans="1:39" x14ac:dyDescent="0.25">
      <c r="C71" t="s">
        <v>904</v>
      </c>
      <c r="D71">
        <f>+D62*J62*F30/1000000</f>
        <v>209.39642547425473</v>
      </c>
      <c r="E71" t="s">
        <v>436</v>
      </c>
      <c r="I71" s="292" t="s">
        <v>905</v>
      </c>
      <c r="J71" s="283">
        <f>+SUMPRODUCT(J36:J68,$D$36:$D$68)</f>
        <v>439792.99238419964</v>
      </c>
      <c r="K71" s="283"/>
      <c r="L71" s="283">
        <f t="shared" ref="L71:V71" si="59">+SUMPRODUCT(L36:L68,$D$36:$D$68)</f>
        <v>262319.60734102631</v>
      </c>
      <c r="M71" s="283">
        <f t="shared" si="59"/>
        <v>13757.131173575406</v>
      </c>
      <c r="N71" s="283">
        <f t="shared" si="59"/>
        <v>177719.56713711005</v>
      </c>
      <c r="O71" s="283">
        <f t="shared" si="59"/>
        <v>23686.519694339411</v>
      </c>
      <c r="P71" s="283">
        <f t="shared" si="59"/>
        <v>91014.112604275302</v>
      </c>
      <c r="Q71" s="283">
        <f t="shared" si="59"/>
        <v>12761.502748413553</v>
      </c>
      <c r="R71" s="283">
        <f t="shared" si="59"/>
        <v>51098.155553823701</v>
      </c>
      <c r="S71" s="283">
        <f t="shared" si="59"/>
        <v>4666.581672511722</v>
      </c>
      <c r="T71" s="283">
        <f t="shared" si="59"/>
        <v>10171.155200011544</v>
      </c>
      <c r="U71" s="283">
        <f t="shared" si="59"/>
        <v>3278.1971811895355</v>
      </c>
      <c r="V71" s="283">
        <f t="shared" si="59"/>
        <v>25442.72093361005</v>
      </c>
    </row>
    <row r="72" spans="1:39" x14ac:dyDescent="0.25">
      <c r="C72" t="s">
        <v>906</v>
      </c>
      <c r="D72">
        <f>+(E48*J48)*F30/1000000</f>
        <v>177.17312143246573</v>
      </c>
      <c r="E72" t="s">
        <v>436</v>
      </c>
      <c r="I72" s="292" t="s">
        <v>907</v>
      </c>
      <c r="J72" s="283">
        <f>+SUMPRODUCT(J36:J68,$E$36:$E$68)</f>
        <v>118588.79500053711</v>
      </c>
      <c r="K72" s="283"/>
      <c r="L72" s="283">
        <f t="shared" ref="L72:V72" si="60">+SUMPRODUCT(L36:L68,$E$36:$E$68)</f>
        <v>74750.74327270432</v>
      </c>
      <c r="M72" s="283">
        <f t="shared" si="60"/>
        <v>20098.230172469674</v>
      </c>
      <c r="N72" s="283">
        <f t="shared" si="60"/>
        <v>27155.221206378876</v>
      </c>
      <c r="O72" s="283">
        <f t="shared" si="60"/>
        <v>5406.6987731625695</v>
      </c>
      <c r="P72" s="283">
        <f t="shared" si="60"/>
        <v>15487.636727635963</v>
      </c>
      <c r="Q72" s="283">
        <f t="shared" si="60"/>
        <v>3194.5714250822398</v>
      </c>
      <c r="R72" s="283">
        <f t="shared" si="60"/>
        <v>6459.4631376235538</v>
      </c>
      <c r="S72" s="283">
        <f t="shared" si="60"/>
        <v>38.406230529595113</v>
      </c>
      <c r="T72" s="283">
        <f t="shared" si="60"/>
        <v>3240.1305511245546</v>
      </c>
      <c r="U72" s="283">
        <f t="shared" si="60"/>
        <v>0</v>
      </c>
      <c r="V72" s="283">
        <f t="shared" si="60"/>
        <v>2400.4840556703116</v>
      </c>
    </row>
    <row r="73" spans="1:39" x14ac:dyDescent="0.25">
      <c r="C73" t="s">
        <v>890</v>
      </c>
      <c r="D73">
        <f>+(E49*J49)*F30/1000000</f>
        <v>0</v>
      </c>
      <c r="E73" t="s">
        <v>436</v>
      </c>
      <c r="I73" s="292" t="s">
        <v>908</v>
      </c>
      <c r="J73" s="75">
        <f>+J72*$F$30/1000000</f>
        <v>687.81501100311516</v>
      </c>
      <c r="K73" s="75"/>
      <c r="L73" s="75">
        <f t="shared" ref="L73" si="61">+L72*$F$30/1000000</f>
        <v>433.55431098168503</v>
      </c>
    </row>
    <row r="74" spans="1:39" x14ac:dyDescent="0.25">
      <c r="C74" t="s">
        <v>891</v>
      </c>
      <c r="D74">
        <f>+(E50*J50)*F30/1000000</f>
        <v>59.792875880758814</v>
      </c>
      <c r="E74" t="s">
        <v>436</v>
      </c>
    </row>
    <row r="76" spans="1:39" x14ac:dyDescent="0.25">
      <c r="I76" s="292" t="s">
        <v>909</v>
      </c>
    </row>
  </sheetData>
  <autoFilter ref="B35:H35" xr:uid="{00000000-0001-0000-0000-000000000000}">
    <sortState xmlns:xlrd2="http://schemas.microsoft.com/office/spreadsheetml/2017/richdata2" ref="B36:H69">
      <sortCondition ref="B35"/>
    </sortState>
  </autoFilter>
  <mergeCells count="4">
    <mergeCell ref="J34:S34"/>
    <mergeCell ref="AA34:AJ34"/>
    <mergeCell ref="K4:T4"/>
    <mergeCell ref="Y4:AH4"/>
  </mergeCells>
  <conditionalFormatting sqref="F36:F68">
    <cfRule type="containsText" dxfId="38" priority="3" operator="containsText" text="Oil and Gas">
      <formula>NOT(ISERROR(SEARCH("Oil and Gas",F36)))</formula>
    </cfRule>
    <cfRule type="containsText" dxfId="37" priority="4" operator="containsText" text="Oil">
      <formula>NOT(ISERROR(SEARCH("Oil",F36)))</formula>
    </cfRule>
    <cfRule type="containsText" dxfId="36" priority="5" operator="containsText" text="Gas">
      <formula>NOT(ISERROR(SEARCH("Gas",F36)))</formula>
    </cfRule>
  </conditionalFormatting>
  <conditionalFormatting sqref="H6:H25">
    <cfRule type="containsBlanks" dxfId="35" priority="2">
      <formula>LEN(TRIM(H6))=0</formula>
    </cfRule>
  </conditionalFormatting>
  <conditionalFormatting sqref="AP6">
    <cfRule type="containsBlanks" dxfId="34" priority="1">
      <formula>LEN(TRIM(AP6))=0</formula>
    </cfRule>
  </conditionalFormatting>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55641-3B26-48EA-B416-A0FFC86DD865}">
  <sheetPr>
    <tabColor theme="7" tint="-0.249977111117893"/>
  </sheetPr>
  <dimension ref="A2:W72"/>
  <sheetViews>
    <sheetView showGridLines="0" topLeftCell="G1" zoomScaleNormal="100" workbookViewId="0">
      <selection activeCell="S13" sqref="S13"/>
    </sheetView>
  </sheetViews>
  <sheetFormatPr baseColWidth="10" defaultRowHeight="15" x14ac:dyDescent="0.25"/>
  <cols>
    <col min="3" max="3" width="27.140625" customWidth="1"/>
    <col min="4" max="4" width="17" customWidth="1"/>
    <col min="5" max="5" width="24.5703125" customWidth="1"/>
    <col min="6" max="6" width="27.28515625" customWidth="1"/>
    <col min="7" max="7" width="30.5703125" customWidth="1"/>
    <col min="9" max="9" width="5.28515625" customWidth="1"/>
    <col min="10" max="10" width="16.85546875" customWidth="1"/>
    <col min="11" max="13" width="18.85546875" customWidth="1"/>
    <col min="14" max="14" width="16.28515625" customWidth="1"/>
    <col min="15" max="15" width="6.5703125" customWidth="1"/>
    <col min="16" max="16" width="10.5703125" customWidth="1"/>
    <col min="17" max="17" width="12.28515625" customWidth="1"/>
    <col min="18" max="19" width="20.28515625" customWidth="1"/>
    <col min="20" max="20" width="14.7109375" customWidth="1"/>
    <col min="21" max="23" width="20.28515625" customWidth="1"/>
    <col min="25" max="25" width="17.7109375" customWidth="1"/>
  </cols>
  <sheetData>
    <row r="2" spans="1:23" ht="15.75" thickBot="1" x14ac:dyDescent="0.3">
      <c r="D2" s="606" t="s">
        <v>784</v>
      </c>
      <c r="E2" s="606"/>
      <c r="F2" s="606"/>
      <c r="G2" s="606"/>
      <c r="H2" s="606"/>
    </row>
    <row r="3" spans="1:23" ht="15.75" thickTop="1" x14ac:dyDescent="0.25">
      <c r="D3" s="468"/>
      <c r="E3" s="607" t="s">
        <v>785</v>
      </c>
      <c r="F3" s="607"/>
      <c r="G3" s="607" t="s">
        <v>786</v>
      </c>
      <c r="H3" s="607"/>
    </row>
    <row r="4" spans="1:23" x14ac:dyDescent="0.25">
      <c r="A4" t="s">
        <v>787</v>
      </c>
      <c r="D4" s="16"/>
      <c r="E4" s="16" t="s">
        <v>788</v>
      </c>
      <c r="F4" s="16" t="s">
        <v>789</v>
      </c>
      <c r="G4" s="16" t="s">
        <v>788</v>
      </c>
      <c r="H4" s="16" t="s">
        <v>789</v>
      </c>
    </row>
    <row r="5" spans="1:23" x14ac:dyDescent="0.25">
      <c r="A5" t="s">
        <v>216</v>
      </c>
      <c r="B5">
        <v>15</v>
      </c>
      <c r="D5" s="320" t="s">
        <v>790</v>
      </c>
      <c r="E5" s="469">
        <v>0</v>
      </c>
      <c r="F5" s="16"/>
      <c r="G5" s="469">
        <v>0</v>
      </c>
      <c r="H5" s="16">
        <v>10</v>
      </c>
    </row>
    <row r="6" spans="1:23" x14ac:dyDescent="0.25">
      <c r="D6" s="320" t="s">
        <v>791</v>
      </c>
      <c r="E6" s="16"/>
      <c r="F6" s="16">
        <v>18</v>
      </c>
      <c r="G6" s="16">
        <v>10</v>
      </c>
      <c r="H6" s="16">
        <v>22.3</v>
      </c>
    </row>
    <row r="7" spans="1:23" x14ac:dyDescent="0.25">
      <c r="D7" s="320" t="s">
        <v>792</v>
      </c>
      <c r="E7" s="16">
        <v>18.100000000000001</v>
      </c>
      <c r="F7" s="16">
        <v>32</v>
      </c>
      <c r="G7" s="16">
        <v>22.3</v>
      </c>
      <c r="H7" s="16">
        <v>31.1</v>
      </c>
    </row>
    <row r="8" spans="1:23" x14ac:dyDescent="0.25">
      <c r="D8" s="320" t="s">
        <v>793</v>
      </c>
      <c r="E8" s="16">
        <v>32.1</v>
      </c>
      <c r="F8" s="469">
        <v>100</v>
      </c>
      <c r="G8" s="16">
        <v>31.1</v>
      </c>
      <c r="H8" s="469">
        <v>100</v>
      </c>
    </row>
    <row r="9" spans="1:23" x14ac:dyDescent="0.25">
      <c r="D9" s="320"/>
      <c r="E9" s="16"/>
      <c r="F9" s="469"/>
      <c r="G9" s="16"/>
      <c r="H9" s="469"/>
    </row>
    <row r="10" spans="1:23" x14ac:dyDescent="0.25">
      <c r="D10" s="320"/>
      <c r="E10" s="16"/>
      <c r="F10" s="469"/>
      <c r="G10" s="16"/>
      <c r="H10" s="469"/>
    </row>
    <row r="11" spans="1:23" ht="15.75" x14ac:dyDescent="0.25">
      <c r="N11" s="608" t="s">
        <v>794</v>
      </c>
      <c r="O11" s="608"/>
      <c r="P11" s="608"/>
      <c r="Q11" s="608"/>
      <c r="R11" s="608"/>
      <c r="S11" s="608"/>
      <c r="T11" s="608"/>
      <c r="U11" s="608"/>
      <c r="V11" s="121"/>
      <c r="W11" s="121"/>
    </row>
    <row r="12" spans="1:23" ht="30" x14ac:dyDescent="0.25">
      <c r="A12" t="s">
        <v>795</v>
      </c>
      <c r="C12" s="470" t="s">
        <v>796</v>
      </c>
      <c r="D12" s="470" t="s">
        <v>797</v>
      </c>
      <c r="E12" s="470" t="s">
        <v>798</v>
      </c>
      <c r="F12" s="470" t="s">
        <v>799</v>
      </c>
      <c r="G12" s="470" t="s">
        <v>800</v>
      </c>
      <c r="H12" s="471" t="s">
        <v>801</v>
      </c>
      <c r="I12" s="471"/>
      <c r="J12" s="471" t="s">
        <v>802</v>
      </c>
      <c r="K12" s="472" t="s">
        <v>803</v>
      </c>
      <c r="L12" s="472" t="s">
        <v>804</v>
      </c>
      <c r="M12" s="472" t="s">
        <v>805</v>
      </c>
      <c r="N12" s="470" t="s">
        <v>806</v>
      </c>
      <c r="O12" s="470" t="s">
        <v>807</v>
      </c>
      <c r="P12" s="470" t="s">
        <v>808</v>
      </c>
      <c r="Q12" s="470" t="s">
        <v>809</v>
      </c>
      <c r="R12" s="470" t="s">
        <v>810</v>
      </c>
      <c r="S12" s="470" t="s">
        <v>811</v>
      </c>
      <c r="T12" s="470" t="s">
        <v>812</v>
      </c>
      <c r="U12" s="470" t="s">
        <v>813</v>
      </c>
      <c r="V12" s="470" t="s">
        <v>814</v>
      </c>
      <c r="W12" s="472" t="s">
        <v>815</v>
      </c>
    </row>
    <row r="13" spans="1:23" x14ac:dyDescent="0.25">
      <c r="C13" s="473" t="e" vm="1">
        <v>#VALUE!</v>
      </c>
      <c r="D13" s="474" t="s">
        <v>816</v>
      </c>
      <c r="E13" s="474" t="s">
        <v>837</v>
      </c>
      <c r="F13" s="474" t="s">
        <v>838</v>
      </c>
      <c r="G13" s="475" t="s">
        <v>839</v>
      </c>
      <c r="H13" s="473" t="s">
        <v>666</v>
      </c>
      <c r="I13" s="476" t="s">
        <v>51</v>
      </c>
      <c r="J13" s="476" t="str">
        <f>+IF(I13="Gas","Doesn't Apply",IF(H13&lt;$F$5,$D$5,IF(H13&lt;$F$6,$D$6,IF(H13&lt;$F$7,$D$7,IF(H13&gt;$E$8,$D$8,"Doesn't Apply")))))</f>
        <v>Doesn't Apply</v>
      </c>
      <c r="K13" s="477">
        <f t="shared" ref="K13:K32" si="0">+SUM(O13:U13)-T13</f>
        <v>162.95282191780822</v>
      </c>
      <c r="L13" s="477">
        <f t="shared" ref="L13:L32" si="1">+P13+O13+R13+Q13</f>
        <v>6.7568767123287659</v>
      </c>
      <c r="M13" s="477">
        <f t="shared" ref="M13:M32" si="2">+S13-T13+U13</f>
        <v>156.19594520547946</v>
      </c>
      <c r="N13" s="478">
        <v>162.95279452054797</v>
      </c>
      <c r="O13" s="478">
        <v>0</v>
      </c>
      <c r="P13" s="478">
        <v>0</v>
      </c>
      <c r="Q13" s="478">
        <v>6.5319452054794507</v>
      </c>
      <c r="R13" s="478">
        <v>0.22493150684931507</v>
      </c>
      <c r="S13" s="478">
        <v>13.287095890410958</v>
      </c>
      <c r="T13" s="478">
        <v>0</v>
      </c>
      <c r="U13" s="478">
        <v>142.90884931506849</v>
      </c>
      <c r="V13" s="478">
        <v>0</v>
      </c>
      <c r="W13" s="479">
        <f>+K13-P13</f>
        <v>162.95282191780822</v>
      </c>
    </row>
    <row r="14" spans="1:23" x14ac:dyDescent="0.25">
      <c r="C14" s="473" t="e" vm="1">
        <v>#VALUE!</v>
      </c>
      <c r="D14" s="474" t="s">
        <v>816</v>
      </c>
      <c r="E14" s="474" t="s">
        <v>837</v>
      </c>
      <c r="F14" s="474" t="s">
        <v>838</v>
      </c>
      <c r="G14" s="475" t="s">
        <v>840</v>
      </c>
      <c r="H14" s="473" t="s">
        <v>666</v>
      </c>
      <c r="I14" s="476" t="s">
        <v>51</v>
      </c>
      <c r="J14" s="476" t="str">
        <f>+IF(I14="Gas","Doesn't Apply",IF(H14&lt;$F$5,$D$5,IF(H14&lt;$F$6,$D$6,IF(H14&lt;$F$7,$D$7,IF(H14&gt;$E$8,$D$8,"Doesn't Apply")))))</f>
        <v>Doesn't Apply</v>
      </c>
      <c r="K14" s="477">
        <f t="shared" si="0"/>
        <v>23.174410958904112</v>
      </c>
      <c r="L14" s="477">
        <f t="shared" si="1"/>
        <v>0.14397260273972604</v>
      </c>
      <c r="M14" s="477">
        <f t="shared" si="2"/>
        <v>23.030438356164385</v>
      </c>
      <c r="N14" s="478">
        <v>23.174301369863016</v>
      </c>
      <c r="O14" s="478">
        <v>0</v>
      </c>
      <c r="P14" s="478">
        <v>0</v>
      </c>
      <c r="Q14" s="478">
        <v>0.11695890410958903</v>
      </c>
      <c r="R14" s="478">
        <v>2.701369863013699E-2</v>
      </c>
      <c r="S14" s="478">
        <v>1.9608219178082194</v>
      </c>
      <c r="T14" s="478">
        <v>0</v>
      </c>
      <c r="U14" s="478">
        <v>21.069616438356167</v>
      </c>
      <c r="V14" s="478">
        <v>0</v>
      </c>
      <c r="W14" s="479">
        <f t="shared" ref="W14:W32" si="3">+K14-P14</f>
        <v>23.174410958904112</v>
      </c>
    </row>
    <row r="15" spans="1:23" x14ac:dyDescent="0.25">
      <c r="C15" s="473" t="e" vm="2">
        <v>#VALUE!</v>
      </c>
      <c r="D15" s="474" t="s">
        <v>816</v>
      </c>
      <c r="E15" s="474" t="s">
        <v>850</v>
      </c>
      <c r="F15" s="474" t="s">
        <v>823</v>
      </c>
      <c r="G15" s="475" t="s">
        <v>851</v>
      </c>
      <c r="H15" s="473" t="s">
        <v>666</v>
      </c>
      <c r="I15" s="476" t="s">
        <v>51</v>
      </c>
      <c r="J15" s="476" t="str">
        <f>+IF(I15="Gas","Doesn't Apply",IF(H15&lt;$F$5,$D$5,IF(H15&lt;$F$6,$D$6,IF(H15&lt;$F$7,$D$7,IF(H15&gt;$E$8,$D$8,"Doesn't Apply")))))</f>
        <v>Doesn't Apply</v>
      </c>
      <c r="K15" s="477">
        <f t="shared" si="0"/>
        <v>35.569315068493154</v>
      </c>
      <c r="L15" s="477">
        <f t="shared" si="1"/>
        <v>0</v>
      </c>
      <c r="M15" s="477">
        <f t="shared" si="2"/>
        <v>31.996931506849318</v>
      </c>
      <c r="N15" s="478">
        <v>35.569315068493154</v>
      </c>
      <c r="O15" s="478">
        <v>0</v>
      </c>
      <c r="P15" s="478">
        <v>0</v>
      </c>
      <c r="Q15" s="478">
        <v>0</v>
      </c>
      <c r="R15" s="478">
        <v>0</v>
      </c>
      <c r="S15" s="478">
        <v>35.569315068493154</v>
      </c>
      <c r="T15" s="478">
        <v>3.5723835616438366</v>
      </c>
      <c r="U15" s="478">
        <v>0</v>
      </c>
      <c r="V15" s="478">
        <v>0</v>
      </c>
      <c r="W15" s="479">
        <f t="shared" si="3"/>
        <v>35.569315068493154</v>
      </c>
    </row>
    <row r="16" spans="1:23" x14ac:dyDescent="0.25">
      <c r="C16" s="473" t="e" vm="3">
        <v>#VALUE!</v>
      </c>
      <c r="D16" s="474" t="s">
        <v>816</v>
      </c>
      <c r="E16" s="474" t="s">
        <v>822</v>
      </c>
      <c r="F16" s="474" t="s">
        <v>823</v>
      </c>
      <c r="G16" s="475" t="s">
        <v>824</v>
      </c>
      <c r="H16" s="473">
        <v>48</v>
      </c>
      <c r="I16" s="476"/>
      <c r="J16" s="476" t="str">
        <f t="shared" ref="J16:J22" si="4">+IF(G16="Gas","Doesn't Apply",IF(H16&lt;$F$5,$D$5,IF(H16&lt;$F$6,$D$6,IF(H16&lt;$F$7,$D$7,IF(H16&gt;$E$8,$D$8,"Doesn't Apply")))))</f>
        <v>Light Oil</v>
      </c>
      <c r="K16" s="477">
        <f t="shared" si="0"/>
        <v>649.48632876712327</v>
      </c>
      <c r="L16" s="477">
        <f t="shared" si="1"/>
        <v>436.89753424657533</v>
      </c>
      <c r="M16" s="477">
        <f t="shared" si="2"/>
        <v>204.32512328767126</v>
      </c>
      <c r="N16" s="478">
        <v>649.4862739726027</v>
      </c>
      <c r="O16" s="478">
        <v>0</v>
      </c>
      <c r="P16" s="478">
        <v>396.38389041095888</v>
      </c>
      <c r="Q16" s="478">
        <v>38.275260273972606</v>
      </c>
      <c r="R16" s="478">
        <v>2.2383835616438361</v>
      </c>
      <c r="S16" s="478">
        <v>16.510794520547947</v>
      </c>
      <c r="T16" s="478">
        <v>8.2636712328767121</v>
      </c>
      <c r="U16" s="478">
        <v>196.07800000000003</v>
      </c>
      <c r="V16" s="478">
        <v>10231.853999999999</v>
      </c>
      <c r="W16" s="479">
        <f t="shared" si="3"/>
        <v>253.10243835616438</v>
      </c>
    </row>
    <row r="17" spans="3:23" x14ac:dyDescent="0.25">
      <c r="C17" s="473" t="e" vm="3">
        <v>#VALUE!</v>
      </c>
      <c r="D17" s="474" t="s">
        <v>816</v>
      </c>
      <c r="E17" s="474" t="s">
        <v>825</v>
      </c>
      <c r="F17" s="474" t="s">
        <v>823</v>
      </c>
      <c r="G17" s="475" t="s">
        <v>826</v>
      </c>
      <c r="H17" s="473">
        <v>52</v>
      </c>
      <c r="I17" s="476"/>
      <c r="J17" s="476" t="str">
        <f t="shared" si="4"/>
        <v>Light Oil</v>
      </c>
      <c r="K17" s="477">
        <f t="shared" si="0"/>
        <v>277.3735890410959</v>
      </c>
      <c r="L17" s="477">
        <f t="shared" si="1"/>
        <v>82.001808219178074</v>
      </c>
      <c r="M17" s="477">
        <f t="shared" si="2"/>
        <v>165.01969863013699</v>
      </c>
      <c r="N17" s="478">
        <v>277.37400000000002</v>
      </c>
      <c r="O17" s="478">
        <v>0</v>
      </c>
      <c r="P17" s="478">
        <v>50.500383561643829</v>
      </c>
      <c r="Q17" s="478">
        <v>30.359369863013697</v>
      </c>
      <c r="R17" s="478">
        <v>1.1420547945205479</v>
      </c>
      <c r="S17" s="478">
        <v>30.377342465753429</v>
      </c>
      <c r="T17" s="478">
        <v>30.352082191780823</v>
      </c>
      <c r="U17" s="478">
        <v>164.99443835616438</v>
      </c>
      <c r="V17" s="478">
        <v>3182.6220821917809</v>
      </c>
      <c r="W17" s="479">
        <f t="shared" si="3"/>
        <v>226.87320547945205</v>
      </c>
    </row>
    <row r="18" spans="3:23" x14ac:dyDescent="0.25">
      <c r="C18" s="473" t="e" vm="3">
        <v>#VALUE!</v>
      </c>
      <c r="D18" s="474" t="s">
        <v>816</v>
      </c>
      <c r="E18" s="474" t="s">
        <v>827</v>
      </c>
      <c r="F18" s="474" t="s">
        <v>823</v>
      </c>
      <c r="G18" s="475" t="s">
        <v>828</v>
      </c>
      <c r="H18" s="473">
        <v>46</v>
      </c>
      <c r="I18" s="476"/>
      <c r="J18" s="476" t="str">
        <f t="shared" si="4"/>
        <v>Light Oil</v>
      </c>
      <c r="K18" s="477">
        <f t="shared" si="0"/>
        <v>435.40112328767128</v>
      </c>
      <c r="L18" s="477">
        <f t="shared" si="1"/>
        <v>235.53923287671233</v>
      </c>
      <c r="M18" s="477">
        <f t="shared" si="2"/>
        <v>199.86189041095895</v>
      </c>
      <c r="N18" s="478">
        <v>435.4008767123288</v>
      </c>
      <c r="O18" s="478">
        <v>0</v>
      </c>
      <c r="P18" s="478">
        <v>225.24104109589044</v>
      </c>
      <c r="Q18" s="478">
        <v>9.0779452054794518</v>
      </c>
      <c r="R18" s="478">
        <v>1.2202465753424658</v>
      </c>
      <c r="S18" s="478">
        <v>142.09446575342469</v>
      </c>
      <c r="T18" s="478">
        <v>0</v>
      </c>
      <c r="U18" s="478">
        <v>57.767424657534249</v>
      </c>
      <c r="V18" s="478">
        <v>27008.407917808221</v>
      </c>
      <c r="W18" s="479">
        <f t="shared" si="3"/>
        <v>210.16008219178084</v>
      </c>
    </row>
    <row r="19" spans="3:23" x14ac:dyDescent="0.25">
      <c r="C19" s="473" t="e" vm="3">
        <v>#VALUE!</v>
      </c>
      <c r="D19" s="474" t="s">
        <v>816</v>
      </c>
      <c r="E19" s="474" t="s">
        <v>827</v>
      </c>
      <c r="F19" s="474" t="s">
        <v>823</v>
      </c>
      <c r="G19" s="475" t="s">
        <v>829</v>
      </c>
      <c r="H19" s="473">
        <f>44+((47-44)/2)</f>
        <v>45.5</v>
      </c>
      <c r="I19" s="476"/>
      <c r="J19" s="476" t="str">
        <f t="shared" si="4"/>
        <v>Light Oil</v>
      </c>
      <c r="K19" s="477">
        <f t="shared" si="0"/>
        <v>114.48408219178081</v>
      </c>
      <c r="L19" s="477">
        <f t="shared" si="1"/>
        <v>114.48408219178081</v>
      </c>
      <c r="M19" s="477">
        <f t="shared" si="2"/>
        <v>0</v>
      </c>
      <c r="N19" s="478">
        <v>114.48408219178081</v>
      </c>
      <c r="O19" s="478">
        <v>0</v>
      </c>
      <c r="P19" s="478">
        <v>111.18394520547945</v>
      </c>
      <c r="Q19" s="478">
        <v>2.923643835616438</v>
      </c>
      <c r="R19" s="478">
        <v>0.37649315068493155</v>
      </c>
      <c r="S19" s="478">
        <v>0</v>
      </c>
      <c r="T19" s="478">
        <v>0</v>
      </c>
      <c r="U19" s="478">
        <v>0</v>
      </c>
      <c r="V19" s="478">
        <v>4583.6177808219181</v>
      </c>
      <c r="W19" s="479">
        <f t="shared" si="3"/>
        <v>3.3001369863013679</v>
      </c>
    </row>
    <row r="20" spans="3:23" x14ac:dyDescent="0.25">
      <c r="C20" s="473" t="e" vm="4">
        <v>#VALUE!</v>
      </c>
      <c r="D20" s="474" t="s">
        <v>816</v>
      </c>
      <c r="E20" s="474" t="s">
        <v>841</v>
      </c>
      <c r="F20" s="474" t="s">
        <v>823</v>
      </c>
      <c r="G20" s="475" t="s">
        <v>842</v>
      </c>
      <c r="H20" s="473">
        <f>11.3+(14.4-11.3)/2</f>
        <v>12.850000000000001</v>
      </c>
      <c r="I20" s="476"/>
      <c r="J20" s="476" t="str">
        <f t="shared" si="4"/>
        <v>Heavy Oil</v>
      </c>
      <c r="K20" s="477">
        <f t="shared" si="0"/>
        <v>0</v>
      </c>
      <c r="L20" s="477">
        <f t="shared" si="1"/>
        <v>0</v>
      </c>
      <c r="M20" s="477">
        <f t="shared" si="2"/>
        <v>0</v>
      </c>
      <c r="N20" s="478">
        <v>0</v>
      </c>
      <c r="O20" s="478">
        <v>0</v>
      </c>
      <c r="P20" s="478">
        <v>0</v>
      </c>
      <c r="Q20" s="478">
        <v>0</v>
      </c>
      <c r="R20" s="478">
        <v>0</v>
      </c>
      <c r="S20" s="478">
        <v>0</v>
      </c>
      <c r="T20" s="478">
        <v>0</v>
      </c>
      <c r="U20" s="478">
        <v>0</v>
      </c>
      <c r="V20" s="478">
        <v>119308.68268493151</v>
      </c>
      <c r="W20" s="479">
        <f t="shared" si="3"/>
        <v>0</v>
      </c>
    </row>
    <row r="21" spans="3:23" x14ac:dyDescent="0.25">
      <c r="C21" s="473" t="e" vm="4">
        <v>#VALUE!</v>
      </c>
      <c r="D21" s="474" t="s">
        <v>816</v>
      </c>
      <c r="E21" s="474" t="s">
        <v>843</v>
      </c>
      <c r="F21" s="474" t="s">
        <v>823</v>
      </c>
      <c r="G21" s="475" t="s">
        <v>844</v>
      </c>
      <c r="H21" s="473">
        <v>13.7</v>
      </c>
      <c r="I21" s="476"/>
      <c r="J21" s="476" t="str">
        <f t="shared" si="4"/>
        <v>Heavy Oil</v>
      </c>
      <c r="K21" s="477">
        <f t="shared" si="0"/>
        <v>0</v>
      </c>
      <c r="L21" s="477">
        <f t="shared" si="1"/>
        <v>0</v>
      </c>
      <c r="M21" s="477">
        <f t="shared" si="2"/>
        <v>0</v>
      </c>
      <c r="N21" s="478">
        <v>0</v>
      </c>
      <c r="O21" s="478">
        <v>0</v>
      </c>
      <c r="P21" s="478">
        <v>0</v>
      </c>
      <c r="Q21" s="478">
        <v>0</v>
      </c>
      <c r="R21" s="478">
        <v>0</v>
      </c>
      <c r="S21" s="478">
        <v>0</v>
      </c>
      <c r="T21" s="478">
        <v>0</v>
      </c>
      <c r="U21" s="478">
        <v>0</v>
      </c>
      <c r="V21" s="478">
        <v>114056.06200000001</v>
      </c>
      <c r="W21" s="479">
        <f t="shared" si="3"/>
        <v>0</v>
      </c>
    </row>
    <row r="22" spans="3:23" x14ac:dyDescent="0.25">
      <c r="C22" s="473" t="e" vm="4">
        <v>#VALUE!</v>
      </c>
      <c r="D22" s="474" t="s">
        <v>816</v>
      </c>
      <c r="E22" s="474" t="s">
        <v>845</v>
      </c>
      <c r="F22" s="474" t="s">
        <v>823</v>
      </c>
      <c r="G22" s="475" t="s">
        <v>846</v>
      </c>
      <c r="H22" s="473">
        <f>7+(20-7)/2</f>
        <v>13.5</v>
      </c>
      <c r="I22" s="476"/>
      <c r="J22" s="476" t="str">
        <f t="shared" si="4"/>
        <v>Heavy Oil</v>
      </c>
      <c r="K22" s="477">
        <f t="shared" si="0"/>
        <v>3.793589041095891</v>
      </c>
      <c r="L22" s="477">
        <f t="shared" si="1"/>
        <v>3.793589041095891</v>
      </c>
      <c r="M22" s="477">
        <f t="shared" si="2"/>
        <v>0</v>
      </c>
      <c r="N22" s="478">
        <v>3.7935616438356163</v>
      </c>
      <c r="O22" s="478">
        <v>0</v>
      </c>
      <c r="P22" s="478">
        <v>0</v>
      </c>
      <c r="Q22" s="478">
        <v>0.87139726027397268</v>
      </c>
      <c r="R22" s="478">
        <v>2.9221917808219184</v>
      </c>
      <c r="S22" s="478">
        <v>0</v>
      </c>
      <c r="T22" s="478">
        <v>0</v>
      </c>
      <c r="U22" s="478">
        <v>0</v>
      </c>
      <c r="V22" s="478">
        <v>69090.784575342463</v>
      </c>
      <c r="W22" s="479">
        <f t="shared" si="3"/>
        <v>3.793589041095891</v>
      </c>
    </row>
    <row r="23" spans="3:23" x14ac:dyDescent="0.25">
      <c r="C23" s="473" t="e" vm="4">
        <v>#VALUE!</v>
      </c>
      <c r="D23" s="474" t="s">
        <v>816</v>
      </c>
      <c r="E23" s="474" t="s">
        <v>845</v>
      </c>
      <c r="F23" s="474" t="s">
        <v>823</v>
      </c>
      <c r="G23" s="475" t="s">
        <v>847</v>
      </c>
      <c r="H23" s="473">
        <v>8</v>
      </c>
      <c r="I23" s="476"/>
      <c r="J23" s="476" t="str">
        <f>+IF(I23="Gas","Doesn't Apply",IF(H23&lt;$F$5,$D$5,IF(H23&lt;$F$6,$D$6,IF(H23&lt;$F$7,$D$7,IF(H23&gt;$E$8,$D$8,"Doesn't Apply")))))</f>
        <v>Heavy Oil</v>
      </c>
      <c r="K23" s="477">
        <f t="shared" si="0"/>
        <v>0.58205479452054798</v>
      </c>
      <c r="L23" s="477">
        <f t="shared" si="1"/>
        <v>0.58205479452054798</v>
      </c>
      <c r="M23" s="477">
        <f t="shared" si="2"/>
        <v>0</v>
      </c>
      <c r="N23" s="478">
        <v>0.58205479452054798</v>
      </c>
      <c r="O23" s="478">
        <v>0</v>
      </c>
      <c r="P23" s="478">
        <v>0</v>
      </c>
      <c r="Q23" s="478">
        <v>0</v>
      </c>
      <c r="R23" s="478">
        <v>0.58205479452054798</v>
      </c>
      <c r="S23" s="478">
        <v>0</v>
      </c>
      <c r="T23" s="478">
        <v>0</v>
      </c>
      <c r="U23" s="478">
        <v>0</v>
      </c>
      <c r="V23" s="478">
        <v>19756.607616438356</v>
      </c>
      <c r="W23" s="479">
        <f t="shared" si="3"/>
        <v>0.58205479452054798</v>
      </c>
    </row>
    <row r="24" spans="3:23" x14ac:dyDescent="0.25">
      <c r="C24" s="473" t="e" vm="4">
        <v>#VALUE!</v>
      </c>
      <c r="D24" s="474" t="s">
        <v>816</v>
      </c>
      <c r="E24" s="474" t="s">
        <v>848</v>
      </c>
      <c r="F24" s="474" t="s">
        <v>823</v>
      </c>
      <c r="G24" s="475" t="s">
        <v>849</v>
      </c>
      <c r="H24" s="473">
        <v>13.5</v>
      </c>
      <c r="I24" s="476"/>
      <c r="J24" s="476" t="str">
        <f>+IF(I24="Gas","Doesn't Apply",IF(H24&lt;$F$5,$D$5,IF(H24&lt;$F$6,$D$6,IF(H24&lt;$F$7,$D$7,IF(H24&gt;$E$8,$D$8,"Doesn't Apply")))))</f>
        <v>Heavy Oil</v>
      </c>
      <c r="K24" s="477">
        <f t="shared" si="0"/>
        <v>0.23824657534246574</v>
      </c>
      <c r="L24" s="477">
        <f t="shared" si="1"/>
        <v>0.23824657534246574</v>
      </c>
      <c r="M24" s="477">
        <f t="shared" si="2"/>
        <v>0</v>
      </c>
      <c r="N24" s="478">
        <v>0.23827397260273972</v>
      </c>
      <c r="O24" s="478">
        <v>0</v>
      </c>
      <c r="P24" s="478">
        <v>0</v>
      </c>
      <c r="Q24" s="478">
        <v>0.10038356164383562</v>
      </c>
      <c r="R24" s="478">
        <v>0.1378630136986301</v>
      </c>
      <c r="S24" s="478">
        <v>0</v>
      </c>
      <c r="T24" s="478">
        <v>0</v>
      </c>
      <c r="U24" s="478">
        <v>0</v>
      </c>
      <c r="V24" s="478">
        <v>1476.5236986301368</v>
      </c>
      <c r="W24" s="479">
        <f t="shared" si="3"/>
        <v>0.23824657534246574</v>
      </c>
    </row>
    <row r="25" spans="3:23" x14ac:dyDescent="0.25">
      <c r="C25" s="473" t="e" vm="5">
        <v>#VALUE!</v>
      </c>
      <c r="D25" s="474" t="s">
        <v>816</v>
      </c>
      <c r="E25" s="474" t="s">
        <v>852</v>
      </c>
      <c r="F25" s="474" t="s">
        <v>853</v>
      </c>
      <c r="G25" s="475" t="s">
        <v>852</v>
      </c>
      <c r="H25" s="473">
        <v>35</v>
      </c>
      <c r="I25" s="476"/>
      <c r="J25" s="476" t="str">
        <f>+IF(G25="Gas","Doesn't Apply",IF(H25&lt;$F$5,$D$5,IF(H25&lt;$F$6,$D$6,IF(H25&lt;$F$7,$D$7,IF(H25&gt;$E$8,$D$8,"Doesn't Apply")))))</f>
        <v>Light Oil</v>
      </c>
      <c r="K25" s="477">
        <f t="shared" si="0"/>
        <v>3.4626301369863017</v>
      </c>
      <c r="L25" s="477">
        <f t="shared" si="1"/>
        <v>3.4626301369863017</v>
      </c>
      <c r="M25" s="477">
        <f t="shared" si="2"/>
        <v>0</v>
      </c>
      <c r="N25" s="478">
        <v>3.4626301369863017</v>
      </c>
      <c r="O25" s="478">
        <v>0</v>
      </c>
      <c r="P25" s="478">
        <v>0</v>
      </c>
      <c r="Q25" s="478">
        <v>0</v>
      </c>
      <c r="R25" s="478">
        <v>3.4626301369863017</v>
      </c>
      <c r="S25" s="478">
        <v>0</v>
      </c>
      <c r="T25" s="478">
        <v>0</v>
      </c>
      <c r="U25" s="478">
        <v>0</v>
      </c>
      <c r="V25" s="478">
        <v>1962.0646849315069</v>
      </c>
      <c r="W25" s="479">
        <f>+K25-P25</f>
        <v>3.4626301369863017</v>
      </c>
    </row>
    <row r="26" spans="3:23" x14ac:dyDescent="0.25">
      <c r="C26" s="473" t="e" vm="6">
        <v>#VALUE!</v>
      </c>
      <c r="D26" s="474" t="s">
        <v>816</v>
      </c>
      <c r="E26" s="474" t="s">
        <v>817</v>
      </c>
      <c r="F26" s="474" t="s">
        <v>818</v>
      </c>
      <c r="G26" s="475" t="s">
        <v>819</v>
      </c>
      <c r="H26" s="473">
        <v>21</v>
      </c>
      <c r="I26" s="476"/>
      <c r="J26" s="476" t="str">
        <f>+IF(G26="Gas","Doesn't Apply",IF(H26&lt;$F$5,$D$5,IF(H26&lt;$F$6,$D$6,IF(H26&lt;$F$7,$D$7,IF(H26&gt;$E$8,$D$8,"Doesn't Apply")))))</f>
        <v>Medium Oil</v>
      </c>
      <c r="K26" s="477">
        <f t="shared" si="0"/>
        <v>1.1893972602739726</v>
      </c>
      <c r="L26" s="477">
        <f t="shared" si="1"/>
        <v>1.1893972602739726</v>
      </c>
      <c r="M26" s="477">
        <f t="shared" si="2"/>
        <v>0</v>
      </c>
      <c r="N26" s="478">
        <v>1.1894794520547947</v>
      </c>
      <c r="O26" s="478">
        <v>0</v>
      </c>
      <c r="P26" s="478">
        <v>0</v>
      </c>
      <c r="Q26" s="478">
        <v>0.95542465753424666</v>
      </c>
      <c r="R26" s="478">
        <v>0.23397260273972598</v>
      </c>
      <c r="S26" s="478">
        <v>0</v>
      </c>
      <c r="T26" s="478">
        <v>0</v>
      </c>
      <c r="U26" s="478">
        <v>0</v>
      </c>
      <c r="V26" s="478">
        <v>12119.3965753425</v>
      </c>
      <c r="W26" s="479">
        <f>+K26-P26</f>
        <v>1.1893972602739726</v>
      </c>
    </row>
    <row r="27" spans="3:23" x14ac:dyDescent="0.25">
      <c r="C27" s="473" t="e" vm="6">
        <v>#VALUE!</v>
      </c>
      <c r="D27" s="474" t="s">
        <v>816</v>
      </c>
      <c r="E27" s="474" t="s">
        <v>820</v>
      </c>
      <c r="F27" s="474" t="s">
        <v>818</v>
      </c>
      <c r="G27" s="475" t="s">
        <v>821</v>
      </c>
      <c r="H27" s="473">
        <v>12.5</v>
      </c>
      <c r="I27" s="476"/>
      <c r="J27" s="476" t="str">
        <f>+IF(I27="Gas","Doesn't Apply",IF(H27&lt;$F$5,$D$5,IF(H27&lt;$F$6,$D$6,IF(H27&lt;$F$7,$D$7,IF(H27&gt;$E$8,$D$8,"Doesn't Apply")))))</f>
        <v>Heavy Oil</v>
      </c>
      <c r="K27" s="477">
        <f t="shared" si="0"/>
        <v>0.23824657534246574</v>
      </c>
      <c r="L27" s="477">
        <f t="shared" si="1"/>
        <v>0.23824657534246574</v>
      </c>
      <c r="M27" s="477">
        <f t="shared" si="2"/>
        <v>0</v>
      </c>
      <c r="N27" s="478">
        <v>0.23827397260273972</v>
      </c>
      <c r="O27" s="478">
        <v>0</v>
      </c>
      <c r="P27" s="478">
        <v>0</v>
      </c>
      <c r="Q27" s="478">
        <v>0.10038356164383562</v>
      </c>
      <c r="R27" s="478">
        <v>0.1378630136986301</v>
      </c>
      <c r="S27" s="478">
        <v>0</v>
      </c>
      <c r="T27" s="478">
        <v>0</v>
      </c>
      <c r="U27" s="478">
        <v>0</v>
      </c>
      <c r="V27" s="478">
        <v>1476.5236986301368</v>
      </c>
      <c r="W27" s="479">
        <f t="shared" si="3"/>
        <v>0.23824657534246574</v>
      </c>
    </row>
    <row r="28" spans="3:23" x14ac:dyDescent="0.25">
      <c r="C28" s="473" t="e" vm="7">
        <v>#VALUE!</v>
      </c>
      <c r="D28" s="474" t="s">
        <v>816</v>
      </c>
      <c r="E28" s="474" t="s">
        <v>854</v>
      </c>
      <c r="F28" s="474" t="s">
        <v>818</v>
      </c>
      <c r="G28" s="475" t="s">
        <v>855</v>
      </c>
      <c r="H28" s="473">
        <v>21</v>
      </c>
      <c r="I28" s="476"/>
      <c r="J28" s="476" t="str">
        <f>+IF(G28="Gas","Doesn't Apply",IF(H28&lt;$F$5,$D$5,IF(H28&lt;$F$6,$D$6,IF(H28&lt;$F$7,$D$7,IF(H28&gt;$E$8,$D$8,"Doesn't Apply")))))</f>
        <v>Medium Oil</v>
      </c>
      <c r="K28" s="477">
        <f t="shared" si="0"/>
        <v>5.057041095890412</v>
      </c>
      <c r="L28" s="477">
        <f t="shared" si="1"/>
        <v>2.6139452054794523</v>
      </c>
      <c r="M28" s="477">
        <f t="shared" si="2"/>
        <v>2.4430958904109596</v>
      </c>
      <c r="N28" s="478">
        <v>5.0572054794520547</v>
      </c>
      <c r="O28" s="478">
        <v>0</v>
      </c>
      <c r="P28" s="478">
        <v>0</v>
      </c>
      <c r="Q28" s="478">
        <v>2.4027123287671235</v>
      </c>
      <c r="R28" s="478">
        <v>0.21123287671232879</v>
      </c>
      <c r="S28" s="478">
        <v>0</v>
      </c>
      <c r="T28" s="478">
        <v>0</v>
      </c>
      <c r="U28" s="478">
        <v>2.4430958904109596</v>
      </c>
      <c r="V28" s="478">
        <v>17849.99879452055</v>
      </c>
      <c r="W28" s="479">
        <f t="shared" si="3"/>
        <v>5.057041095890412</v>
      </c>
    </row>
    <row r="29" spans="3:23" x14ac:dyDescent="0.25">
      <c r="C29" s="473" t="e" vm="7">
        <v>#VALUE!</v>
      </c>
      <c r="D29" s="474" t="s">
        <v>816</v>
      </c>
      <c r="E29" s="474" t="s">
        <v>856</v>
      </c>
      <c r="F29" s="474" t="s">
        <v>818</v>
      </c>
      <c r="G29" s="475" t="s">
        <v>857</v>
      </c>
      <c r="H29" s="473">
        <f>20+(25-20)/2</f>
        <v>22.5</v>
      </c>
      <c r="I29" s="476"/>
      <c r="J29" s="476" t="str">
        <f>+IF(G29="Gas","Doesn't Apply",IF(H29&lt;$F$5,$D$5,IF(H29&lt;$F$6,$D$6,IF(H29&lt;$F$7,$D$7,IF(H29&gt;$E$8,$D$8,"Doesn't Apply")))))</f>
        <v>Medium Oil</v>
      </c>
      <c r="K29" s="477">
        <f t="shared" si="0"/>
        <v>6.7767123287671236</v>
      </c>
      <c r="L29" s="477">
        <f t="shared" si="1"/>
        <v>3.0408493150684928</v>
      </c>
      <c r="M29" s="477">
        <f t="shared" si="2"/>
        <v>3.7358630136986304</v>
      </c>
      <c r="N29" s="478">
        <v>6.7767123287671236</v>
      </c>
      <c r="O29" s="478">
        <v>0</v>
      </c>
      <c r="P29" s="478">
        <v>0</v>
      </c>
      <c r="Q29" s="478">
        <v>1.396739726027397</v>
      </c>
      <c r="R29" s="478">
        <v>1.6441095890410957</v>
      </c>
      <c r="S29" s="478">
        <v>3.7358630136986304</v>
      </c>
      <c r="T29" s="478">
        <v>0</v>
      </c>
      <c r="U29" s="478">
        <v>0</v>
      </c>
      <c r="V29" s="478">
        <v>42334.39687671233</v>
      </c>
      <c r="W29" s="479">
        <f t="shared" si="3"/>
        <v>6.7767123287671236</v>
      </c>
    </row>
    <row r="30" spans="3:23" x14ac:dyDescent="0.25">
      <c r="C30" s="473" t="e" vm="8">
        <v>#VALUE!</v>
      </c>
      <c r="D30" s="474" t="s">
        <v>816</v>
      </c>
      <c r="E30" s="474" t="s">
        <v>830</v>
      </c>
      <c r="F30" s="474" t="s">
        <v>831</v>
      </c>
      <c r="G30" s="475" t="s">
        <v>832</v>
      </c>
      <c r="H30" s="473">
        <v>23</v>
      </c>
      <c r="I30" s="476"/>
      <c r="J30" s="476" t="str">
        <f>+IF(I30="Gas","Doesn't Apply",IF(H30&lt;$F$5,$D$5,IF(H30&lt;$F$6,$D$6,IF(H30&lt;$F$7,$D$7,IF(H30&gt;$E$8,$D$8,"Doesn't Apply")))))</f>
        <v>Medium Oil</v>
      </c>
      <c r="K30" s="477">
        <f t="shared" si="0"/>
        <v>1.9274794520547947</v>
      </c>
      <c r="L30" s="477">
        <f t="shared" si="1"/>
        <v>0.33145205479452056</v>
      </c>
      <c r="M30" s="477">
        <f t="shared" si="2"/>
        <v>1.0367123287671232</v>
      </c>
      <c r="N30" s="478">
        <v>1.9275342465753424</v>
      </c>
      <c r="O30" s="478">
        <v>0</v>
      </c>
      <c r="P30" s="478">
        <v>0</v>
      </c>
      <c r="Q30" s="478">
        <v>0.10339726027397263</v>
      </c>
      <c r="R30" s="478">
        <v>0.22805479452054794</v>
      </c>
      <c r="S30" s="478">
        <v>1.5925479452054794</v>
      </c>
      <c r="T30" s="478">
        <v>0.55931506849315071</v>
      </c>
      <c r="U30" s="478">
        <v>3.4794520547945205E-3</v>
      </c>
      <c r="V30" s="478">
        <v>4684.6815890410962</v>
      </c>
      <c r="W30" s="479">
        <f t="shared" si="3"/>
        <v>1.9274794520547947</v>
      </c>
    </row>
    <row r="31" spans="3:23" x14ac:dyDescent="0.25">
      <c r="C31" s="473" t="e" vm="8">
        <v>#VALUE!</v>
      </c>
      <c r="D31" s="474" t="s">
        <v>816</v>
      </c>
      <c r="E31" s="474" t="s">
        <v>833</v>
      </c>
      <c r="F31" s="474" t="s">
        <v>831</v>
      </c>
      <c r="G31" s="475" t="s">
        <v>834</v>
      </c>
      <c r="H31" s="473">
        <v>25.5</v>
      </c>
      <c r="I31" s="476"/>
      <c r="J31" s="476" t="str">
        <f>+IF(I31="Gas","Doesn't Apply",IF(H31&lt;$F$5,$D$5,IF(H31&lt;$F$6,$D$6,IF(H31&lt;$F$7,$D$7,IF(H31&gt;$E$8,$D$8,"Doesn't Apply")))))</f>
        <v>Medium Oil</v>
      </c>
      <c r="K31" s="477">
        <f t="shared" si="0"/>
        <v>0.8670410958904109</v>
      </c>
      <c r="L31" s="477">
        <f t="shared" si="1"/>
        <v>0.8670410958904109</v>
      </c>
      <c r="M31" s="477">
        <f t="shared" si="2"/>
        <v>0</v>
      </c>
      <c r="N31" s="478">
        <v>0.86709589041095891</v>
      </c>
      <c r="O31" s="478">
        <v>0</v>
      </c>
      <c r="P31" s="478">
        <v>0</v>
      </c>
      <c r="Q31" s="478">
        <v>0.45498630136986301</v>
      </c>
      <c r="R31" s="478">
        <v>0.41205479452054788</v>
      </c>
      <c r="S31" s="478">
        <v>0</v>
      </c>
      <c r="T31" s="478">
        <v>0</v>
      </c>
      <c r="U31" s="478">
        <v>0</v>
      </c>
      <c r="V31" s="478">
        <v>4154.1152328767121</v>
      </c>
      <c r="W31" s="479">
        <f t="shared" si="3"/>
        <v>0.8670410958904109</v>
      </c>
    </row>
    <row r="32" spans="3:23" x14ac:dyDescent="0.25">
      <c r="C32" s="473" t="e" vm="8">
        <v>#VALUE!</v>
      </c>
      <c r="D32" s="474" t="s">
        <v>816</v>
      </c>
      <c r="E32" s="474" t="s">
        <v>835</v>
      </c>
      <c r="F32" s="474" t="s">
        <v>831</v>
      </c>
      <c r="G32" s="480" t="s">
        <v>836</v>
      </c>
      <c r="H32" s="473">
        <v>21</v>
      </c>
      <c r="I32" s="476"/>
      <c r="J32" s="476" t="str">
        <f>+IF(I32="Gas","Doesn't Apply",IF(H32&lt;$F$5,$D$5,IF(H32&lt;$F$6,$D$6,IF(H32&lt;$F$7,$D$7,IF(H32&gt;$E$8,$D$8,"Doesn't Apply")))))</f>
        <v>Medium Oil</v>
      </c>
      <c r="K32" s="477">
        <f t="shared" si="0"/>
        <v>1.1906575342465753</v>
      </c>
      <c r="L32" s="477">
        <f t="shared" si="1"/>
        <v>1.5506849315068495E-2</v>
      </c>
      <c r="M32" s="477">
        <f t="shared" si="2"/>
        <v>0.64550684931506841</v>
      </c>
      <c r="N32" s="478">
        <v>1.1908493150684931</v>
      </c>
      <c r="O32" s="478">
        <v>0</v>
      </c>
      <c r="P32" s="478">
        <v>0</v>
      </c>
      <c r="Q32" s="478">
        <v>0</v>
      </c>
      <c r="R32" s="478">
        <v>1.5506849315068495E-2</v>
      </c>
      <c r="S32" s="478">
        <v>1.1751506849315068</v>
      </c>
      <c r="T32" s="478">
        <v>0.52964383561643835</v>
      </c>
      <c r="U32" s="478">
        <v>0</v>
      </c>
      <c r="V32" s="478">
        <v>3941.1335068493149</v>
      </c>
      <c r="W32" s="479">
        <f t="shared" si="3"/>
        <v>1.1906575342465753</v>
      </c>
    </row>
    <row r="33" spans="6:22" x14ac:dyDescent="0.25">
      <c r="L33" s="75"/>
    </row>
    <row r="34" spans="6:22" x14ac:dyDescent="0.25">
      <c r="V34" s="75"/>
    </row>
    <row r="37" spans="6:22" x14ac:dyDescent="0.25">
      <c r="G37" s="559" t="s">
        <v>51</v>
      </c>
      <c r="H37" s="559"/>
      <c r="J37" s="609" t="s">
        <v>271</v>
      </c>
      <c r="K37" s="609"/>
    </row>
    <row r="38" spans="6:22" x14ac:dyDescent="0.25">
      <c r="F38" s="474"/>
      <c r="H38" s="63"/>
      <c r="K38" s="63"/>
    </row>
    <row r="39" spans="6:22" x14ac:dyDescent="0.25">
      <c r="F39" s="474" t="s">
        <v>838</v>
      </c>
      <c r="G39">
        <f t="shared" ref="G39:G43" si="5">+SUMIF($F$13:$F$32,$F39,$M$13:$M$32)</f>
        <v>179.22638356164384</v>
      </c>
      <c r="H39" s="63">
        <f t="shared" ref="H39:H43" si="6">+G39/$G$44</f>
        <v>0.22736062804688442</v>
      </c>
      <c r="J39">
        <f>+SUMIF($F$13:$F$32,F39,$V$13:$V$32)</f>
        <v>0</v>
      </c>
      <c r="K39" s="63">
        <f t="shared" ref="K39:K43" si="7">+J39/$J$44</f>
        <v>0</v>
      </c>
    </row>
    <row r="40" spans="6:22" x14ac:dyDescent="0.25">
      <c r="F40" s="474" t="s">
        <v>823</v>
      </c>
      <c r="G40">
        <f t="shared" si="5"/>
        <v>601.2036438356165</v>
      </c>
      <c r="H40" s="63">
        <f>+G40/$G$44</f>
        <v>0.76266694294775783</v>
      </c>
      <c r="J40">
        <f>+SUMIF($F$13:$F$32,F40,$V$13:$V$32)</f>
        <v>368695.16235616436</v>
      </c>
      <c r="K40" s="63">
        <f t="shared" si="7"/>
        <v>0.80638904651418819</v>
      </c>
    </row>
    <row r="41" spans="6:22" x14ac:dyDescent="0.25">
      <c r="F41" s="474" t="s">
        <v>853</v>
      </c>
      <c r="G41">
        <f t="shared" si="5"/>
        <v>0</v>
      </c>
      <c r="H41" s="63">
        <f t="shared" si="6"/>
        <v>0</v>
      </c>
      <c r="J41">
        <f>+SUMIF($F$13:$F$32,F41,$V$13:$V$32)</f>
        <v>1962.0646849315069</v>
      </c>
      <c r="K41" s="63">
        <f t="shared" si="7"/>
        <v>4.2913160573359111E-3</v>
      </c>
    </row>
    <row r="42" spans="6:22" x14ac:dyDescent="0.25">
      <c r="F42" s="474" t="s">
        <v>818</v>
      </c>
      <c r="G42">
        <f t="shared" si="5"/>
        <v>6.1789589041095905</v>
      </c>
      <c r="H42" s="63">
        <f t="shared" si="6"/>
        <v>7.8384217166947122E-3</v>
      </c>
      <c r="J42">
        <f>+SUMIF($F$13:$F$32,F42,$V$13:$V$32)</f>
        <v>73780.315945205512</v>
      </c>
      <c r="K42" s="63">
        <f t="shared" si="7"/>
        <v>0.1613681021642922</v>
      </c>
    </row>
    <row r="43" spans="6:22" x14ac:dyDescent="0.25">
      <c r="F43" s="474" t="s">
        <v>831</v>
      </c>
      <c r="G43">
        <f t="shared" si="5"/>
        <v>1.6822191780821916</v>
      </c>
      <c r="H43" s="63">
        <f t="shared" si="6"/>
        <v>2.1340072886631245E-3</v>
      </c>
      <c r="J43">
        <f>+SUMIF($F$13:$F$32,F43,$V$13:$V$32)</f>
        <v>12779.930328767123</v>
      </c>
      <c r="K43" s="63">
        <f t="shared" si="7"/>
        <v>2.7951535264183737E-2</v>
      </c>
    </row>
    <row r="44" spans="6:22" x14ac:dyDescent="0.25">
      <c r="G44" s="144">
        <f>+SUM(G38:G43)</f>
        <v>788.29120547945206</v>
      </c>
      <c r="H44" s="144"/>
      <c r="I44" s="144"/>
      <c r="J44" s="144">
        <f>+SUM(J38:J43)</f>
        <v>457217.47331506846</v>
      </c>
      <c r="K44" s="144"/>
    </row>
    <row r="58" spans="5:15" x14ac:dyDescent="0.25">
      <c r="G58" t="s">
        <v>816</v>
      </c>
      <c r="L58" t="s">
        <v>858</v>
      </c>
    </row>
    <row r="59" spans="5:15" x14ac:dyDescent="0.25">
      <c r="E59" s="481" t="e" vm="6">
        <v>#VALUE!</v>
      </c>
      <c r="F59" s="357" t="s">
        <v>859</v>
      </c>
      <c r="G59" s="482">
        <v>14656.498438356164</v>
      </c>
      <c r="K59" s="483">
        <v>2.8564827826612956E-2</v>
      </c>
      <c r="L59" s="357">
        <f>+SUMIF($C$13:C32,E59,V$13:V$32)</f>
        <v>13595.920273972637</v>
      </c>
      <c r="M59" s="357"/>
      <c r="N59" s="484">
        <f t="shared" ref="N59:N71" si="8">+G59-L59</f>
        <v>1060.5781643835271</v>
      </c>
      <c r="O59" s="483">
        <f t="shared" ref="O59:O71" si="9">+N59/G59</f>
        <v>7.2362315517872006E-2</v>
      </c>
    </row>
    <row r="60" spans="5:15" x14ac:dyDescent="0.25">
      <c r="E60" s="481" t="e" vm="3">
        <v>#VALUE!</v>
      </c>
      <c r="F60" s="357" t="s">
        <v>860</v>
      </c>
      <c r="G60" s="482">
        <v>49873.263342465754</v>
      </c>
      <c r="K60" s="483">
        <v>9.7200650381855019E-2</v>
      </c>
      <c r="L60" s="357">
        <f ca="1">+SUMIF($C$13:C33,E60,V$13:V$32)</f>
        <v>45006.501780821927</v>
      </c>
      <c r="M60" s="357"/>
      <c r="N60" s="484">
        <f t="shared" ca="1" si="8"/>
        <v>4866.761561643827</v>
      </c>
      <c r="O60" s="483">
        <f t="shared" ca="1" si="9"/>
        <v>9.758257702579308E-2</v>
      </c>
    </row>
    <row r="61" spans="5:15" x14ac:dyDescent="0.25">
      <c r="F61" t="s">
        <v>861</v>
      </c>
      <c r="G61" s="283">
        <v>2877.3214794520545</v>
      </c>
      <c r="K61" s="63">
        <v>5.6077645699651466E-3</v>
      </c>
      <c r="L61">
        <f ca="1">+SUMIF($C$13:C34,E61,V$13:V$32)</f>
        <v>0</v>
      </c>
      <c r="N61" s="291">
        <f t="shared" ca="1" si="8"/>
        <v>2877.3214794520545</v>
      </c>
      <c r="O61" s="63">
        <f t="shared" ca="1" si="9"/>
        <v>1</v>
      </c>
    </row>
    <row r="62" spans="5:15" x14ac:dyDescent="0.25">
      <c r="F62" t="s">
        <v>862</v>
      </c>
      <c r="G62" s="283">
        <v>63.741945205479446</v>
      </c>
      <c r="K62" s="63">
        <v>1.2423006066462157E-4</v>
      </c>
      <c r="L62">
        <f ca="1">+SUMIF($C$13:C35,E62,V$13:V$32)</f>
        <v>0</v>
      </c>
      <c r="N62" s="291">
        <f t="shared" ca="1" si="8"/>
        <v>63.741945205479446</v>
      </c>
      <c r="O62" s="63">
        <f t="shared" ca="1" si="9"/>
        <v>1</v>
      </c>
    </row>
    <row r="63" spans="5:15" x14ac:dyDescent="0.25">
      <c r="E63" s="481" t="e" vm="8">
        <v>#VALUE!</v>
      </c>
      <c r="F63" s="357" t="s">
        <v>863</v>
      </c>
      <c r="G63" s="482">
        <v>23392.562712328774</v>
      </c>
      <c r="K63" s="483">
        <v>4.5591007232138166E-2</v>
      </c>
      <c r="L63" s="357">
        <f ca="1">+SUMIF($C$13:C36,E63,V$13:V$32)</f>
        <v>12779.930328767123</v>
      </c>
      <c r="M63" s="357"/>
      <c r="N63" s="484">
        <f t="shared" ca="1" si="8"/>
        <v>10612.632383561651</v>
      </c>
      <c r="O63" s="483">
        <f t="shared" ca="1" si="9"/>
        <v>0.45367549139745977</v>
      </c>
    </row>
    <row r="64" spans="5:15" x14ac:dyDescent="0.25">
      <c r="E64" s="481" t="e" vm="4">
        <v>#VALUE!</v>
      </c>
      <c r="F64" s="357" t="s">
        <v>864</v>
      </c>
      <c r="G64" s="482">
        <v>351063.42304109584</v>
      </c>
      <c r="K64" s="483">
        <v>0.68420614088469911</v>
      </c>
      <c r="L64" s="357">
        <f ca="1">+SUMIF($C$13:C37,E64,V$13:V$32)</f>
        <v>323688.66057534254</v>
      </c>
      <c r="M64" s="357"/>
      <c r="N64" s="484">
        <f t="shared" ca="1" si="8"/>
        <v>27374.762465753302</v>
      </c>
      <c r="O64" s="483">
        <f t="shared" ca="1" si="9"/>
        <v>7.7976686459155231E-2</v>
      </c>
    </row>
    <row r="65" spans="5:15" x14ac:dyDescent="0.25">
      <c r="E65" s="481" t="e" vm="2">
        <v>#VALUE!</v>
      </c>
      <c r="F65" s="357" t="s">
        <v>865</v>
      </c>
      <c r="G65" s="482">
        <v>1502.4393150684932</v>
      </c>
      <c r="K65" s="483">
        <v>2.9281837360656286E-3</v>
      </c>
      <c r="L65" s="357">
        <f ca="1">+SUMIF($C$13:C38,E65,V$13:V$32)</f>
        <v>0</v>
      </c>
      <c r="M65" s="357"/>
      <c r="N65" s="484">
        <f t="shared" ca="1" si="8"/>
        <v>1502.4393150684932</v>
      </c>
      <c r="O65" s="483">
        <f t="shared" ca="1" si="9"/>
        <v>1</v>
      </c>
    </row>
    <row r="66" spans="5:15" x14ac:dyDescent="0.25">
      <c r="E66" s="481" t="e" vm="5">
        <v>#VALUE!</v>
      </c>
      <c r="F66" s="357" t="s">
        <v>866</v>
      </c>
      <c r="G66" s="482">
        <v>5907.8353698630135</v>
      </c>
      <c r="K66" s="483">
        <v>1.1514093961656952E-2</v>
      </c>
      <c r="L66" s="357">
        <f ca="1">+SUMIF($C$13:C39,E66,V$13:V$32)</f>
        <v>1962.0646849315069</v>
      </c>
      <c r="M66" s="357"/>
      <c r="N66" s="484">
        <f t="shared" ca="1" si="8"/>
        <v>3945.7706849315064</v>
      </c>
      <c r="O66" s="483">
        <f t="shared" ca="1" si="9"/>
        <v>0.66788771824273063</v>
      </c>
    </row>
    <row r="67" spans="5:15" x14ac:dyDescent="0.25">
      <c r="F67" t="s">
        <v>861</v>
      </c>
      <c r="G67" s="283">
        <v>2877.3214794520545</v>
      </c>
      <c r="K67" s="63">
        <v>5.6077645699651466E-3</v>
      </c>
      <c r="L67">
        <f ca="1">+SUMIF($C$13:C40,E67,V$13:V$32)</f>
        <v>0</v>
      </c>
      <c r="N67" s="291">
        <f t="shared" ca="1" si="8"/>
        <v>2877.3214794520545</v>
      </c>
      <c r="O67" s="63">
        <f t="shared" ca="1" si="9"/>
        <v>1</v>
      </c>
    </row>
    <row r="68" spans="5:15" x14ac:dyDescent="0.25">
      <c r="E68" s="481" t="e" vm="7">
        <v>#VALUE!</v>
      </c>
      <c r="F68" s="357" t="s">
        <v>867</v>
      </c>
      <c r="G68" s="482">
        <v>56937.26830136987</v>
      </c>
      <c r="K68" s="483">
        <v>0.11096806462926974</v>
      </c>
      <c r="L68" s="357">
        <f ca="1">+SUMIF($C$13:C41,E68,V$13:V$32)</f>
        <v>60184.39567123288</v>
      </c>
      <c r="M68" s="357"/>
      <c r="N68" s="484">
        <f t="shared" ca="1" si="8"/>
        <v>-3247.1273698630102</v>
      </c>
      <c r="O68" s="483">
        <f t="shared" ca="1" si="9"/>
        <v>-5.7029911457569638E-2</v>
      </c>
    </row>
    <row r="69" spans="5:15" x14ac:dyDescent="0.25">
      <c r="F69" t="s">
        <v>868</v>
      </c>
      <c r="G69" s="283">
        <v>33.721452054794518</v>
      </c>
      <c r="K69" s="63">
        <v>6.5721527966581929E-5</v>
      </c>
      <c r="L69">
        <f ca="1">+SUMIF($C$13:C42,E69,V$13:V$32)</f>
        <v>0</v>
      </c>
      <c r="N69" s="291">
        <f t="shared" ca="1" si="8"/>
        <v>33.721452054794518</v>
      </c>
      <c r="O69" s="63">
        <f t="shared" ca="1" si="9"/>
        <v>1</v>
      </c>
    </row>
    <row r="70" spans="5:15" x14ac:dyDescent="0.25">
      <c r="F70" t="s">
        <v>869</v>
      </c>
      <c r="G70" s="283">
        <v>3910.58701369863</v>
      </c>
      <c r="K70" s="63">
        <v>7.6215506191408197E-3</v>
      </c>
      <c r="L70">
        <f ca="1">+SUMIF($C$13:C43,E70,V$13:V$32)</f>
        <v>0</v>
      </c>
      <c r="N70" s="291">
        <f t="shared" ca="1" si="8"/>
        <v>3910.58701369863</v>
      </c>
      <c r="O70" s="63">
        <f t="shared" ca="1" si="9"/>
        <v>1</v>
      </c>
    </row>
    <row r="71" spans="5:15" x14ac:dyDescent="0.25">
      <c r="E71" s="481" t="e" vm="9">
        <v>#VALUE!</v>
      </c>
      <c r="F71" s="357" t="s">
        <v>870</v>
      </c>
      <c r="G71" s="482">
        <v>14709.643945205482</v>
      </c>
      <c r="K71" s="483">
        <v>2.8668405926067869E-2</v>
      </c>
      <c r="L71" s="357">
        <f ca="1">+SUMIF($C$13:C44,E71,V$13:V$32)</f>
        <v>0</v>
      </c>
      <c r="M71" s="357"/>
      <c r="N71" s="484">
        <f t="shared" ca="1" si="8"/>
        <v>14709.643945205482</v>
      </c>
      <c r="O71" s="483">
        <f t="shared" ca="1" si="9"/>
        <v>1</v>
      </c>
    </row>
    <row r="72" spans="5:15" x14ac:dyDescent="0.25">
      <c r="G72">
        <v>513095.98389041098</v>
      </c>
      <c r="L72">
        <f ca="1">+SUM(L59:L71)</f>
        <v>457217.47331506864</v>
      </c>
    </row>
  </sheetData>
  <autoFilter ref="C12:W12" xr:uid="{D832BB43-6825-4DB9-BDA5-BAD8B9C7CF26}">
    <sortState xmlns:xlrd2="http://schemas.microsoft.com/office/spreadsheetml/2017/richdata2" ref="C13:W32">
      <sortCondition ref="F12"/>
    </sortState>
  </autoFilter>
  <mergeCells count="6">
    <mergeCell ref="D2:H2"/>
    <mergeCell ref="E3:F3"/>
    <mergeCell ref="G3:H3"/>
    <mergeCell ref="N11:U11"/>
    <mergeCell ref="J37:K37"/>
    <mergeCell ref="G37:H37"/>
  </mergeCells>
  <conditionalFormatting sqref="F13:F32">
    <cfRule type="containsBlanks" dxfId="33" priority="18">
      <formula>LEN(TRIM(F13))=0</formula>
    </cfRule>
  </conditionalFormatting>
  <conditionalFormatting sqref="H13:I24">
    <cfRule type="containsText" dxfId="32" priority="15" operator="containsText" text="Oil and Gas">
      <formula>NOT(ISERROR(SEARCH("Oil and Gas",H13)))</formula>
    </cfRule>
    <cfRule type="containsText" dxfId="31" priority="16" operator="containsText" text="Gas">
      <formula>NOT(ISERROR(SEARCH("Gas",H13)))</formula>
    </cfRule>
    <cfRule type="containsText" dxfId="30" priority="17" operator="containsText" text="Oil">
      <formula>NOT(ISERROR(SEARCH("Oil",H13)))</formula>
    </cfRule>
  </conditionalFormatting>
  <conditionalFormatting sqref="H25:I32">
    <cfRule type="containsText" dxfId="29" priority="8" operator="containsText" text="Oil and Gas">
      <formula>NOT(ISERROR(SEARCH("Oil and Gas",H25)))</formula>
    </cfRule>
    <cfRule type="containsText" dxfId="28" priority="9" operator="containsText" text="Gas">
      <formula>NOT(ISERROR(SEARCH("Gas",H25)))</formula>
    </cfRule>
    <cfRule type="containsText" dxfId="27" priority="10" operator="containsText" text="Oil">
      <formula>NOT(ISERROR(SEARCH("Oil",H25)))</formula>
    </cfRule>
  </conditionalFormatting>
  <conditionalFormatting sqref="N13:V32">
    <cfRule type="cellIs" dxfId="26" priority="7" operator="equal">
      <formula>0</formula>
    </cfRule>
  </conditionalFormatting>
  <conditionalFormatting sqref="F38">
    <cfRule type="containsBlanks" dxfId="25" priority="6">
      <formula>LEN(TRIM(F38))=0</formula>
    </cfRule>
  </conditionalFormatting>
  <conditionalFormatting sqref="F39">
    <cfRule type="containsBlanks" dxfId="24" priority="5">
      <formula>LEN(TRIM(F39))=0</formula>
    </cfRule>
  </conditionalFormatting>
  <conditionalFormatting sqref="F40">
    <cfRule type="containsBlanks" dxfId="23" priority="4">
      <formula>LEN(TRIM(F40))=0</formula>
    </cfRule>
  </conditionalFormatting>
  <conditionalFormatting sqref="F41">
    <cfRule type="containsBlanks" dxfId="22" priority="3">
      <formula>LEN(TRIM(F41))=0</formula>
    </cfRule>
  </conditionalFormatting>
  <conditionalFormatting sqref="F42">
    <cfRule type="containsBlanks" dxfId="21" priority="2">
      <formula>LEN(TRIM(F42))=0</formula>
    </cfRule>
  </conditionalFormatting>
  <conditionalFormatting sqref="F43">
    <cfRule type="containsBlanks" dxfId="20" priority="1">
      <formula>LEN(TRIM(F43))=0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1" operator="containsText" id="{FA181B8E-3081-4759-8680-0978FCDBD20D}">
            <xm:f>NOT(ISERROR(SEARCH($D$8,D5)))</xm:f>
            <xm:f>$D$8</xm:f>
            <x14:dxf>
              <fill>
                <patternFill>
                  <bgColor theme="7" tint="0.79998168889431442"/>
                </patternFill>
              </fill>
            </x14:dxf>
          </x14:cfRule>
          <x14:cfRule type="containsText" priority="12" operator="containsText" id="{01478A4B-6470-4D8B-9904-7F30BA2485FF}">
            <xm:f>NOT(ISERROR(SEARCH($D$7,D5)))</xm:f>
            <xm:f>$D$7</xm:f>
            <x14:dxf>
              <fill>
                <patternFill>
                  <bgColor theme="5" tint="0.79998168889431442"/>
                </patternFill>
              </fill>
            </x14:dxf>
          </x14:cfRule>
          <x14:cfRule type="containsText" priority="13" operator="containsText" id="{BF02526D-F1BE-4EF8-A335-AE750799D103}">
            <xm:f>NOT(ISERROR(SEARCH($D$6,D5)))</xm:f>
            <xm:f>$D$6</xm:f>
            <x14:dxf>
              <fill>
                <patternFill>
                  <bgColor theme="0" tint="-0.24994659260841701"/>
                </patternFill>
              </fill>
            </x14:dxf>
          </x14:cfRule>
          <x14:cfRule type="containsText" priority="14" operator="containsText" id="{4219A890-B344-44A7-B2B2-C120FC3A2548}">
            <xm:f>NOT(ISERROR(SEARCH($D$5,D5)))</xm:f>
            <xm:f>$D$5</xm:f>
            <x14:dxf>
              <fill>
                <patternFill>
                  <bgColor theme="0" tint="-0.34998626667073579"/>
                </patternFill>
              </fill>
            </x14:dxf>
          </x14:cfRule>
          <xm:sqref>D5:D10 J13:J32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1449D-B09A-4AEA-A675-02323E058D80}">
  <dimension ref="C4:AB192"/>
  <sheetViews>
    <sheetView showGridLines="0" tabSelected="1" topLeftCell="K137" workbookViewId="0">
      <selection activeCell="P169" sqref="P169"/>
    </sheetView>
  </sheetViews>
  <sheetFormatPr baseColWidth="10" defaultRowHeight="15" x14ac:dyDescent="0.25"/>
  <cols>
    <col min="4" max="4" width="26.5703125" customWidth="1"/>
    <col min="12" max="12" width="27.140625" customWidth="1"/>
    <col min="13" max="13" width="17" customWidth="1"/>
    <col min="14" max="14" width="24.5703125" customWidth="1"/>
    <col min="15" max="15" width="27.28515625" customWidth="1"/>
    <col min="16" max="16" width="30.5703125" customWidth="1"/>
    <col min="17" max="17" width="15.28515625" customWidth="1"/>
    <col min="18" max="18" width="14.42578125" customWidth="1"/>
    <col min="19" max="19" width="16.85546875" customWidth="1"/>
    <col min="20" max="20" width="18.85546875" customWidth="1"/>
    <col min="21" max="22" width="20.28515625" customWidth="1"/>
  </cols>
  <sheetData>
    <row r="4" spans="3:28" x14ac:dyDescent="0.25">
      <c r="E4" s="19" t="str">
        <f>'Bases de Cálculo'!F3</f>
        <v>PCI</v>
      </c>
      <c r="F4" s="19" t="str">
        <f>'Bases de Cálculo'!G3</f>
        <v>F.E. CO2eq</v>
      </c>
      <c r="T4" s="20" t="s">
        <v>920</v>
      </c>
      <c r="U4" s="20" t="s">
        <v>920</v>
      </c>
      <c r="V4" s="486" t="s">
        <v>557</v>
      </c>
    </row>
    <row r="5" spans="3:28" ht="30" x14ac:dyDescent="0.25">
      <c r="E5" s="19"/>
      <c r="F5" s="19" t="str">
        <f>'Bases de Cálculo'!G4</f>
        <v>kt/PJ</v>
      </c>
      <c r="L5" s="470" t="str">
        <f>'5. 2019 O&amp;G'!C12</f>
        <v>Deparment</v>
      </c>
      <c r="M5" s="470" t="str">
        <f>'5. 2019 O&amp;G'!D12</f>
        <v>Company</v>
      </c>
      <c r="N5" s="470" t="str">
        <f>'5. 2019 O&amp;G'!E12</f>
        <v>City-town-location</v>
      </c>
      <c r="O5" s="470" t="str">
        <f>'5. 2019 O&amp;G'!F12</f>
        <v>Basin</v>
      </c>
      <c r="P5" s="470" t="str">
        <f>'5. 2019 O&amp;G'!G12</f>
        <v>Oilfield</v>
      </c>
      <c r="Q5" s="471" t="str">
        <f>'5. 2019 O&amp;G'!H12</f>
        <v>API Gravity</v>
      </c>
      <c r="R5" s="471">
        <f>'5. 2019 O&amp;G'!I12</f>
        <v>0</v>
      </c>
      <c r="S5" s="471" t="str">
        <f>'5. 2019 O&amp;G'!J12</f>
        <v>Type of Oil producing</v>
      </c>
      <c r="T5" s="472" t="str">
        <f>'5. 2019 O&amp;G'!K12</f>
        <v>GFISCA</v>
      </c>
      <c r="U5" s="472" t="str">
        <f>'5. 2019 O&amp;G'!W12</f>
        <v>GFISC - GREI</v>
      </c>
      <c r="V5" s="470" t="s">
        <v>921</v>
      </c>
      <c r="W5" s="470" t="s">
        <v>810</v>
      </c>
      <c r="Y5" s="470" t="s">
        <v>809</v>
      </c>
      <c r="Z5" s="470" t="s">
        <v>811</v>
      </c>
      <c r="AA5" s="470" t="s">
        <v>812</v>
      </c>
      <c r="AB5" s="470" t="s">
        <v>813</v>
      </c>
    </row>
    <row r="6" spans="3:28" x14ac:dyDescent="0.25">
      <c r="D6" t="str">
        <f>'Bases de Cálculo'!B5</f>
        <v>Energético</v>
      </c>
      <c r="E6" s="19" t="str">
        <f>'Bases de Cálculo'!F5</f>
        <v>TJ/kbl*</v>
      </c>
      <c r="F6" s="19" t="str">
        <f>'Bases de Cálculo'!G5</f>
        <v>t/TJ</v>
      </c>
      <c r="L6" s="473" t="e" vm="1">
        <f>'5. 2019 O&amp;G'!C13</f>
        <v>#VALUE!</v>
      </c>
      <c r="M6" s="474" t="str">
        <f>'5. 2019 O&amp;G'!D13</f>
        <v>ECP</v>
      </c>
      <c r="N6" s="474" t="str">
        <f>'5. 2019 O&amp;G'!E13</f>
        <v>Manaure</v>
      </c>
      <c r="O6" s="474" t="str">
        <f>'5. 2019 O&amp;G'!F13</f>
        <v>Guajira</v>
      </c>
      <c r="P6" s="475" t="str">
        <f>'5. 2019 O&amp;G'!G13</f>
        <v>Chuchupa</v>
      </c>
      <c r="Q6" s="473" t="str">
        <f>'5. 2019 O&amp;G'!H13</f>
        <v>-</v>
      </c>
      <c r="R6" s="476" t="str">
        <f>'5. 2019 O&amp;G'!I13</f>
        <v>GAS</v>
      </c>
      <c r="S6" s="476" t="str">
        <f>'5. 2019 O&amp;G'!J13</f>
        <v>Doesn't Apply</v>
      </c>
      <c r="T6" s="477">
        <f>'5. 2019 O&amp;G'!K13</f>
        <v>162.95282191780822</v>
      </c>
      <c r="U6" s="479">
        <f>'5. 2019 O&amp;G'!W13</f>
        <v>162.95282191780822</v>
      </c>
      <c r="V6" s="478">
        <v>0</v>
      </c>
      <c r="W6" s="478">
        <v>0.22493150684931507</v>
      </c>
      <c r="Y6" s="478">
        <v>6.5319452054794507</v>
      </c>
      <c r="Z6" s="478">
        <v>13.287095890410958</v>
      </c>
      <c r="AA6" s="478">
        <v>0</v>
      </c>
      <c r="AB6" s="478">
        <v>142.90884931506849</v>
      </c>
    </row>
    <row r="7" spans="3:28" x14ac:dyDescent="0.25">
      <c r="C7" s="19" t="str">
        <f>'Bases de Cálculo'!E6</f>
        <v>GAS</v>
      </c>
      <c r="D7" s="143" t="str">
        <f>'Bases de Cálculo'!B6</f>
        <v>Gas Natural</v>
      </c>
      <c r="E7" s="311">
        <f>'Bases de Cálculo'!F6</f>
        <v>1.0095573442026637</v>
      </c>
      <c r="F7" s="312">
        <f>'Bases de Cálculo'!G6</f>
        <v>55.539114956987063</v>
      </c>
      <c r="L7" s="473" t="e" vm="1">
        <f>'5. 2019 O&amp;G'!C14</f>
        <v>#VALUE!</v>
      </c>
      <c r="M7" s="474" t="str">
        <f>'5. 2019 O&amp;G'!D14</f>
        <v>ECP</v>
      </c>
      <c r="N7" s="474" t="str">
        <f>'5. 2019 O&amp;G'!E14</f>
        <v>Manaure</v>
      </c>
      <c r="O7" s="474" t="str">
        <f>'5. 2019 O&amp;G'!F14</f>
        <v>Guajira</v>
      </c>
      <c r="P7" s="475" t="str">
        <f>'5. 2019 O&amp;G'!G14</f>
        <v>Ballena</v>
      </c>
      <c r="Q7" s="473" t="str">
        <f>'5. 2019 O&amp;G'!H14</f>
        <v>-</v>
      </c>
      <c r="R7" s="476" t="str">
        <f>'5. 2019 O&amp;G'!I14</f>
        <v>GAS</v>
      </c>
      <c r="S7" s="476" t="str">
        <f>'5. 2019 O&amp;G'!J14</f>
        <v>Doesn't Apply</v>
      </c>
      <c r="T7" s="477">
        <f>'5. 2019 O&amp;G'!K14</f>
        <v>23.174410958904112</v>
      </c>
      <c r="U7" s="479">
        <f>'5. 2019 O&amp;G'!W14</f>
        <v>23.174410958904112</v>
      </c>
      <c r="V7" s="478">
        <v>0</v>
      </c>
      <c r="W7" s="478">
        <v>2.701369863013699E-2</v>
      </c>
      <c r="Y7" s="478">
        <v>0.11695890410958903</v>
      </c>
      <c r="Z7" s="478">
        <v>1.9608219178082194</v>
      </c>
      <c r="AA7" s="478">
        <v>0</v>
      </c>
      <c r="AB7" s="478">
        <v>21.069616438356167</v>
      </c>
    </row>
    <row r="8" spans="3:28" x14ac:dyDescent="0.25">
      <c r="C8" s="19" t="str">
        <f>'Bases de Cálculo'!E7</f>
        <v>LOIL</v>
      </c>
      <c r="D8" s="143" t="str">
        <f>'Bases de Cálculo'!B7</f>
        <v>Petróleo liviano</v>
      </c>
      <c r="E8" s="311">
        <f>'Bases de Cálculo'!F7</f>
        <v>6.0871741676095334</v>
      </c>
      <c r="F8" s="312">
        <f>'Bases de Cálculo'!G7</f>
        <v>77.841777688967127</v>
      </c>
      <c r="L8" s="473" t="e" vm="2">
        <f>'5. 2019 O&amp;G'!C15</f>
        <v>#VALUE!</v>
      </c>
      <c r="M8" s="474" t="str">
        <f>'5. 2019 O&amp;G'!D15</f>
        <v>ECP</v>
      </c>
      <c r="N8" s="474" t="str">
        <f>'5. 2019 O&amp;G'!E15</f>
        <v>Toledo</v>
      </c>
      <c r="O8" s="474" t="str">
        <f>'5. 2019 O&amp;G'!F15</f>
        <v>Llanos Orientales</v>
      </c>
      <c r="P8" s="475" t="str">
        <f>'5. 2019 O&amp;G'!G15</f>
        <v>Gibraltar</v>
      </c>
      <c r="Q8" s="473" t="str">
        <f>'5. 2019 O&amp;G'!H15</f>
        <v>-</v>
      </c>
      <c r="R8" s="476" t="str">
        <f>'5. 2019 O&amp;G'!I15</f>
        <v>GAS</v>
      </c>
      <c r="S8" s="476" t="str">
        <f>'5. 2019 O&amp;G'!J15</f>
        <v>Doesn't Apply</v>
      </c>
      <c r="T8" s="477">
        <f>'5. 2019 O&amp;G'!K15</f>
        <v>35.569315068493154</v>
      </c>
      <c r="U8" s="479">
        <f>'5. 2019 O&amp;G'!W15</f>
        <v>35.569315068493154</v>
      </c>
      <c r="V8" s="478">
        <v>0</v>
      </c>
      <c r="W8" s="478">
        <v>0</v>
      </c>
      <c r="Y8" s="478">
        <v>0</v>
      </c>
      <c r="Z8" s="478">
        <v>35.569315068493154</v>
      </c>
      <c r="AA8" s="478">
        <v>3.5723835616438366</v>
      </c>
      <c r="AB8" s="478">
        <v>0</v>
      </c>
    </row>
    <row r="9" spans="3:28" x14ac:dyDescent="0.25">
      <c r="C9" s="19" t="str">
        <f>'Bases de Cálculo'!E8</f>
        <v>MOIL</v>
      </c>
      <c r="D9" s="148" t="str">
        <f>'Bases de Cálculo'!B8</f>
        <v>Petróleo mediano</v>
      </c>
      <c r="E9" s="122">
        <f>+E8</f>
        <v>6.0871741676095334</v>
      </c>
      <c r="F9" s="313">
        <f>+F8</f>
        <v>77.841777688967127</v>
      </c>
      <c r="L9" s="473" t="e" vm="3">
        <f>'5. 2019 O&amp;G'!C16</f>
        <v>#VALUE!</v>
      </c>
      <c r="M9" s="474" t="str">
        <f>'5. 2019 O&amp;G'!D16</f>
        <v>ECP</v>
      </c>
      <c r="N9" s="474" t="str">
        <f>'5. 2019 O&amp;G'!E16</f>
        <v>Aguazul</v>
      </c>
      <c r="O9" s="474" t="str">
        <f>'5. 2019 O&amp;G'!F16</f>
        <v>Llanos Orientales</v>
      </c>
      <c r="P9" s="475" t="str">
        <f>'5. 2019 O&amp;G'!G16</f>
        <v>Cupiagua (Cupiagua + Liria + Sur)</v>
      </c>
      <c r="Q9" s="473">
        <f>'5. 2019 O&amp;G'!H16</f>
        <v>48</v>
      </c>
      <c r="R9" s="476"/>
      <c r="S9" s="476" t="str">
        <f>'5. 2019 O&amp;G'!J16</f>
        <v>Light Oil</v>
      </c>
      <c r="T9" s="477">
        <f>'5. 2019 O&amp;G'!K16</f>
        <v>649.48632876712327</v>
      </c>
      <c r="U9" s="479">
        <f>'5. 2019 O&amp;G'!W16</f>
        <v>253.10243835616438</v>
      </c>
      <c r="V9" s="478">
        <v>10231.853999999999</v>
      </c>
      <c r="W9" s="478">
        <v>2.2383835616438361</v>
      </c>
      <c r="Y9" s="478">
        <v>38.275260273972606</v>
      </c>
      <c r="Z9" s="478">
        <v>16.510794520547947</v>
      </c>
      <c r="AA9" s="478">
        <v>8.2636712328767121</v>
      </c>
      <c r="AB9" s="478">
        <v>196.07800000000003</v>
      </c>
    </row>
    <row r="10" spans="3:28" x14ac:dyDescent="0.25">
      <c r="C10" s="19" t="str">
        <f>'Bases de Cálculo'!E9</f>
        <v>HOIL</v>
      </c>
      <c r="D10" s="151" t="str">
        <f>'Bases de Cálculo'!B9</f>
        <v>Petróleo pesado</v>
      </c>
      <c r="E10" s="314">
        <f>+E9</f>
        <v>6.0871741676095334</v>
      </c>
      <c r="F10" s="315">
        <f>+F9</f>
        <v>77.841777688967127</v>
      </c>
      <c r="L10" s="473" t="e" vm="3">
        <f>'5. 2019 O&amp;G'!C17</f>
        <v>#VALUE!</v>
      </c>
      <c r="M10" s="474" t="str">
        <f>'5. 2019 O&amp;G'!D17</f>
        <v>ECP</v>
      </c>
      <c r="N10" s="474" t="str">
        <f>'5. 2019 O&amp;G'!E17</f>
        <v>Tauramena</v>
      </c>
      <c r="O10" s="474" t="str">
        <f>'5. 2019 O&amp;G'!F17</f>
        <v>Llanos Orientales</v>
      </c>
      <c r="P10" s="475" t="str">
        <f>'5. 2019 O&amp;G'!G17</f>
        <v>Cusiana (Cusiana + Norte)</v>
      </c>
      <c r="Q10" s="473">
        <f>'5. 2019 O&amp;G'!H17</f>
        <v>52</v>
      </c>
      <c r="R10" s="476"/>
      <c r="S10" s="476" t="str">
        <f>'5. 2019 O&amp;G'!J17</f>
        <v>Light Oil</v>
      </c>
      <c r="T10" s="477">
        <f>'5. 2019 O&amp;G'!K17</f>
        <v>277.3735890410959</v>
      </c>
      <c r="U10" s="479">
        <f>'5. 2019 O&amp;G'!W17</f>
        <v>226.87320547945205</v>
      </c>
      <c r="V10" s="478">
        <v>3182.6220821917809</v>
      </c>
      <c r="W10" s="478">
        <v>1.1420547945205479</v>
      </c>
      <c r="Y10" s="478">
        <v>30.359369863013697</v>
      </c>
      <c r="Z10" s="478">
        <v>30.377342465753429</v>
      </c>
      <c r="AA10" s="478">
        <v>30.352082191780823</v>
      </c>
      <c r="AB10" s="478">
        <v>164.99443835616438</v>
      </c>
    </row>
    <row r="11" spans="3:28" x14ac:dyDescent="0.25">
      <c r="C11" s="19" t="str">
        <f>'Bases de Cálculo'!E10</f>
        <v>GSL</v>
      </c>
      <c r="D11" s="143" t="str">
        <f>'Bases de Cálculo'!B10</f>
        <v>Gasolina antes de blending</v>
      </c>
      <c r="E11" s="311">
        <f>'Bases de Cálculo'!F10</f>
        <v>5.3308987344700309</v>
      </c>
      <c r="F11" s="312">
        <f>'Bases de Cálculo'!G10</f>
        <v>69.193827140333724</v>
      </c>
      <c r="L11" s="473" t="e" vm="3">
        <f>'5. 2019 O&amp;G'!C18</f>
        <v>#VALUE!</v>
      </c>
      <c r="M11" s="474" t="str">
        <f>'5. 2019 O&amp;G'!D18</f>
        <v>ECP</v>
      </c>
      <c r="N11" s="474" t="str">
        <f>'5. 2019 O&amp;G'!E18</f>
        <v>Yopal</v>
      </c>
      <c r="O11" s="474" t="str">
        <f>'5. 2019 O&amp;G'!F18</f>
        <v>Llanos Orientales</v>
      </c>
      <c r="P11" s="475" t="str">
        <f>'5. 2019 O&amp;G'!G18</f>
        <v>Pauto Sur (Sur + Recetor)</v>
      </c>
      <c r="Q11" s="473">
        <f>'5. 2019 O&amp;G'!H18</f>
        <v>46</v>
      </c>
      <c r="R11" s="476"/>
      <c r="S11" s="476" t="str">
        <f>'5. 2019 O&amp;G'!J18</f>
        <v>Light Oil</v>
      </c>
      <c r="T11" s="477">
        <f>'5. 2019 O&amp;G'!K18</f>
        <v>435.40112328767128</v>
      </c>
      <c r="U11" s="479">
        <f>'5. 2019 O&amp;G'!W18</f>
        <v>210.16008219178084</v>
      </c>
      <c r="V11" s="478">
        <v>27008.407917808221</v>
      </c>
      <c r="W11" s="478">
        <v>1.2202465753424658</v>
      </c>
      <c r="Y11" s="478">
        <v>9.0779452054794518</v>
      </c>
      <c r="Z11" s="478">
        <v>142.09446575342469</v>
      </c>
      <c r="AA11" s="478">
        <v>0</v>
      </c>
      <c r="AB11" s="478">
        <v>57.767424657534249</v>
      </c>
    </row>
    <row r="12" spans="3:28" x14ac:dyDescent="0.25">
      <c r="C12" s="19" t="str">
        <f>'Bases de Cálculo'!E11</f>
        <v>DSL</v>
      </c>
      <c r="D12" s="148" t="str">
        <f>'Bases de Cálculo'!B11</f>
        <v>Diesel antes de blending</v>
      </c>
      <c r="E12" s="122">
        <f>'Bases de Cálculo'!F11</f>
        <v>5.6708498400612823</v>
      </c>
      <c r="F12" s="313">
        <f>'Bases de Cálculo'!G11</f>
        <v>75.166375708662926</v>
      </c>
      <c r="L12" s="473" t="e" vm="3">
        <f>'5. 2019 O&amp;G'!C19</f>
        <v>#VALUE!</v>
      </c>
      <c r="M12" s="474" t="str">
        <f>'5. 2019 O&amp;G'!D19</f>
        <v>ECP</v>
      </c>
      <c r="N12" s="474" t="str">
        <f>'5. 2019 O&amp;G'!E19</f>
        <v>Yopal</v>
      </c>
      <c r="O12" s="474" t="str">
        <f>'5. 2019 O&amp;G'!F19</f>
        <v>Llanos Orientales</v>
      </c>
      <c r="P12" s="475" t="str">
        <f>'5. 2019 O&amp;G'!G19</f>
        <v>Floreña (Floreña + Mirador)</v>
      </c>
      <c r="Q12" s="473">
        <f>'5. 2019 O&amp;G'!H19</f>
        <v>45.5</v>
      </c>
      <c r="R12" s="476"/>
      <c r="S12" s="476" t="str">
        <f>'5. 2019 O&amp;G'!J19</f>
        <v>Light Oil</v>
      </c>
      <c r="T12" s="477">
        <f>'5. 2019 O&amp;G'!K19</f>
        <v>114.48408219178081</v>
      </c>
      <c r="U12" s="479">
        <f>'5. 2019 O&amp;G'!W19</f>
        <v>3.3001369863013679</v>
      </c>
      <c r="V12" s="478">
        <v>4583.6177808219181</v>
      </c>
      <c r="W12" s="478">
        <v>0.37649315068493155</v>
      </c>
      <c r="Y12" s="478">
        <v>2.923643835616438</v>
      </c>
      <c r="Z12" s="478">
        <v>0</v>
      </c>
      <c r="AA12" s="478">
        <v>0</v>
      </c>
      <c r="AB12" s="478">
        <v>0</v>
      </c>
    </row>
    <row r="13" spans="3:28" x14ac:dyDescent="0.25">
      <c r="C13" s="19" t="str">
        <f>'Bases de Cálculo'!E12</f>
        <v>KER</v>
      </c>
      <c r="D13" s="151" t="str">
        <f>'Bases de Cálculo'!B12</f>
        <v>Keroseno-Jet</v>
      </c>
      <c r="E13" s="314">
        <f>'Bases de Cálculo'!F12</f>
        <v>4.7117947967516214</v>
      </c>
      <c r="F13" s="315">
        <f>'Bases de Cálculo'!G12</f>
        <v>87.735056011523966</v>
      </c>
      <c r="L13" s="473" t="e" vm="4">
        <f>'5. 2019 O&amp;G'!C20</f>
        <v>#VALUE!</v>
      </c>
      <c r="M13" s="474" t="str">
        <f>'5. 2019 O&amp;G'!D20</f>
        <v>ECP</v>
      </c>
      <c r="N13" s="474" t="str">
        <f>'5. 2019 O&amp;G'!E20</f>
        <v>Puerto Gaitan</v>
      </c>
      <c r="O13" s="474" t="str">
        <f>'5. 2019 O&amp;G'!F20</f>
        <v>Llanos Orientales</v>
      </c>
      <c r="P13" s="475" t="str">
        <f>'5. 2019 O&amp;G'!G20</f>
        <v>Rubiales</v>
      </c>
      <c r="Q13" s="473">
        <f>'5. 2019 O&amp;G'!H20</f>
        <v>12.850000000000001</v>
      </c>
      <c r="R13" s="476"/>
      <c r="S13" s="476" t="str">
        <f>'5. 2019 O&amp;G'!J20</f>
        <v>Heavy Oil</v>
      </c>
      <c r="T13" s="477">
        <f>'5. 2019 O&amp;G'!K20</f>
        <v>0</v>
      </c>
      <c r="U13" s="479">
        <f>'5. 2019 O&amp;G'!W20</f>
        <v>0</v>
      </c>
      <c r="V13" s="478">
        <v>119308.68268493151</v>
      </c>
      <c r="W13" s="478">
        <v>0</v>
      </c>
      <c r="Y13" s="478">
        <v>0</v>
      </c>
      <c r="Z13" s="478">
        <v>0</v>
      </c>
      <c r="AA13" s="478">
        <v>0</v>
      </c>
      <c r="AB13" s="478">
        <v>0</v>
      </c>
    </row>
    <row r="14" spans="3:28" x14ac:dyDescent="0.25">
      <c r="C14" s="19" t="str">
        <f>'Bases de Cálculo'!E13</f>
        <v>LPG</v>
      </c>
      <c r="D14" s="143" t="str">
        <f>'Bases de Cálculo'!B13</f>
        <v>Gas licuado de Petróleo</v>
      </c>
      <c r="E14" s="311">
        <f>'Bases de Cálculo'!F13</f>
        <v>4.0562660463586173</v>
      </c>
      <c r="F14" s="312">
        <f>'Bases de Cálculo'!G13</f>
        <v>47.28933824683137</v>
      </c>
      <c r="L14" s="473" t="e" vm="4">
        <f>'5. 2019 O&amp;G'!C21</f>
        <v>#VALUE!</v>
      </c>
      <c r="M14" s="474" t="str">
        <f>'5. 2019 O&amp;G'!D21</f>
        <v>ECP</v>
      </c>
      <c r="N14" s="474" t="str">
        <f>'5. 2019 O&amp;G'!E21</f>
        <v>Acacias/Castilla Nueva</v>
      </c>
      <c r="O14" s="474" t="str">
        <f>'5. 2019 O&amp;G'!F21</f>
        <v>Llanos Orientales</v>
      </c>
      <c r="P14" s="475" t="str">
        <f>'5. 2019 O&amp;G'!G21</f>
        <v>Castilla (c, e, n, n)</v>
      </c>
      <c r="Q14" s="473">
        <f>'5. 2019 O&amp;G'!H21</f>
        <v>13.7</v>
      </c>
      <c r="R14" s="476"/>
      <c r="S14" s="476" t="str">
        <f>'5. 2019 O&amp;G'!J21</f>
        <v>Heavy Oil</v>
      </c>
      <c r="T14" s="477">
        <f>'5. 2019 O&amp;G'!K21</f>
        <v>0</v>
      </c>
      <c r="U14" s="479">
        <f>'5. 2019 O&amp;G'!W21</f>
        <v>0</v>
      </c>
      <c r="V14" s="478">
        <v>114056.06200000001</v>
      </c>
      <c r="W14" s="478">
        <v>0</v>
      </c>
      <c r="Y14" s="478">
        <v>0</v>
      </c>
      <c r="Z14" s="478">
        <v>0</v>
      </c>
      <c r="AA14" s="478">
        <v>0</v>
      </c>
      <c r="AB14" s="478">
        <v>0</v>
      </c>
    </row>
    <row r="15" spans="3:28" x14ac:dyDescent="0.25">
      <c r="C15" s="19" t="str">
        <f>'Bases de Cálculo'!E14</f>
        <v>HFO</v>
      </c>
      <c r="D15" s="148" t="str">
        <f>'Bases de Cálculo'!B14</f>
        <v>Fuel Oil (Combustoleo</v>
      </c>
      <c r="E15" s="122">
        <f>'Bases de Cálculo'!F14</f>
        <v>5.4608206169323079</v>
      </c>
      <c r="F15" s="313">
        <f>'Bases de Cálculo'!G14</f>
        <v>78.281203343664757</v>
      </c>
      <c r="L15" s="473" t="e" vm="4">
        <f>'5. 2019 O&amp;G'!C22</f>
        <v>#VALUE!</v>
      </c>
      <c r="M15" s="474" t="str">
        <f>'5. 2019 O&amp;G'!D22</f>
        <v>ECP</v>
      </c>
      <c r="N15" s="474" t="str">
        <f>'5. 2019 O&amp;G'!E22</f>
        <v>Acacias/Guamal</v>
      </c>
      <c r="O15" s="474" t="str">
        <f>'5. 2019 O&amp;G'!F22</f>
        <v>Llanos Orientales</v>
      </c>
      <c r="P15" s="475" t="str">
        <f>'5. 2019 O&amp;G'!G22</f>
        <v>Chichimene</v>
      </c>
      <c r="Q15" s="473">
        <f>'5. 2019 O&amp;G'!H22</f>
        <v>13.5</v>
      </c>
      <c r="R15" s="476"/>
      <c r="S15" s="476" t="str">
        <f>'5. 2019 O&amp;G'!J22</f>
        <v>Heavy Oil</v>
      </c>
      <c r="T15" s="477">
        <f>'5. 2019 O&amp;G'!K22</f>
        <v>3.793589041095891</v>
      </c>
      <c r="U15" s="479">
        <f>'5. 2019 O&amp;G'!W22</f>
        <v>3.793589041095891</v>
      </c>
      <c r="V15" s="478">
        <v>69090.784575342463</v>
      </c>
      <c r="W15" s="478">
        <v>2.9221917808219184</v>
      </c>
      <c r="Y15" s="478">
        <v>0.87139726027397268</v>
      </c>
      <c r="Z15" s="478">
        <v>0</v>
      </c>
      <c r="AA15" s="478">
        <v>0</v>
      </c>
      <c r="AB15" s="478">
        <v>0</v>
      </c>
    </row>
    <row r="16" spans="3:28" x14ac:dyDescent="0.25">
      <c r="C16" s="19" t="s">
        <v>519</v>
      </c>
      <c r="D16" s="148" t="str">
        <f>'Bases de Cálculo'!B24</f>
        <v>Gasolina de aviación</v>
      </c>
      <c r="E16" s="122">
        <f>'Bases de Cálculo'!F24</f>
        <v>4.7615165047769556</v>
      </c>
      <c r="F16" s="313">
        <f>'Bases de Cálculo'!G24</f>
        <v>56.337812381502502</v>
      </c>
      <c r="L16" s="473" t="e" vm="4">
        <f>'5. 2019 O&amp;G'!C23</f>
        <v>#VALUE!</v>
      </c>
      <c r="M16" s="474" t="str">
        <f>'5. 2019 O&amp;G'!D23</f>
        <v>ECP</v>
      </c>
      <c r="N16" s="474" t="str">
        <f>'5. 2019 O&amp;G'!E23</f>
        <v>Acacias/Guamal</v>
      </c>
      <c r="O16" s="474" t="str">
        <f>'5. 2019 O&amp;G'!F23</f>
        <v>Llanos Orientales</v>
      </c>
      <c r="P16" s="475" t="str">
        <f>'5. 2019 O&amp;G'!G23</f>
        <v>Akacias</v>
      </c>
      <c r="Q16" s="473">
        <f>'5. 2019 O&amp;G'!H23</f>
        <v>8</v>
      </c>
      <c r="R16" s="476"/>
      <c r="S16" s="476" t="str">
        <f>'5. 2019 O&amp;G'!J23</f>
        <v>Heavy Oil</v>
      </c>
      <c r="T16" s="477">
        <f>'5. 2019 O&amp;G'!K23</f>
        <v>0.58205479452054798</v>
      </c>
      <c r="U16" s="479">
        <f>'5. 2019 O&amp;G'!W23</f>
        <v>0.58205479452054798</v>
      </c>
      <c r="V16" s="478">
        <v>19756.607616438356</v>
      </c>
      <c r="W16" s="478">
        <v>0.58205479452054798</v>
      </c>
      <c r="Y16" s="478">
        <v>0</v>
      </c>
      <c r="Z16" s="478">
        <v>0</v>
      </c>
      <c r="AA16" s="478">
        <v>0</v>
      </c>
      <c r="AB16" s="478">
        <v>0</v>
      </c>
    </row>
    <row r="17" spans="3:28" x14ac:dyDescent="0.25">
      <c r="C17" s="19" t="s">
        <v>516</v>
      </c>
      <c r="D17" s="151" t="str">
        <f>'Bases de Cálculo'!B25</f>
        <v>Refinery Gas</v>
      </c>
      <c r="E17" s="314">
        <f>'Bases de Cálculo'!F25</f>
        <v>4.1867999999999999</v>
      </c>
      <c r="F17" s="315">
        <f>'Bases de Cálculo'!G25</f>
        <v>40.784041574326501</v>
      </c>
      <c r="L17" s="473" t="e" vm="4">
        <f>'5. 2019 O&amp;G'!C24</f>
        <v>#VALUE!</v>
      </c>
      <c r="M17" s="474" t="str">
        <f>'5. 2019 O&amp;G'!D24</f>
        <v>ECP</v>
      </c>
      <c r="N17" s="474" t="str">
        <f>'5. 2019 O&amp;G'!E24</f>
        <v>Villavicencio</v>
      </c>
      <c r="O17" s="474" t="str">
        <f>'5. 2019 O&amp;G'!F24</f>
        <v>Llanos Orientales</v>
      </c>
      <c r="P17" s="475" t="str">
        <f>'5. 2019 O&amp;G'!G24</f>
        <v>Apiay</v>
      </c>
      <c r="Q17" s="473">
        <f>'5. 2019 O&amp;G'!H24</f>
        <v>13.5</v>
      </c>
      <c r="R17" s="476"/>
      <c r="S17" s="476" t="str">
        <f>'5. 2019 O&amp;G'!J24</f>
        <v>Heavy Oil</v>
      </c>
      <c r="T17" s="477">
        <f>'5. 2019 O&amp;G'!K24</f>
        <v>0.23824657534246574</v>
      </c>
      <c r="U17" s="479">
        <f>'5. 2019 O&amp;G'!W24</f>
        <v>0.23824657534246574</v>
      </c>
      <c r="V17" s="478">
        <v>1476.5236986301368</v>
      </c>
      <c r="W17" s="478">
        <v>0.1378630136986301</v>
      </c>
      <c r="Y17" s="478">
        <v>0.10038356164383562</v>
      </c>
      <c r="Z17" s="478">
        <v>0</v>
      </c>
      <c r="AA17" s="478">
        <v>0</v>
      </c>
      <c r="AB17" s="478">
        <v>0</v>
      </c>
    </row>
    <row r="18" spans="3:28" x14ac:dyDescent="0.25">
      <c r="C18" s="142" t="s">
        <v>482</v>
      </c>
      <c r="L18" s="473" t="e" vm="5">
        <f>'5. 2019 O&amp;G'!C25</f>
        <v>#VALUE!</v>
      </c>
      <c r="M18" s="474" t="str">
        <f>'5. 2019 O&amp;G'!D25</f>
        <v>ECP</v>
      </c>
      <c r="N18" s="474" t="str">
        <f>'5. 2019 O&amp;G'!E25</f>
        <v>Orito</v>
      </c>
      <c r="O18" s="474" t="str">
        <f>'5. 2019 O&amp;G'!F25</f>
        <v>Putumayo</v>
      </c>
      <c r="P18" s="475" t="str">
        <f>'5. 2019 O&amp;G'!G25</f>
        <v>Orito</v>
      </c>
      <c r="Q18" s="473">
        <f>'5. 2019 O&amp;G'!H25</f>
        <v>35</v>
      </c>
      <c r="R18" s="476"/>
      <c r="S18" s="476" t="str">
        <f>'5. 2019 O&amp;G'!J25</f>
        <v>Light Oil</v>
      </c>
      <c r="T18" s="477">
        <f>'5. 2019 O&amp;G'!K25</f>
        <v>3.4626301369863017</v>
      </c>
      <c r="U18" s="477">
        <f>'5. 2019 O&amp;G'!W25</f>
        <v>3.4626301369863017</v>
      </c>
      <c r="V18" s="478">
        <v>1962.0646849315069</v>
      </c>
      <c r="W18" s="478">
        <v>3.4626301369863017</v>
      </c>
      <c r="Y18" s="478">
        <v>0</v>
      </c>
      <c r="Z18" s="478">
        <v>0</v>
      </c>
      <c r="AA18" s="478">
        <v>0</v>
      </c>
      <c r="AB18" s="478">
        <v>0</v>
      </c>
    </row>
    <row r="19" spans="3:28" x14ac:dyDescent="0.25">
      <c r="L19" s="473" t="e" vm="6">
        <f>'5. 2019 O&amp;G'!C26</f>
        <v>#VALUE!</v>
      </c>
      <c r="M19" s="474" t="str">
        <f>'5. 2019 O&amp;G'!D26</f>
        <v>ECP</v>
      </c>
      <c r="N19" s="474" t="str">
        <f>'5. 2019 O&amp;G'!E26</f>
        <v>Yondo</v>
      </c>
      <c r="O19" s="474" t="str">
        <f>'5. 2019 O&amp;G'!F26</f>
        <v>VMM</v>
      </c>
      <c r="P19" s="475" t="str">
        <f>'5. 2019 O&amp;G'!G26</f>
        <v>Casabe</v>
      </c>
      <c r="Q19" s="473">
        <f>'5. 2019 O&amp;G'!H26</f>
        <v>21</v>
      </c>
      <c r="R19" s="476"/>
      <c r="S19" s="476" t="str">
        <f>'5. 2019 O&amp;G'!J26</f>
        <v>Medium Oil</v>
      </c>
      <c r="T19" s="477">
        <f>'5. 2019 O&amp;G'!K26</f>
        <v>1.1893972602739726</v>
      </c>
      <c r="U19" s="479">
        <f>'5. 2019 O&amp;G'!W26</f>
        <v>1.1893972602739726</v>
      </c>
      <c r="V19" s="478">
        <v>12119.3965753425</v>
      </c>
      <c r="W19" s="478">
        <v>0.23397260273972598</v>
      </c>
      <c r="Y19" s="478">
        <v>0.95542465753424666</v>
      </c>
      <c r="Z19" s="478">
        <v>0</v>
      </c>
      <c r="AA19" s="478">
        <v>0</v>
      </c>
      <c r="AB19" s="478">
        <v>0</v>
      </c>
    </row>
    <row r="20" spans="3:28" x14ac:dyDescent="0.25">
      <c r="L20" s="473" t="e" vm="6">
        <f>'5. 2019 O&amp;G'!C27</f>
        <v>#VALUE!</v>
      </c>
      <c r="M20" s="474" t="str">
        <f>'5. 2019 O&amp;G'!D27</f>
        <v>ECP</v>
      </c>
      <c r="N20" s="474" t="str">
        <f>'5. 2019 O&amp;G'!E27</f>
        <v>Puerto Nare</v>
      </c>
      <c r="O20" s="474" t="str">
        <f>'5. 2019 O&amp;G'!F27</f>
        <v>VMM</v>
      </c>
      <c r="P20" s="475" t="str">
        <f>'5. 2019 O&amp;G'!G27</f>
        <v>Area Teca-Corcona</v>
      </c>
      <c r="Q20" s="473">
        <f>'5. 2019 O&amp;G'!H27</f>
        <v>12.5</v>
      </c>
      <c r="R20" s="476"/>
      <c r="S20" s="476" t="str">
        <f>'5. 2019 O&amp;G'!J27</f>
        <v>Heavy Oil</v>
      </c>
      <c r="T20" s="477">
        <f>'5. 2019 O&amp;G'!K27</f>
        <v>0.23824657534246574</v>
      </c>
      <c r="U20" s="479">
        <f>'5. 2019 O&amp;G'!W27</f>
        <v>0.23824657534246574</v>
      </c>
      <c r="V20" s="478">
        <v>1476.5236986301368</v>
      </c>
      <c r="W20" s="478">
        <v>0.1378630136986301</v>
      </c>
      <c r="Y20" s="478">
        <v>0.10038356164383562</v>
      </c>
      <c r="Z20" s="478">
        <v>0</v>
      </c>
      <c r="AA20" s="478">
        <v>0</v>
      </c>
      <c r="AB20" s="478">
        <v>0</v>
      </c>
    </row>
    <row r="21" spans="3:28" x14ac:dyDescent="0.25">
      <c r="L21" s="473" t="e" vm="7">
        <f>'5. 2019 O&amp;G'!C28</f>
        <v>#VALUE!</v>
      </c>
      <c r="M21" s="474" t="str">
        <f>'5. 2019 O&amp;G'!D28</f>
        <v>ECP</v>
      </c>
      <c r="N21" s="474" t="str">
        <f>'5. 2019 O&amp;G'!E28</f>
        <v>Puerto Wilches</v>
      </c>
      <c r="O21" s="474" t="str">
        <f>'5. 2019 O&amp;G'!F28</f>
        <v>VMM</v>
      </c>
      <c r="P21" s="475" t="str">
        <f>'5. 2019 O&amp;G'!G28</f>
        <v>Yarigui-Cantagallo</v>
      </c>
      <c r="Q21" s="473">
        <f>'5. 2019 O&amp;G'!H28</f>
        <v>21</v>
      </c>
      <c r="R21" s="476"/>
      <c r="S21" s="476" t="str">
        <f>'5. 2019 O&amp;G'!J28</f>
        <v>Medium Oil</v>
      </c>
      <c r="T21" s="477">
        <f>'5. 2019 O&amp;G'!K28</f>
        <v>5.057041095890412</v>
      </c>
      <c r="U21" s="479">
        <f>'5. 2019 O&amp;G'!W28</f>
        <v>5.057041095890412</v>
      </c>
      <c r="V21" s="478">
        <v>17849.99879452055</v>
      </c>
      <c r="W21" s="478">
        <v>0.21123287671232879</v>
      </c>
      <c r="Y21" s="478">
        <v>2.4027123287671235</v>
      </c>
      <c r="Z21" s="478">
        <v>0</v>
      </c>
      <c r="AA21" s="478">
        <v>0</v>
      </c>
      <c r="AB21" s="478">
        <v>2.4430958904109596</v>
      </c>
    </row>
    <row r="22" spans="3:28" x14ac:dyDescent="0.25">
      <c r="L22" s="473" t="e" vm="7">
        <f>'5. 2019 O&amp;G'!C29</f>
        <v>#VALUE!</v>
      </c>
      <c r="M22" s="474" t="str">
        <f>'5. 2019 O&amp;G'!D29</f>
        <v>ECP</v>
      </c>
      <c r="N22" s="474" t="str">
        <f>'5. 2019 O&amp;G'!E29</f>
        <v>Barrancabermeja</v>
      </c>
      <c r="O22" s="474" t="str">
        <f>'5. 2019 O&amp;G'!F29</f>
        <v>VMM</v>
      </c>
      <c r="P22" s="475" t="str">
        <f>'5. 2019 O&amp;G'!G29</f>
        <v>La Cira</v>
      </c>
      <c r="Q22" s="473">
        <f>'5. 2019 O&amp;G'!H29</f>
        <v>22.5</v>
      </c>
      <c r="R22" s="476"/>
      <c r="S22" s="476" t="str">
        <f>'5. 2019 O&amp;G'!J29</f>
        <v>Medium Oil</v>
      </c>
      <c r="T22" s="477">
        <f>'5. 2019 O&amp;G'!K29</f>
        <v>6.7767123287671236</v>
      </c>
      <c r="U22" s="479">
        <f>'5. 2019 O&amp;G'!W29</f>
        <v>6.7767123287671236</v>
      </c>
      <c r="V22" s="478">
        <v>42334.39687671233</v>
      </c>
      <c r="W22" s="478">
        <v>1.6441095890410957</v>
      </c>
      <c r="Y22" s="478">
        <v>1.396739726027397</v>
      </c>
      <c r="Z22" s="478">
        <v>3.7358630136986304</v>
      </c>
      <c r="AA22" s="478">
        <v>0</v>
      </c>
      <c r="AB22" s="478">
        <v>0</v>
      </c>
    </row>
    <row r="23" spans="3:28" x14ac:dyDescent="0.25">
      <c r="L23" s="473" t="e" vm="8">
        <f>'5. 2019 O&amp;G'!C30</f>
        <v>#VALUE!</v>
      </c>
      <c r="M23" s="474" t="str">
        <f>'5. 2019 O&amp;G'!D30</f>
        <v>ECP</v>
      </c>
      <c r="N23" s="474" t="str">
        <f>'5. 2019 O&amp;G'!E30</f>
        <v>Aipe</v>
      </c>
      <c r="O23" s="474" t="str">
        <f>'5. 2019 O&amp;G'!F30</f>
        <v>VSM</v>
      </c>
      <c r="P23" s="475" t="str">
        <f>'5. 2019 O&amp;G'!G30</f>
        <v>Dina</v>
      </c>
      <c r="Q23" s="473">
        <f>'5. 2019 O&amp;G'!H30</f>
        <v>23</v>
      </c>
      <c r="R23" s="476"/>
      <c r="S23" s="476" t="str">
        <f>'5. 2019 O&amp;G'!J30</f>
        <v>Medium Oil</v>
      </c>
      <c r="T23" s="477">
        <f>'5. 2019 O&amp;G'!K30</f>
        <v>1.9274794520547947</v>
      </c>
      <c r="U23" s="479">
        <f>'5. 2019 O&amp;G'!W30</f>
        <v>1.9274794520547947</v>
      </c>
      <c r="V23" s="478">
        <v>4684.6815890410962</v>
      </c>
      <c r="W23" s="478">
        <v>0.22805479452054794</v>
      </c>
      <c r="Y23" s="478">
        <v>0.10339726027397263</v>
      </c>
      <c r="Z23" s="478">
        <v>1.5925479452054794</v>
      </c>
      <c r="AA23" s="478">
        <v>0.55931506849315071</v>
      </c>
      <c r="AB23" s="478">
        <v>3.4794520547945205E-3</v>
      </c>
    </row>
    <row r="24" spans="3:28" x14ac:dyDescent="0.25">
      <c r="L24" s="473" t="e" vm="8">
        <f>'5. 2019 O&amp;G'!C31</f>
        <v>#VALUE!</v>
      </c>
      <c r="M24" s="474" t="str">
        <f>'5. 2019 O&amp;G'!D31</f>
        <v>ECP</v>
      </c>
      <c r="N24" s="474" t="str">
        <f>'5. 2019 O&amp;G'!E31</f>
        <v>Neiva/Palermo</v>
      </c>
      <c r="O24" s="474" t="str">
        <f>'5. 2019 O&amp;G'!F31</f>
        <v>VSM</v>
      </c>
      <c r="P24" s="475" t="str">
        <f>'5. 2019 O&amp;G'!G31</f>
        <v>San Francisco</v>
      </c>
      <c r="Q24" s="473">
        <f>'5. 2019 O&amp;G'!H31</f>
        <v>25.5</v>
      </c>
      <c r="R24" s="476"/>
      <c r="S24" s="476" t="str">
        <f>'5. 2019 O&amp;G'!J31</f>
        <v>Medium Oil</v>
      </c>
      <c r="T24" s="477">
        <f>'5. 2019 O&amp;G'!K31</f>
        <v>0.8670410958904109</v>
      </c>
      <c r="U24" s="479">
        <f>'5. 2019 O&amp;G'!W31</f>
        <v>0.8670410958904109</v>
      </c>
      <c r="V24" s="478">
        <v>4154.1152328767121</v>
      </c>
      <c r="W24" s="478">
        <v>0.41205479452054788</v>
      </c>
      <c r="Y24" s="478">
        <v>0.45498630136986301</v>
      </c>
      <c r="Z24" s="478">
        <v>0</v>
      </c>
      <c r="AA24" s="478">
        <v>0</v>
      </c>
      <c r="AB24" s="478">
        <v>0</v>
      </c>
    </row>
    <row r="25" spans="3:28" x14ac:dyDescent="0.25">
      <c r="L25" s="473" t="e" vm="8">
        <f>'5. 2019 O&amp;G'!C32</f>
        <v>#VALUE!</v>
      </c>
      <c r="M25" s="474" t="str">
        <f>'5. 2019 O&amp;G'!D32</f>
        <v>ECP</v>
      </c>
      <c r="N25" s="474" t="str">
        <f>'5. 2019 O&amp;G'!E32</f>
        <v>Neiva</v>
      </c>
      <c r="O25" s="474" t="str">
        <f>'5. 2019 O&amp;G'!F32</f>
        <v>VSM</v>
      </c>
      <c r="P25" s="480" t="str">
        <f>'5. 2019 O&amp;G'!G32</f>
        <v>Tello</v>
      </c>
      <c r="Q25" s="473">
        <f>'5. 2019 O&amp;G'!H32</f>
        <v>21</v>
      </c>
      <c r="R25" s="476"/>
      <c r="S25" s="476" t="str">
        <f>'5. 2019 O&amp;G'!J32</f>
        <v>Medium Oil</v>
      </c>
      <c r="T25" s="477">
        <f>'5. 2019 O&amp;G'!K32</f>
        <v>1.1906575342465753</v>
      </c>
      <c r="U25" s="479">
        <f>'5. 2019 O&amp;G'!W32</f>
        <v>1.1906575342465753</v>
      </c>
      <c r="V25" s="478">
        <v>3941.1335068493149</v>
      </c>
      <c r="W25" s="478">
        <v>1.5506849315068495E-2</v>
      </c>
      <c r="Y25" s="478">
        <v>0</v>
      </c>
      <c r="Z25" s="478">
        <v>1.1751506849315068</v>
      </c>
      <c r="AA25" s="478">
        <v>0.52964383561643835</v>
      </c>
      <c r="AB25" s="478">
        <v>0</v>
      </c>
    </row>
    <row r="29" spans="3:28" x14ac:dyDescent="0.25">
      <c r="P29" s="486" t="s">
        <v>923</v>
      </c>
      <c r="Q29" s="486" t="s">
        <v>923</v>
      </c>
      <c r="S29" s="486" t="s">
        <v>923</v>
      </c>
      <c r="T29" s="486" t="s">
        <v>923</v>
      </c>
      <c r="U29" s="486" t="s">
        <v>931</v>
      </c>
      <c r="V29" s="20" t="s">
        <v>931</v>
      </c>
    </row>
    <row r="30" spans="3:28" ht="15.75" x14ac:dyDescent="0.25">
      <c r="J30" t="s">
        <v>970</v>
      </c>
      <c r="K30" s="121" t="s">
        <v>963</v>
      </c>
      <c r="L30" s="520" t="s">
        <v>566</v>
      </c>
      <c r="N30" s="526" t="s">
        <v>935</v>
      </c>
      <c r="O30" s="520" t="str">
        <f>+O5</f>
        <v>Basin</v>
      </c>
      <c r="P30" s="521" t="s">
        <v>922</v>
      </c>
      <c r="Q30" s="521" t="s">
        <v>924</v>
      </c>
      <c r="S30" s="521" t="s">
        <v>576</v>
      </c>
      <c r="T30" s="521" t="s">
        <v>662</v>
      </c>
      <c r="U30" s="521" t="s">
        <v>932</v>
      </c>
      <c r="V30" s="521" t="s">
        <v>933</v>
      </c>
      <c r="W30" s="528" t="s">
        <v>937</v>
      </c>
      <c r="Y30" s="525" t="s">
        <v>912</v>
      </c>
      <c r="AB30" t="s">
        <v>934</v>
      </c>
    </row>
    <row r="31" spans="3:28" ht="15.75" x14ac:dyDescent="0.25">
      <c r="J31" s="523">
        <f>+(Z6+Z7)*365*$E$7/1000</f>
        <v>5.6186813035864827</v>
      </c>
      <c r="K31" s="523">
        <f>+(AA6+AA7)*365*$E$7/1000</f>
        <v>0</v>
      </c>
      <c r="L31" s="523">
        <f>+(W6+W7)*365*$E$7/1000</f>
        <v>9.2838893372876957E-2</v>
      </c>
      <c r="N31" s="507" t="s">
        <v>57</v>
      </c>
      <c r="O31" s="522" t="s">
        <v>926</v>
      </c>
      <c r="P31" s="523">
        <f>+(U6+U7)*365*$E$7/1000</f>
        <v>68.585731940983621</v>
      </c>
      <c r="Q31" s="523">
        <f>+SUM(V6:V7)*365*(1/1000)*$E$8/1000</f>
        <v>0</v>
      </c>
      <c r="S31" s="57">
        <f>+Q31+P31</f>
        <v>68.585731940983621</v>
      </c>
      <c r="T31" s="75">
        <f>+S31-L31</f>
        <v>68.49289304761075</v>
      </c>
      <c r="U31" s="554">
        <f>+T31/S31</f>
        <v>0.99864638182395205</v>
      </c>
      <c r="V31" s="553">
        <f t="shared" ref="V31:V36" si="0">+Q31/T31</f>
        <v>0</v>
      </c>
      <c r="W31" s="72">
        <f>'5. Potencial O&amp;G'!BE6</f>
        <v>-2.6851115732294639</v>
      </c>
      <c r="Y31" s="57">
        <f>+'5. Potencial O&amp;G'!AY5</f>
        <v>2037</v>
      </c>
      <c r="AB31" s="63">
        <f t="shared" ref="AB31:AB36" si="1">+Q31/S31</f>
        <v>0</v>
      </c>
    </row>
    <row r="32" spans="3:28" ht="15.75" x14ac:dyDescent="0.25">
      <c r="J32" s="523">
        <f>+SUM(Z9:Z12)*365*$E$7/1000</f>
        <v>69.637902700685089</v>
      </c>
      <c r="K32" s="523">
        <f>+SUM(AA9:AA12)*365*$E$7/1000</f>
        <v>14.229458377200496</v>
      </c>
      <c r="L32" s="523">
        <f>+SUM(W9:W12)*365*$E$7/1000</f>
        <v>1.8340325404926532</v>
      </c>
      <c r="N32" s="507" t="s">
        <v>58</v>
      </c>
      <c r="O32" s="524" t="s">
        <v>925</v>
      </c>
      <c r="P32" s="523">
        <f>+SUM(U9:U12)*365*$E$7/1000</f>
        <v>255.52309290723198</v>
      </c>
      <c r="Q32" s="523">
        <f>+SUM(V8:V12)*365*(1/1000)*$E$8/1000</f>
        <v>99.99628148036247</v>
      </c>
      <c r="S32" s="57">
        <f>+P32+Q32</f>
        <v>355.51937438759444</v>
      </c>
      <c r="T32" s="75">
        <f t="shared" ref="T32:T36" si="2">+S32-L32</f>
        <v>353.68534184710177</v>
      </c>
      <c r="U32" s="554">
        <f t="shared" ref="U32:U36" si="3">+T32/S32</f>
        <v>0.99484125852873162</v>
      </c>
      <c r="V32" s="553">
        <f t="shared" si="0"/>
        <v>0.28272667721579164</v>
      </c>
      <c r="W32" s="72">
        <f>'5. Potencial O&amp;G'!BE7</f>
        <v>-9.382008134021282</v>
      </c>
      <c r="Y32" s="57">
        <f>+'5. Potencial O&amp;G'!BD5</f>
        <v>2050</v>
      </c>
      <c r="AB32" s="63">
        <f t="shared" si="1"/>
        <v>0.28126816338100463</v>
      </c>
    </row>
    <row r="33" spans="10:28" ht="15.75" x14ac:dyDescent="0.25">
      <c r="J33" s="523">
        <f>+SUM(Z13:Z17)*365*$E$7/1000</f>
        <v>0</v>
      </c>
      <c r="K33" s="523">
        <f>+SUM(AA13:AA17)*365*$E$7/1000</f>
        <v>0</v>
      </c>
      <c r="L33" s="523">
        <f>+SUM(W13:W17)*365*$E$7/1000</f>
        <v>1.3420752466626953</v>
      </c>
      <c r="N33" s="507" t="s">
        <v>59</v>
      </c>
      <c r="O33" s="19" t="s">
        <v>927</v>
      </c>
      <c r="P33" s="523">
        <f>+SUM(T13:T17)*365*$E$7/1000</f>
        <v>1.7001652366513802</v>
      </c>
      <c r="Q33" s="523">
        <f>+SUM(V13:V17)*365*(1/1000)*$E$8/1000</f>
        <v>719.17747734585976</v>
      </c>
      <c r="S33" s="57">
        <f>+Q33+P33</f>
        <v>720.87764258251116</v>
      </c>
      <c r="T33" s="75">
        <f t="shared" si="2"/>
        <v>719.53556733584844</v>
      </c>
      <c r="U33" s="554">
        <f t="shared" si="3"/>
        <v>0.99813827594672688</v>
      </c>
      <c r="V33" s="553">
        <f t="shared" si="0"/>
        <v>0.99950233177309833</v>
      </c>
      <c r="W33" s="72">
        <f>'5. Potencial O&amp;G'!BE8</f>
        <v>-19.949111557879402</v>
      </c>
      <c r="Y33" s="57">
        <f>+'5. Potencial O&amp;G'!BD5</f>
        <v>2050</v>
      </c>
      <c r="AB33" s="63">
        <f t="shared" si="1"/>
        <v>0.99764153424073376</v>
      </c>
    </row>
    <row r="34" spans="10:28" ht="15.75" x14ac:dyDescent="0.25">
      <c r="J34" s="523">
        <f>+(Z18)*365*$AA$7/1000</f>
        <v>0</v>
      </c>
      <c r="K34" s="523">
        <f>+(AA18)*365*$AA$7/1000</f>
        <v>0</v>
      </c>
      <c r="L34" s="523">
        <f>+(W18)*365*$E$7/1000</f>
        <v>1.2759391450439788</v>
      </c>
      <c r="N34" s="507" t="s">
        <v>60</v>
      </c>
      <c r="O34" s="19" t="s">
        <v>928</v>
      </c>
      <c r="P34" s="523">
        <f>+(U18)*365*$E$7/1000</f>
        <v>1.2759391450439788</v>
      </c>
      <c r="Q34" s="523">
        <f>+SUM(V18)*365*(1/1000)*$E$8/1000</f>
        <v>4.3593517548323124</v>
      </c>
      <c r="S34" s="57">
        <f>+Q34+P34</f>
        <v>5.6352908998762912</v>
      </c>
      <c r="T34" s="75">
        <f t="shared" si="2"/>
        <v>4.3593517548323124</v>
      </c>
      <c r="U34" s="554">
        <f t="shared" si="3"/>
        <v>0.7735806069794926</v>
      </c>
      <c r="V34" s="553">
        <f t="shared" si="0"/>
        <v>1</v>
      </c>
      <c r="W34" s="72">
        <f>'5. Potencial O&amp;G'!BE9</f>
        <v>-0.15021157762588969</v>
      </c>
      <c r="Y34" s="57">
        <v>2043</v>
      </c>
      <c r="AB34" s="63">
        <f t="shared" si="1"/>
        <v>0.7735806069794926</v>
      </c>
    </row>
    <row r="35" spans="10:28" ht="15.75" x14ac:dyDescent="0.25">
      <c r="J35" s="523">
        <f>+(Z19+Z21+Z22)*365*$E$7/1000</f>
        <v>1.3766222989813104</v>
      </c>
      <c r="K35" s="523">
        <f>+(AA19+AA21+AA22)*365*$E$7/1000</f>
        <v>0</v>
      </c>
      <c r="L35" s="523">
        <f>+(W19+W21+W22)*365*$E$7/1000</f>
        <v>0.76988843068895141</v>
      </c>
      <c r="N35" s="507" t="s">
        <v>61</v>
      </c>
      <c r="O35" s="19" t="s">
        <v>930</v>
      </c>
      <c r="P35" s="523">
        <f>+(U19++U21+U22)*365*$E$7/1000</f>
        <v>4.7988803578001527</v>
      </c>
      <c r="Q35" s="523">
        <f>+(SUM(V19:V22)-V20)*365*(1/1000)*$E$8/1000</f>
        <v>160.64590837999941</v>
      </c>
      <c r="S35" s="57">
        <f>+Q35+P35</f>
        <v>165.44478873779957</v>
      </c>
      <c r="T35" s="75">
        <f t="shared" si="2"/>
        <v>164.67490030711062</v>
      </c>
      <c r="U35" s="554">
        <f t="shared" si="3"/>
        <v>0.99534655375631631</v>
      </c>
      <c r="V35" s="553">
        <f t="shared" si="0"/>
        <v>0.9755336610521862</v>
      </c>
      <c r="W35" s="72">
        <f>'5. Potencial O&amp;G'!BE10</f>
        <v>-4.4565773241322679</v>
      </c>
      <c r="Y35" s="57">
        <v>2047</v>
      </c>
      <c r="AB35" s="63">
        <f t="shared" si="1"/>
        <v>0.97099406760157603</v>
      </c>
    </row>
    <row r="36" spans="10:28" ht="15.75" x14ac:dyDescent="0.25">
      <c r="J36" s="555">
        <f>+(Z23+Z24+Z25)*365*$E$7/1000</f>
        <v>1.0198649246869729</v>
      </c>
      <c r="K36" s="555">
        <f>+(AA23+AA24+AA25)*365*$E$7/1000</f>
        <v>0.40126875760023278</v>
      </c>
      <c r="L36" s="555">
        <f>+(W23+W24+W25)*365*$E$7/1000</f>
        <v>0.24158707246769742</v>
      </c>
      <c r="N36" s="507" t="s">
        <v>62</v>
      </c>
      <c r="O36" s="524" t="s">
        <v>929</v>
      </c>
      <c r="P36" s="523">
        <f>+(U23+U24+U25)*365*$E$7/1000</f>
        <v>1.4684920173037526</v>
      </c>
      <c r="Q36" s="523">
        <f>+SUM(V23:V25)*365*(1/1000)*$E$8/1000</f>
        <v>28.394686542809104</v>
      </c>
      <c r="S36" s="527">
        <f>+Q36+P36</f>
        <v>29.863178560112857</v>
      </c>
      <c r="T36" s="75">
        <f t="shared" si="2"/>
        <v>29.621591487645158</v>
      </c>
      <c r="U36" s="554">
        <f t="shared" si="3"/>
        <v>0.99191020232553617</v>
      </c>
      <c r="V36" s="553">
        <f t="shared" si="0"/>
        <v>0.95858072158790719</v>
      </c>
      <c r="W36" s="72">
        <f>'5. Potencial O&amp;G'!BE11</f>
        <v>-0.72707065395261417</v>
      </c>
      <c r="Y36" s="57">
        <f>+'5. Potencial O&amp;G'!BD5</f>
        <v>2050</v>
      </c>
      <c r="AB36" s="63">
        <f t="shared" si="1"/>
        <v>0.95082599749561947</v>
      </c>
    </row>
    <row r="37" spans="10:28" ht="15.75" x14ac:dyDescent="0.25">
      <c r="O37" s="524"/>
      <c r="P37" s="523"/>
      <c r="Q37" s="523"/>
    </row>
    <row r="38" spans="10:28" ht="15.75" x14ac:dyDescent="0.25">
      <c r="O38" s="524"/>
      <c r="P38" s="523"/>
      <c r="Q38" s="523"/>
    </row>
    <row r="41" spans="10:28" x14ac:dyDescent="0.25">
      <c r="N41" s="316" t="s">
        <v>0</v>
      </c>
      <c r="O41" s="1"/>
      <c r="P41" s="1"/>
      <c r="Q41" s="19" t="s">
        <v>9</v>
      </c>
      <c r="R41" t="s">
        <v>19</v>
      </c>
    </row>
    <row r="42" spans="10:28" x14ac:dyDescent="0.25">
      <c r="N42" s="317" t="s">
        <v>11</v>
      </c>
      <c r="O42" s="318" t="s">
        <v>13</v>
      </c>
      <c r="P42" s="318" t="s">
        <v>14</v>
      </c>
      <c r="Q42" s="318" t="s">
        <v>938</v>
      </c>
      <c r="R42" s="318" t="s">
        <v>939</v>
      </c>
      <c r="S42" s="318" t="s">
        <v>31</v>
      </c>
    </row>
    <row r="43" spans="10:28" x14ac:dyDescent="0.25">
      <c r="N43" t="str" cm="1">
        <f t="array" ref="N43:N48">+PROCESS!D24:D29</f>
        <v>MIN-CAM1</v>
      </c>
      <c r="O43" t="str" cm="1">
        <f t="array" ref="O43:O48">+COMM!D20:D25</f>
        <v>R-CAM1</v>
      </c>
      <c r="P43" t="s">
        <v>553</v>
      </c>
      <c r="Q43" s="436">
        <f>'5. Potencial O&amp;G'!AQ6*1000*E8/1000</f>
        <v>265.40079370777568</v>
      </c>
      <c r="R43" s="530">
        <v>1E-4</v>
      </c>
      <c r="S43" s="289">
        <v>1</v>
      </c>
      <c r="U43">
        <f>+Q43/R55</f>
        <v>3.8696210741929051</v>
      </c>
    </row>
    <row r="44" spans="10:28" x14ac:dyDescent="0.25">
      <c r="N44" t="str">
        <v>MIN-CAM2</v>
      </c>
      <c r="O44" t="str">
        <v>R-CAM2</v>
      </c>
      <c r="P44" t="s">
        <v>553</v>
      </c>
      <c r="Q44" s="436">
        <f>'5. Potencial O&amp;G'!AQ7*1000*E9/1000</f>
        <v>2194.6697743899408</v>
      </c>
      <c r="R44" s="530">
        <v>1E-4</v>
      </c>
      <c r="S44" s="289">
        <v>1</v>
      </c>
      <c r="U44">
        <f t="shared" ref="U44:U48" si="4">+Q44/R56</f>
        <v>6.1731369160130987</v>
      </c>
    </row>
    <row r="45" spans="10:28" x14ac:dyDescent="0.25">
      <c r="N45" t="str">
        <v>MIN-CAM3</v>
      </c>
      <c r="O45" t="str">
        <v>R-CAM3</v>
      </c>
      <c r="P45" t="s">
        <v>553</v>
      </c>
      <c r="Q45" s="436">
        <f>'5. Potencial O&amp;G'!AQ8*1000*E10/1000</f>
        <v>7918.439644193184</v>
      </c>
      <c r="R45" s="530">
        <v>1E-4</v>
      </c>
      <c r="S45" s="289">
        <v>1</v>
      </c>
      <c r="U45">
        <f t="shared" si="4"/>
        <v>10.984443373532486</v>
      </c>
    </row>
    <row r="46" spans="10:28" x14ac:dyDescent="0.25">
      <c r="N46" t="str">
        <v>MIN-CAM4</v>
      </c>
      <c r="O46" t="str">
        <v>R-CAM4</v>
      </c>
      <c r="P46" t="s">
        <v>553</v>
      </c>
      <c r="Q46" s="436">
        <f>'5. Potencial O&amp;G'!AQ9*1000*E11/1000</f>
        <v>38.915560761631227</v>
      </c>
      <c r="R46" s="530">
        <v>1E-4</v>
      </c>
      <c r="S46" s="289">
        <v>1</v>
      </c>
      <c r="U46">
        <f t="shared" si="4"/>
        <v>6.9056880031668859</v>
      </c>
    </row>
    <row r="47" spans="10:28" x14ac:dyDescent="0.25">
      <c r="N47" t="str">
        <v>MIN-CAM5</v>
      </c>
      <c r="O47" t="str">
        <v>R-CAM5</v>
      </c>
      <c r="P47" t="s">
        <v>553</v>
      </c>
      <c r="Q47" s="436">
        <f>'5. Potencial O&amp;G'!AQ10*1000*E12/1000</f>
        <v>1019.7889267382204</v>
      </c>
      <c r="R47" s="530">
        <v>1E-4</v>
      </c>
      <c r="S47" s="289">
        <v>1</v>
      </c>
      <c r="U47">
        <f t="shared" si="4"/>
        <v>6.1639229287203703</v>
      </c>
    </row>
    <row r="48" spans="10:28" x14ac:dyDescent="0.25">
      <c r="N48" t="str">
        <v>MIN-CAM6</v>
      </c>
      <c r="O48" t="str">
        <v>R-CAM6</v>
      </c>
      <c r="P48" t="s">
        <v>553</v>
      </c>
      <c r="Q48" s="436">
        <f>'5. Potencial O&amp;G'!AQ11*1000*E13/1000</f>
        <v>244.3536781595391</v>
      </c>
      <c r="R48" s="530">
        <v>1E-4</v>
      </c>
      <c r="S48" s="289">
        <v>1</v>
      </c>
      <c r="U48">
        <f t="shared" si="4"/>
        <v>8.182440381142591</v>
      </c>
    </row>
    <row r="53" spans="14:18" x14ac:dyDescent="0.25">
      <c r="N53" s="316" t="s">
        <v>0</v>
      </c>
      <c r="O53" s="1"/>
    </row>
    <row r="54" spans="14:18" x14ac:dyDescent="0.25">
      <c r="N54" s="317" t="s">
        <v>11</v>
      </c>
      <c r="O54" s="318" t="s">
        <v>12</v>
      </c>
      <c r="P54" s="318" t="s">
        <v>13</v>
      </c>
      <c r="Q54" s="318" t="s">
        <v>31</v>
      </c>
      <c r="R54" s="318" t="s">
        <v>946</v>
      </c>
    </row>
    <row r="55" spans="14:18" x14ac:dyDescent="0.25">
      <c r="N55" t="str" cm="1">
        <f t="array" ref="N55:N60">+PROCESS!N24:N29</f>
        <v>PROF-CAM1</v>
      </c>
      <c r="O55" t="str" cm="1">
        <f t="array" ref="O55:O60">+_xlfn.ANCHORARRAY(O43)</f>
        <v>R-CAM1</v>
      </c>
      <c r="P55" t="str" cm="1">
        <f t="array" ref="P55:P60">+_xlfn.ANCHORARRAY(COMM!D80)</f>
        <v>FLU-CAM1</v>
      </c>
      <c r="Q55" s="548">
        <f t="shared" ref="Q55:Q60" si="5">+U31</f>
        <v>0.99864638182395205</v>
      </c>
      <c r="R55" s="57">
        <f t="shared" ref="R55:R60" si="6">+S31</f>
        <v>68.585731940983621</v>
      </c>
    </row>
    <row r="56" spans="14:18" x14ac:dyDescent="0.25">
      <c r="N56" t="str">
        <v>PROF-CAM2</v>
      </c>
      <c r="O56" t="str">
        <v>R-CAM2</v>
      </c>
      <c r="P56" t="str">
        <v>FLU-CAM2</v>
      </c>
      <c r="Q56" s="548">
        <f t="shared" si="5"/>
        <v>0.99484125852873162</v>
      </c>
      <c r="R56" s="57">
        <f t="shared" si="6"/>
        <v>355.51937438759444</v>
      </c>
    </row>
    <row r="57" spans="14:18" x14ac:dyDescent="0.25">
      <c r="N57" t="str">
        <v>PROF-CAM3</v>
      </c>
      <c r="O57" t="str">
        <v>R-CAM3</v>
      </c>
      <c r="P57" t="str">
        <v>FLU-CAM3</v>
      </c>
      <c r="Q57" s="548">
        <f t="shared" si="5"/>
        <v>0.99813827594672688</v>
      </c>
      <c r="R57" s="57">
        <f t="shared" si="6"/>
        <v>720.87764258251116</v>
      </c>
    </row>
    <row r="58" spans="14:18" x14ac:dyDescent="0.25">
      <c r="N58" t="str">
        <v>PROF-CAM4</v>
      </c>
      <c r="O58" t="str">
        <v>R-CAM4</v>
      </c>
      <c r="P58" t="str">
        <v>FLU-CAM4</v>
      </c>
      <c r="Q58" s="548">
        <f t="shared" si="5"/>
        <v>0.7735806069794926</v>
      </c>
      <c r="R58" s="57">
        <f t="shared" si="6"/>
        <v>5.6352908998762912</v>
      </c>
    </row>
    <row r="59" spans="14:18" x14ac:dyDescent="0.25">
      <c r="N59" t="str">
        <v>PROF-CAM5</v>
      </c>
      <c r="O59" t="str">
        <v>R-CAM5</v>
      </c>
      <c r="P59" t="str">
        <v>FLU-CAM5</v>
      </c>
      <c r="Q59" s="548">
        <f t="shared" si="5"/>
        <v>0.99534655375631631</v>
      </c>
      <c r="R59" s="57">
        <f t="shared" si="6"/>
        <v>165.44478873779957</v>
      </c>
    </row>
    <row r="60" spans="14:18" x14ac:dyDescent="0.25">
      <c r="N60" t="str">
        <v>PROF-CAM6</v>
      </c>
      <c r="O60" t="str">
        <v>R-CAM6</v>
      </c>
      <c r="P60" t="str">
        <v>FLU-CAM6</v>
      </c>
      <c r="Q60" s="548">
        <f t="shared" si="5"/>
        <v>0.99191020232553617</v>
      </c>
      <c r="R60" s="57">
        <f t="shared" si="6"/>
        <v>29.863178560112857</v>
      </c>
    </row>
    <row r="64" spans="14:18" x14ac:dyDescent="0.25">
      <c r="N64" s="551" t="s">
        <v>0</v>
      </c>
      <c r="O64" s="16"/>
      <c r="P64" s="16"/>
      <c r="Q64" s="552"/>
      <c r="R64" s="16"/>
    </row>
    <row r="65" spans="14:18" x14ac:dyDescent="0.25">
      <c r="N65" s="327" t="s">
        <v>11</v>
      </c>
      <c r="O65" s="327" t="s">
        <v>1</v>
      </c>
      <c r="P65" s="327" t="s">
        <v>626</v>
      </c>
      <c r="Q65" s="327" t="s">
        <v>553</v>
      </c>
      <c r="R65" s="393" t="s">
        <v>175</v>
      </c>
    </row>
    <row r="66" spans="14:18" x14ac:dyDescent="0.25">
      <c r="N66" t="str" cm="1">
        <f t="array" ref="N66:N71">+_xlfn.ANCHORARRAY(N55)</f>
        <v>PROF-CAM1</v>
      </c>
      <c r="O66" s="19" t="s">
        <v>627</v>
      </c>
      <c r="P66" s="57">
        <f t="shared" ref="P66:P71" si="7">+Y31</f>
        <v>2037</v>
      </c>
      <c r="Q66" s="122">
        <f t="shared" ref="Q66:Q71" si="8">+R55+(P66-2020)*W31</f>
        <v>22.938835196082735</v>
      </c>
    </row>
    <row r="67" spans="14:18" x14ac:dyDescent="0.25">
      <c r="N67" t="str">
        <v>PROF-CAM2</v>
      </c>
      <c r="O67" s="19" t="s">
        <v>627</v>
      </c>
      <c r="P67" s="57">
        <f t="shared" si="7"/>
        <v>2050</v>
      </c>
      <c r="Q67" s="122">
        <f t="shared" si="8"/>
        <v>74.059130366955969</v>
      </c>
    </row>
    <row r="68" spans="14:18" x14ac:dyDescent="0.25">
      <c r="N68" t="str">
        <v>PROF-CAM3</v>
      </c>
      <c r="O68" s="19" t="s">
        <v>627</v>
      </c>
      <c r="P68" s="57">
        <f t="shared" si="7"/>
        <v>2050</v>
      </c>
      <c r="Q68" s="122">
        <f t="shared" si="8"/>
        <v>122.40429584612912</v>
      </c>
    </row>
    <row r="69" spans="14:18" x14ac:dyDescent="0.25">
      <c r="N69" t="str">
        <v>PROF-CAM4</v>
      </c>
      <c r="O69" s="19" t="s">
        <v>627</v>
      </c>
      <c r="P69" s="57">
        <f t="shared" si="7"/>
        <v>2043</v>
      </c>
      <c r="Q69" s="122">
        <f t="shared" si="8"/>
        <v>2.1804246144808284</v>
      </c>
    </row>
    <row r="70" spans="14:18" x14ac:dyDescent="0.25">
      <c r="N70" t="str">
        <v>PROF-CAM5</v>
      </c>
      <c r="O70" s="19" t="s">
        <v>627</v>
      </c>
      <c r="P70" s="57">
        <f t="shared" si="7"/>
        <v>2047</v>
      </c>
      <c r="Q70" s="122">
        <f t="shared" si="8"/>
        <v>45.11720098622834</v>
      </c>
    </row>
    <row r="71" spans="14:18" x14ac:dyDescent="0.25">
      <c r="N71" t="str">
        <v>PROF-CAM6</v>
      </c>
      <c r="O71" s="19" t="s">
        <v>627</v>
      </c>
      <c r="P71" s="57">
        <f t="shared" si="7"/>
        <v>2050</v>
      </c>
      <c r="Q71" s="122">
        <f t="shared" si="8"/>
        <v>8.051058941534432</v>
      </c>
    </row>
    <row r="72" spans="14:18" x14ac:dyDescent="0.25">
      <c r="O72" s="19"/>
      <c r="P72" s="57"/>
    </row>
    <row r="74" spans="14:18" x14ac:dyDescent="0.25">
      <c r="N74" s="551" t="s">
        <v>0</v>
      </c>
      <c r="O74" s="16"/>
      <c r="P74" s="16"/>
      <c r="Q74" s="552"/>
      <c r="R74" s="16"/>
    </row>
    <row r="75" spans="14:18" x14ac:dyDescent="0.25">
      <c r="N75" s="327" t="s">
        <v>11</v>
      </c>
      <c r="O75" s="327" t="s">
        <v>1</v>
      </c>
      <c r="P75" s="327" t="s">
        <v>626</v>
      </c>
      <c r="Q75" s="327" t="s">
        <v>553</v>
      </c>
      <c r="R75" s="393" t="s">
        <v>175</v>
      </c>
    </row>
    <row r="76" spans="14:18" x14ac:dyDescent="0.25">
      <c r="N76" s="19" t="str">
        <f>+N55</f>
        <v>PROF-CAM1</v>
      </c>
      <c r="O76" s="19" t="s">
        <v>627</v>
      </c>
      <c r="P76" s="436">
        <f>+Y31+3</f>
        <v>2040</v>
      </c>
      <c r="Q76" s="19"/>
      <c r="R76" s="19">
        <v>0</v>
      </c>
    </row>
    <row r="77" spans="14:18" x14ac:dyDescent="0.25">
      <c r="N77" s="19" t="str">
        <f>+N58</f>
        <v>PROF-CAM4</v>
      </c>
      <c r="O77" s="19" t="s">
        <v>627</v>
      </c>
      <c r="P77" s="436">
        <f>+Y34+3</f>
        <v>2046</v>
      </c>
      <c r="Q77" s="19"/>
      <c r="R77" s="19">
        <v>0</v>
      </c>
    </row>
    <row r="78" spans="14:18" x14ac:dyDescent="0.25">
      <c r="N78" s="19" t="str">
        <f>+N59</f>
        <v>PROF-CAM5</v>
      </c>
      <c r="O78" s="19" t="s">
        <v>627</v>
      </c>
      <c r="P78" s="436">
        <f>+Y35+3</f>
        <v>2050</v>
      </c>
      <c r="Q78" s="19"/>
      <c r="R78" s="19">
        <v>0</v>
      </c>
    </row>
    <row r="82" spans="14:16" x14ac:dyDescent="0.25">
      <c r="N82" s="338" t="s">
        <v>777</v>
      </c>
      <c r="P82" t="s">
        <v>282</v>
      </c>
    </row>
    <row r="83" spans="14:16" x14ac:dyDescent="0.25">
      <c r="N83" s="327" t="s">
        <v>11</v>
      </c>
      <c r="O83" s="327" t="s">
        <v>13</v>
      </c>
      <c r="P83" s="327" t="s">
        <v>778</v>
      </c>
    </row>
    <row r="84" spans="14:16" x14ac:dyDescent="0.25">
      <c r="N84" s="459" t="str" cm="1">
        <f t="array" ref="N84:N89">+_xlfn.ANCHORARRAY(N55)</f>
        <v>PROF-CAM1</v>
      </c>
      <c r="O84" s="549" t="str" cm="1">
        <f t="array" ref="O84:O89">+COMM!AK20:AK25</f>
        <v>CO2e-CAM1</v>
      </c>
      <c r="P84" s="550">
        <f t="shared" ref="P84:P89" si="9">+F7*(100%-U31)</f>
        <v>7.5178755487394514E-2</v>
      </c>
    </row>
    <row r="85" spans="14:16" x14ac:dyDescent="0.25">
      <c r="N85" s="19" t="str">
        <v>PROF-CAM2</v>
      </c>
      <c r="O85" s="19" t="str">
        <v>CO2e-CAM2</v>
      </c>
      <c r="P85" s="122">
        <f t="shared" si="9"/>
        <v>0.40156560676132841</v>
      </c>
    </row>
    <row r="86" spans="14:16" x14ac:dyDescent="0.25">
      <c r="N86" s="19" t="str">
        <v>PROF-CAM3</v>
      </c>
      <c r="O86" s="19" t="str">
        <v>CO2e-CAM3</v>
      </c>
      <c r="P86" s="122">
        <f t="shared" si="9"/>
        <v>0.14491990987308878</v>
      </c>
    </row>
    <row r="87" spans="14:16" x14ac:dyDescent="0.25">
      <c r="N87" s="19" t="str">
        <v>PROF-CAM4</v>
      </c>
      <c r="O87" s="19" t="str">
        <v>CO2e-CAM4</v>
      </c>
      <c r="P87" s="122">
        <f t="shared" si="9"/>
        <v>17.624888055973212</v>
      </c>
    </row>
    <row r="88" spans="14:16" x14ac:dyDescent="0.25">
      <c r="N88" s="19" t="str">
        <v>PROF-CAM5</v>
      </c>
      <c r="O88" s="19" t="str">
        <v>CO2e-CAM5</v>
      </c>
      <c r="P88" s="122">
        <f t="shared" si="9"/>
        <v>0.32198975499228449</v>
      </c>
    </row>
    <row r="89" spans="14:16" x14ac:dyDescent="0.25">
      <c r="N89" s="19" t="str">
        <v>PROF-CAM6</v>
      </c>
      <c r="O89" s="19" t="str">
        <v>CO2e-CAM6</v>
      </c>
      <c r="P89" s="122">
        <f t="shared" si="9"/>
        <v>0.60808077140581573</v>
      </c>
    </row>
    <row r="93" spans="14:16" x14ac:dyDescent="0.25">
      <c r="N93" s="316" t="s">
        <v>0</v>
      </c>
      <c r="O93" s="1"/>
    </row>
    <row r="94" spans="14:16" x14ac:dyDescent="0.25">
      <c r="N94" s="317" t="s">
        <v>11</v>
      </c>
      <c r="O94" s="318" t="s">
        <v>12</v>
      </c>
      <c r="P94" s="318" t="s">
        <v>31</v>
      </c>
    </row>
    <row r="95" spans="14:16" x14ac:dyDescent="0.25">
      <c r="N95" t="str" cm="1">
        <f t="array" ref="N95:N100">+_xlfn.ANCHORARRAY(PROCESS!N74)</f>
        <v>SEP-CAM1</v>
      </c>
      <c r="O95" t="str" cm="1">
        <f t="array" ref="O95:O100">+_xlfn.ANCHORARRAY(P55)</f>
        <v>FLU-CAM1</v>
      </c>
      <c r="P95" s="289">
        <v>1</v>
      </c>
    </row>
    <row r="96" spans="14:16" x14ac:dyDescent="0.25">
      <c r="N96" t="str">
        <v>SEP-CAM2</v>
      </c>
      <c r="O96" t="str">
        <v>FLU-CAM2</v>
      </c>
      <c r="P96" s="289">
        <v>1</v>
      </c>
    </row>
    <row r="97" spans="12:16" x14ac:dyDescent="0.25">
      <c r="N97" t="str">
        <v>SEP-CAM3</v>
      </c>
      <c r="O97" t="str">
        <v>FLU-CAM3</v>
      </c>
      <c r="P97" s="289">
        <v>1</v>
      </c>
    </row>
    <row r="98" spans="12:16" x14ac:dyDescent="0.25">
      <c r="N98" t="str">
        <v>SEP-CAM4</v>
      </c>
      <c r="O98" t="str">
        <v>FLU-CAM4</v>
      </c>
      <c r="P98" s="289">
        <v>1</v>
      </c>
    </row>
    <row r="99" spans="12:16" x14ac:dyDescent="0.25">
      <c r="N99" t="str">
        <v>SEP-CAM5</v>
      </c>
      <c r="O99" t="str">
        <v>FLU-CAM5</v>
      </c>
      <c r="P99" s="289">
        <v>1</v>
      </c>
    </row>
    <row r="100" spans="12:16" x14ac:dyDescent="0.25">
      <c r="N100" t="str">
        <v>SEP-CAM6</v>
      </c>
      <c r="O100" t="str">
        <v>FLU-CAM6</v>
      </c>
      <c r="P100" s="289">
        <v>1</v>
      </c>
    </row>
    <row r="104" spans="12:16" x14ac:dyDescent="0.25">
      <c r="N104" s="316" t="s">
        <v>0</v>
      </c>
      <c r="O104" s="1"/>
    </row>
    <row r="105" spans="12:16" x14ac:dyDescent="0.25">
      <c r="N105" s="317" t="s">
        <v>11</v>
      </c>
      <c r="O105" s="318" t="s">
        <v>13</v>
      </c>
      <c r="P105" s="327" t="s">
        <v>953</v>
      </c>
    </row>
    <row r="106" spans="12:16" x14ac:dyDescent="0.25">
      <c r="L106" t="s">
        <v>51</v>
      </c>
      <c r="N106" t="str">
        <f>+N95</f>
        <v>SEP-CAM1</v>
      </c>
      <c r="O106" t="str">
        <f>+COMM!D30</f>
        <v>GAS-CAM1</v>
      </c>
      <c r="P106" s="556">
        <f>100%-V31</f>
        <v>1</v>
      </c>
    </row>
    <row r="107" spans="12:16" x14ac:dyDescent="0.25">
      <c r="L107" t="s">
        <v>51</v>
      </c>
      <c r="N107" t="str">
        <f>+N96</f>
        <v>SEP-CAM2</v>
      </c>
      <c r="O107" t="str">
        <f>+COMM!D31</f>
        <v>GAS-CAM2</v>
      </c>
      <c r="P107" s="556">
        <f>100%-P108</f>
        <v>0.7172733227842083</v>
      </c>
    </row>
    <row r="108" spans="12:16" x14ac:dyDescent="0.25">
      <c r="L108" t="s">
        <v>52</v>
      </c>
      <c r="O108" t="str">
        <f>+COMM!D41</f>
        <v>LOIL-CAM2</v>
      </c>
      <c r="P108" s="556">
        <f>+V32</f>
        <v>0.28272667721579164</v>
      </c>
    </row>
    <row r="109" spans="12:16" x14ac:dyDescent="0.25">
      <c r="L109" t="s">
        <v>51</v>
      </c>
      <c r="N109" t="str">
        <f>+N97</f>
        <v>SEP-CAM3</v>
      </c>
      <c r="O109" t="str">
        <f>+COMM!D32</f>
        <v>GAS-CAM3</v>
      </c>
      <c r="P109" s="556">
        <f>100%-P110</f>
        <v>4.9766822690167078E-4</v>
      </c>
    </row>
    <row r="110" spans="12:16" x14ac:dyDescent="0.25">
      <c r="L110" t="s">
        <v>53</v>
      </c>
      <c r="O110" t="str">
        <f>+COMM!D62</f>
        <v>HOIL-CAM3</v>
      </c>
      <c r="P110" s="556">
        <f>+V33</f>
        <v>0.99950233177309833</v>
      </c>
    </row>
    <row r="111" spans="12:16" x14ac:dyDescent="0.25">
      <c r="L111" t="s">
        <v>52</v>
      </c>
      <c r="N111" t="str">
        <f>+N98</f>
        <v>SEP-CAM4</v>
      </c>
      <c r="O111" t="str">
        <f>+COMM!D43</f>
        <v>LOIL-CAM4</v>
      </c>
      <c r="P111" s="556">
        <f>+V34</f>
        <v>1</v>
      </c>
    </row>
    <row r="112" spans="12:16" x14ac:dyDescent="0.25">
      <c r="L112" t="s">
        <v>51</v>
      </c>
      <c r="N112" t="str">
        <f>+N99</f>
        <v>SEP-CAM5</v>
      </c>
      <c r="O112" t="str">
        <f>+COMM!D34</f>
        <v>GAS-CAM5</v>
      </c>
      <c r="P112" s="556">
        <f>100%-P113</f>
        <v>4.6534462436836899E-3</v>
      </c>
    </row>
    <row r="113" spans="12:16" x14ac:dyDescent="0.25">
      <c r="L113" t="s">
        <v>67</v>
      </c>
      <c r="O113" t="str">
        <f>+COMM!D54</f>
        <v>MOIL-CAM5</v>
      </c>
      <c r="P113" s="556">
        <f>+U35</f>
        <v>0.99534655375631631</v>
      </c>
    </row>
    <row r="114" spans="12:16" x14ac:dyDescent="0.25">
      <c r="L114" t="s">
        <v>51</v>
      </c>
      <c r="N114" t="str">
        <f>+N100</f>
        <v>SEP-CAM6</v>
      </c>
      <c r="O114" t="str">
        <f>+COMM!D35</f>
        <v>GAS-CAM6</v>
      </c>
      <c r="P114" s="556">
        <f>100%-P115</f>
        <v>4.1419278412092808E-2</v>
      </c>
    </row>
    <row r="115" spans="12:16" x14ac:dyDescent="0.25">
      <c r="L115" t="s">
        <v>67</v>
      </c>
      <c r="O115" t="str">
        <f>+COMM!D55</f>
        <v>MOIL-CAM6</v>
      </c>
      <c r="P115" s="556">
        <f>+V36</f>
        <v>0.95858072158790719</v>
      </c>
    </row>
    <row r="120" spans="12:16" x14ac:dyDescent="0.25">
      <c r="N120" s="316" t="s">
        <v>0</v>
      </c>
      <c r="O120" s="1"/>
    </row>
    <row r="121" spans="12:16" x14ac:dyDescent="0.25">
      <c r="N121" s="317" t="s">
        <v>11</v>
      </c>
      <c r="O121" s="318" t="s">
        <v>627</v>
      </c>
      <c r="P121" s="327" t="s">
        <v>31</v>
      </c>
    </row>
    <row r="122" spans="12:16" x14ac:dyDescent="0.25">
      <c r="N122" t="str" cm="1">
        <f t="array" ref="N122:N127">+_xlfn.ANCHORARRAY(PROCESS!N84)</f>
        <v>PLT-CAM1</v>
      </c>
      <c r="O122" s="57">
        <f>+K31</f>
        <v>0</v>
      </c>
      <c r="P122" s="289">
        <v>1</v>
      </c>
    </row>
    <row r="123" spans="12:16" x14ac:dyDescent="0.25">
      <c r="N123" t="str">
        <v>PLT-CAM2</v>
      </c>
      <c r="O123" s="57">
        <f>+J32</f>
        <v>69.637902700685089</v>
      </c>
      <c r="P123" s="289">
        <v>1</v>
      </c>
    </row>
    <row r="124" spans="12:16" x14ac:dyDescent="0.25">
      <c r="N124" t="str">
        <v>PLT-CAM3</v>
      </c>
      <c r="O124" s="57">
        <f>+J33</f>
        <v>0</v>
      </c>
      <c r="P124" s="289">
        <v>1</v>
      </c>
    </row>
    <row r="125" spans="12:16" x14ac:dyDescent="0.25">
      <c r="N125" t="str">
        <v>PLT-CAM4</v>
      </c>
      <c r="O125" s="57">
        <f>+J34</f>
        <v>0</v>
      </c>
      <c r="P125" s="289">
        <v>1</v>
      </c>
    </row>
    <row r="126" spans="12:16" x14ac:dyDescent="0.25">
      <c r="N126" t="str">
        <v>PLT-CAM5</v>
      </c>
      <c r="O126" s="57">
        <f>+K35</f>
        <v>0</v>
      </c>
      <c r="P126" s="289">
        <v>1</v>
      </c>
    </row>
    <row r="127" spans="12:16" x14ac:dyDescent="0.25">
      <c r="N127" t="str">
        <v>PLT-CAM6</v>
      </c>
      <c r="O127" s="122">
        <f>+J36</f>
        <v>1.0198649246869729</v>
      </c>
      <c r="P127" s="289">
        <v>1</v>
      </c>
    </row>
    <row r="129" spans="14:16" x14ac:dyDescent="0.25">
      <c r="N129" s="316" t="s">
        <v>0</v>
      </c>
      <c r="O129" s="1"/>
    </row>
    <row r="130" spans="14:16" x14ac:dyDescent="0.25">
      <c r="N130" s="317" t="s">
        <v>11</v>
      </c>
      <c r="O130" s="318" t="s">
        <v>12</v>
      </c>
    </row>
    <row r="131" spans="14:16" x14ac:dyDescent="0.25">
      <c r="N131" t="str" cm="1">
        <f t="array" ref="N131:N136">+_xlfn.ANCHORARRAY(N122)</f>
        <v>PLT-CAM1</v>
      </c>
      <c r="O131" t="str">
        <f>+O106</f>
        <v>GAS-CAM1</v>
      </c>
    </row>
    <row r="132" spans="14:16" x14ac:dyDescent="0.25">
      <c r="N132" t="str">
        <v>PLT-CAM2</v>
      </c>
      <c r="O132" t="str">
        <f>+O107</f>
        <v>GAS-CAM2</v>
      </c>
    </row>
    <row r="133" spans="14:16" x14ac:dyDescent="0.25">
      <c r="N133" t="str">
        <v>PLT-CAM3</v>
      </c>
      <c r="O133" t="str">
        <f>+O109</f>
        <v>GAS-CAM3</v>
      </c>
    </row>
    <row r="134" spans="14:16" x14ac:dyDescent="0.25">
      <c r="N134" t="str">
        <v>PLT-CAM4</v>
      </c>
      <c r="O134" t="s">
        <v>971</v>
      </c>
    </row>
    <row r="135" spans="14:16" x14ac:dyDescent="0.25">
      <c r="N135" t="str">
        <v>PLT-CAM5</v>
      </c>
      <c r="O135" t="str">
        <f>+O112</f>
        <v>GAS-CAM5</v>
      </c>
    </row>
    <row r="136" spans="14:16" x14ac:dyDescent="0.25">
      <c r="N136" t="str">
        <v>PLT-CAM6</v>
      </c>
      <c r="O136" t="str">
        <f>+O114</f>
        <v>GAS-CAM6</v>
      </c>
    </row>
    <row r="139" spans="14:16" x14ac:dyDescent="0.25">
      <c r="N139" s="316" t="s">
        <v>0</v>
      </c>
      <c r="O139" s="1"/>
    </row>
    <row r="140" spans="14:16" x14ac:dyDescent="0.25">
      <c r="N140" s="317" t="s">
        <v>11</v>
      </c>
      <c r="O140" s="318" t="s">
        <v>13</v>
      </c>
      <c r="P140" s="327" t="s">
        <v>953</v>
      </c>
    </row>
    <row r="141" spans="14:16" x14ac:dyDescent="0.25">
      <c r="N141" t="str">
        <f>+N131</f>
        <v>PLT-CAM1</v>
      </c>
      <c r="O141" t="s">
        <v>49</v>
      </c>
      <c r="P141" s="63">
        <f>+K31/J31</f>
        <v>0</v>
      </c>
    </row>
    <row r="142" spans="14:16" x14ac:dyDescent="0.25">
      <c r="O142" t="str">
        <f>+COMM!D70</f>
        <v>GAS-plt-CAM1</v>
      </c>
      <c r="P142" s="63">
        <f>100%-P141</f>
        <v>1</v>
      </c>
    </row>
    <row r="143" spans="14:16" x14ac:dyDescent="0.25">
      <c r="N143" t="s">
        <v>972</v>
      </c>
      <c r="O143" t="s">
        <v>49</v>
      </c>
      <c r="P143" s="63">
        <f>+K32/J32</f>
        <v>0.20433496451438232</v>
      </c>
    </row>
    <row r="144" spans="14:16" x14ac:dyDescent="0.25">
      <c r="O144" t="str">
        <f>+COMM!D71</f>
        <v>GAS-plt-CAM2</v>
      </c>
      <c r="P144" s="63">
        <f>100%-P143</f>
        <v>0.79566503548561762</v>
      </c>
    </row>
    <row r="145" spans="14:16" x14ac:dyDescent="0.25">
      <c r="N145" t="s">
        <v>973</v>
      </c>
      <c r="O145" t="s">
        <v>49</v>
      </c>
      <c r="P145" s="63">
        <v>0</v>
      </c>
    </row>
    <row r="146" spans="14:16" x14ac:dyDescent="0.25">
      <c r="O146" t="str">
        <f>+COMM!D72</f>
        <v>GAS-plt-CAM3</v>
      </c>
      <c r="P146" s="63">
        <f>100%-P145</f>
        <v>1</v>
      </c>
    </row>
    <row r="147" spans="14:16" x14ac:dyDescent="0.25">
      <c r="N147" t="s">
        <v>974</v>
      </c>
      <c r="O147" t="s">
        <v>49</v>
      </c>
      <c r="P147" s="63">
        <v>0</v>
      </c>
    </row>
    <row r="148" spans="14:16" x14ac:dyDescent="0.25">
      <c r="O148" t="str">
        <f>+COMM!D73</f>
        <v>GAS-plt-CAM4</v>
      </c>
      <c r="P148" s="63">
        <f>100%-P147</f>
        <v>1</v>
      </c>
    </row>
    <row r="149" spans="14:16" x14ac:dyDescent="0.25">
      <c r="N149" t="s">
        <v>975</v>
      </c>
      <c r="O149" t="s">
        <v>49</v>
      </c>
      <c r="P149" s="63">
        <f>+K35/J35</f>
        <v>0</v>
      </c>
    </row>
    <row r="150" spans="14:16" x14ac:dyDescent="0.25">
      <c r="O150" t="str">
        <f>+COMM!D74</f>
        <v>GAS-plt-CAM5</v>
      </c>
      <c r="P150" s="63">
        <f>100%-P149</f>
        <v>1</v>
      </c>
    </row>
    <row r="151" spans="14:16" x14ac:dyDescent="0.25">
      <c r="N151" t="s">
        <v>976</v>
      </c>
      <c r="O151" t="s">
        <v>49</v>
      </c>
      <c r="P151" s="63">
        <f>+K36/J36</f>
        <v>0.39345284643786943</v>
      </c>
    </row>
    <row r="152" spans="14:16" x14ac:dyDescent="0.25">
      <c r="O152" t="str">
        <f>+COMM!D75</f>
        <v>GAS-plt-CAM6</v>
      </c>
      <c r="P152" s="63">
        <f>100%-P151</f>
        <v>0.60654715356213051</v>
      </c>
    </row>
    <row r="161" spans="14:20" x14ac:dyDescent="0.25">
      <c r="N161" s="316" t="s">
        <v>0</v>
      </c>
      <c r="O161" s="1"/>
      <c r="S161" s="316" t="s">
        <v>0</v>
      </c>
    </row>
    <row r="162" spans="14:20" x14ac:dyDescent="0.25">
      <c r="N162" s="317" t="s">
        <v>11</v>
      </c>
      <c r="O162" s="318" t="s">
        <v>12</v>
      </c>
      <c r="P162" s="318" t="s">
        <v>13</v>
      </c>
      <c r="Q162" s="318"/>
      <c r="S162" s="317" t="s">
        <v>11</v>
      </c>
      <c r="T162" s="557" t="s">
        <v>31</v>
      </c>
    </row>
    <row r="163" spans="14:20" x14ac:dyDescent="0.25">
      <c r="N163" t="s">
        <v>954</v>
      </c>
      <c r="O163" t="str" cm="1">
        <f t="array" ref="O163:O168">+COMM!D30:D35</f>
        <v>GAS-CAM1</v>
      </c>
      <c r="P163" t="s">
        <v>51</v>
      </c>
      <c r="Q163" s="289"/>
      <c r="S163" t="s">
        <v>954</v>
      </c>
      <c r="T163" s="289">
        <v>1</v>
      </c>
    </row>
    <row r="164" spans="14:20" x14ac:dyDescent="0.25">
      <c r="O164" t="str">
        <v>GAS-CAM2</v>
      </c>
      <c r="S164" t="str">
        <f>+N175</f>
        <v>COL-LOIL</v>
      </c>
      <c r="T164" s="289">
        <v>1</v>
      </c>
    </row>
    <row r="165" spans="14:20" x14ac:dyDescent="0.25">
      <c r="O165" t="str">
        <v>GAS-CAM3</v>
      </c>
      <c r="S165" t="str">
        <f>+N181</f>
        <v>COL-MOIL</v>
      </c>
      <c r="T165" s="289">
        <v>1</v>
      </c>
    </row>
    <row r="166" spans="14:20" x14ac:dyDescent="0.25">
      <c r="O166" t="str">
        <v>GAS-CAM4</v>
      </c>
      <c r="S166" t="str">
        <f>+N187</f>
        <v>COL-HOIL</v>
      </c>
      <c r="T166" s="289">
        <v>1</v>
      </c>
    </row>
    <row r="167" spans="14:20" x14ac:dyDescent="0.25">
      <c r="O167" t="str">
        <v>GAS-CAM5</v>
      </c>
    </row>
    <row r="168" spans="14:20" x14ac:dyDescent="0.25">
      <c r="O168" t="str">
        <v>GAS-CAM6</v>
      </c>
    </row>
    <row r="169" spans="14:20" x14ac:dyDescent="0.25">
      <c r="O169" t="str" cm="1">
        <f t="array" ref="O169:O174">+COMM!D70:D75</f>
        <v>GAS-plt-CAM1</v>
      </c>
    </row>
    <row r="170" spans="14:20" x14ac:dyDescent="0.25">
      <c r="O170" t="str">
        <v>GAS-plt-CAM2</v>
      </c>
    </row>
    <row r="171" spans="14:20" x14ac:dyDescent="0.25">
      <c r="O171" t="str">
        <v>GAS-plt-CAM3</v>
      </c>
    </row>
    <row r="172" spans="14:20" x14ac:dyDescent="0.25">
      <c r="O172" t="str">
        <v>GAS-plt-CAM4</v>
      </c>
    </row>
    <row r="173" spans="14:20" x14ac:dyDescent="0.25">
      <c r="O173" t="str">
        <v>GAS-plt-CAM5</v>
      </c>
    </row>
    <row r="174" spans="14:20" x14ac:dyDescent="0.25">
      <c r="O174" t="str">
        <v>GAS-plt-CAM6</v>
      </c>
    </row>
    <row r="175" spans="14:20" x14ac:dyDescent="0.25">
      <c r="N175" t="s">
        <v>955</v>
      </c>
      <c r="O175" t="str" cm="1">
        <f t="array" ref="O175:O180">+COMM!D40:D45</f>
        <v>LOIL-CAM1</v>
      </c>
      <c r="P175" t="s">
        <v>52</v>
      </c>
      <c r="Q175" s="289"/>
    </row>
    <row r="176" spans="14:20" x14ac:dyDescent="0.25">
      <c r="O176" t="str">
        <v>LOIL-CAM2</v>
      </c>
    </row>
    <row r="177" spans="14:17" x14ac:dyDescent="0.25">
      <c r="O177" t="str">
        <v>LOIL-CAM3</v>
      </c>
    </row>
    <row r="178" spans="14:17" x14ac:dyDescent="0.25">
      <c r="O178" t="str">
        <v>LOIL-CAM4</v>
      </c>
    </row>
    <row r="179" spans="14:17" x14ac:dyDescent="0.25">
      <c r="O179" t="str">
        <v>LOIL-CAM5</v>
      </c>
    </row>
    <row r="180" spans="14:17" x14ac:dyDescent="0.25">
      <c r="O180" t="str">
        <v>LOIL-CAM6</v>
      </c>
    </row>
    <row r="181" spans="14:17" x14ac:dyDescent="0.25">
      <c r="N181" t="s">
        <v>956</v>
      </c>
      <c r="O181" t="str" cm="1">
        <f t="array" ref="O181:O186">+COMM!D50:D55</f>
        <v>MOIL-CAM1</v>
      </c>
      <c r="P181" t="s">
        <v>67</v>
      </c>
      <c r="Q181" s="289"/>
    </row>
    <row r="182" spans="14:17" x14ac:dyDescent="0.25">
      <c r="O182" t="str">
        <v>MOIL-CAM2</v>
      </c>
    </row>
    <row r="183" spans="14:17" x14ac:dyDescent="0.25">
      <c r="O183" t="str">
        <v>MOIL-CAM3</v>
      </c>
    </row>
    <row r="184" spans="14:17" x14ac:dyDescent="0.25">
      <c r="O184" t="str">
        <v>MOIL-CAM4</v>
      </c>
    </row>
    <row r="185" spans="14:17" x14ac:dyDescent="0.25">
      <c r="O185" t="str">
        <v>MOIL-CAM5</v>
      </c>
    </row>
    <row r="186" spans="14:17" x14ac:dyDescent="0.25">
      <c r="O186" t="str">
        <v>MOIL-CAM6</v>
      </c>
    </row>
    <row r="187" spans="14:17" x14ac:dyDescent="0.25">
      <c r="N187" t="s">
        <v>957</v>
      </c>
      <c r="O187" t="str" cm="1">
        <f t="array" ref="O187:O192">+COMM!D60:D65</f>
        <v>HOIL-CAM1</v>
      </c>
      <c r="P187" t="s">
        <v>53</v>
      </c>
      <c r="Q187" s="289"/>
    </row>
    <row r="188" spans="14:17" x14ac:dyDescent="0.25">
      <c r="O188" t="str">
        <v>HOIL-CAM2</v>
      </c>
    </row>
    <row r="189" spans="14:17" x14ac:dyDescent="0.25">
      <c r="O189" t="str">
        <v>HOIL-CAM3</v>
      </c>
    </row>
    <row r="190" spans="14:17" x14ac:dyDescent="0.25">
      <c r="O190" t="str">
        <v>HOIL-CAM4</v>
      </c>
    </row>
    <row r="191" spans="14:17" x14ac:dyDescent="0.25">
      <c r="O191" t="str">
        <v>HOIL-CAM5</v>
      </c>
    </row>
    <row r="192" spans="14:17" x14ac:dyDescent="0.25">
      <c r="O192" t="str">
        <v>HOIL-CAM6</v>
      </c>
    </row>
  </sheetData>
  <conditionalFormatting sqref="O6:O25">
    <cfRule type="containsBlanks" dxfId="15" priority="20">
      <formula>LEN(TRIM(O6))=0</formula>
    </cfRule>
  </conditionalFormatting>
  <conditionalFormatting sqref="Q6:R17">
    <cfRule type="containsText" dxfId="14" priority="17" operator="containsText" text="Oil and Gas">
      <formula>NOT(ISERROR(SEARCH("Oil and Gas",Q6)))</formula>
    </cfRule>
    <cfRule type="containsText" dxfId="13" priority="18" operator="containsText" text="Gas">
      <formula>NOT(ISERROR(SEARCH("Gas",Q6)))</formula>
    </cfRule>
    <cfRule type="containsText" dxfId="12" priority="19" operator="containsText" text="Oil">
      <formula>NOT(ISERROR(SEARCH("Oil",Q6)))</formula>
    </cfRule>
  </conditionalFormatting>
  <conditionalFormatting sqref="Q18:R25">
    <cfRule type="containsText" dxfId="11" priority="10" operator="containsText" text="Oil and Gas">
      <formula>NOT(ISERROR(SEARCH("Oil and Gas",Q18)))</formula>
    </cfRule>
    <cfRule type="containsText" dxfId="10" priority="11" operator="containsText" text="Gas">
      <formula>NOT(ISERROR(SEARCH("Gas",Q18)))</formula>
    </cfRule>
    <cfRule type="containsText" dxfId="9" priority="12" operator="containsText" text="Oil">
      <formula>NOT(ISERROR(SEARCH("Oil",Q18)))</formula>
    </cfRule>
  </conditionalFormatting>
  <conditionalFormatting sqref="V6:V25">
    <cfRule type="cellIs" dxfId="8" priority="9" operator="equal">
      <formula>0</formula>
    </cfRule>
  </conditionalFormatting>
  <conditionalFormatting sqref="W6:W25">
    <cfRule type="cellIs" dxfId="7" priority="8" operator="equal">
      <formula>0</formula>
    </cfRule>
  </conditionalFormatting>
  <conditionalFormatting sqref="Y6:Y25">
    <cfRule type="cellIs" dxfId="6" priority="7" operator="equal">
      <formula>0</formula>
    </cfRule>
  </conditionalFormatting>
  <conditionalFormatting sqref="Z6:AB25">
    <cfRule type="cellIs" dxfId="5" priority="6" operator="equal">
      <formula>0</formula>
    </cfRule>
  </conditionalFormatting>
  <conditionalFormatting sqref="O31">
    <cfRule type="containsBlanks" dxfId="4" priority="5">
      <formula>LEN(TRIM(O31))=0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 operator="containsText" id="{8437A55A-D338-49A7-AC4B-FA7CD075074D}">
            <xm:f>NOT(ISERROR(SEARCH($D$8,S6)))</xm:f>
            <xm:f>$D$8</xm:f>
            <x14:dxf>
              <fill>
                <patternFill>
                  <bgColor theme="7" tint="0.79998168889431442"/>
                </patternFill>
              </fill>
            </x14:dxf>
          </x14:cfRule>
          <x14:cfRule type="containsText" priority="2" operator="containsText" id="{7FAF4AA2-796A-4072-ACCE-A3B86CDEEA7B}">
            <xm:f>NOT(ISERROR(SEARCH($D$7,S6)))</xm:f>
            <xm:f>$D$7</xm:f>
            <x14:dxf>
              <fill>
                <patternFill>
                  <bgColor theme="5" tint="0.79998168889431442"/>
                </patternFill>
              </fill>
            </x14:dxf>
          </x14:cfRule>
          <x14:cfRule type="containsText" priority="3" operator="containsText" id="{EB9564AE-09C6-4951-B2C1-1F0CCEE38AE4}">
            <xm:f>NOT(ISERROR(SEARCH($D$6,S6)))</xm:f>
            <xm:f>$D$6</xm:f>
            <x14:dxf>
              <fill>
                <patternFill>
                  <bgColor theme="0" tint="-0.24994659260841701"/>
                </patternFill>
              </fill>
            </x14:dxf>
          </x14:cfRule>
          <x14:cfRule type="containsText" priority="4" operator="containsText" id="{AD93E6B1-FA31-4876-B065-5F40FDAAC512}">
            <xm:f>NOT(ISERROR(SEARCH($D$5,S6)))</xm:f>
            <xm:f>$D$5</xm:f>
            <x14:dxf>
              <fill>
                <patternFill>
                  <bgColor theme="0" tint="-0.34998626667073579"/>
                </patternFill>
              </fill>
            </x14:dxf>
          </x14:cfRule>
          <xm:sqref>S6:S25</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69C3FB-2EDD-4FE0-B565-0029E9F71F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COMM</vt:lpstr>
      <vt:lpstr>PROCESS</vt:lpstr>
      <vt:lpstr>Bases de Cálculo</vt:lpstr>
      <vt:lpstr>1. EXP_IMP</vt:lpstr>
      <vt:lpstr>2. DEM</vt:lpstr>
      <vt:lpstr>3. Scope3</vt:lpstr>
      <vt:lpstr>4. Refinery's Data</vt:lpstr>
      <vt:lpstr>4.1 Ref_Cart</vt:lpstr>
      <vt:lpstr>4.2 Ref_Barranca</vt:lpstr>
      <vt:lpstr>5. Potencial O&amp;G</vt:lpstr>
      <vt:lpstr>5. 2019 O&amp;G</vt:lpstr>
      <vt:lpstr>5, Produccion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dc:creator>
  <cp:lastModifiedBy>JULIAN</cp:lastModifiedBy>
  <dcterms:created xsi:type="dcterms:W3CDTF">2015-06-05T18:19:34Z</dcterms:created>
  <dcterms:modified xsi:type="dcterms:W3CDTF">2022-11-11T05:12:43Z</dcterms:modified>
</cp:coreProperties>
</file>