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2\IS403_Data_analysis_in_business\Practice\Lab4\Khoa\"/>
    </mc:Choice>
  </mc:AlternateContent>
  <xr:revisionPtr revIDLastSave="0" documentId="13_ncr:1_{09F02F9E-1071-4717-9727-3D29A646902B}" xr6:coauthVersionLast="47" xr6:coauthVersionMax="47" xr10:uidLastSave="{00000000-0000-0000-0000-000000000000}"/>
  <bookViews>
    <workbookView xWindow="28680" yWindow="-120" windowWidth="29040" windowHeight="15720" activeTab="2" xr2:uid="{C95C49F2-7BEA-4CB3-B0E3-08B27D7895CF}"/>
  </bookViews>
  <sheets>
    <sheet name="Data" sheetId="1" r:id="rId1"/>
    <sheet name="Gas" sheetId="2" r:id="rId2"/>
    <sheet name="Electricity" sheetId="4" r:id="rId3"/>
  </sheets>
  <externalReferences>
    <externalReference r:id="rId4"/>
  </externalReferences>
  <definedNames>
    <definedName name="solver_eng" localSheetId="2" hidden="1">1</definedName>
    <definedName name="solver_eng" localSheetId="1" hidden="1">1</definedName>
    <definedName name="solver_neg" localSheetId="2" hidden="1">1</definedName>
    <definedName name="solver_neg" localSheetId="1" hidden="1">1</definedName>
    <definedName name="solver_num" localSheetId="2" hidden="1">0</definedName>
    <definedName name="solver_num" localSheetId="1" hidden="1">0</definedName>
    <definedName name="solver_opt" localSheetId="2" hidden="1">Electricity!$X$36</definedName>
    <definedName name="solver_opt" localSheetId="1" hidden="1">Gas!$X$36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4" l="1"/>
  <c r="L14" i="4"/>
  <c r="K15" i="4"/>
  <c r="K16" i="4"/>
  <c r="K17" i="4"/>
  <c r="K18" i="4"/>
  <c r="K14" i="4"/>
  <c r="J14" i="4"/>
  <c r="I14" i="4"/>
  <c r="N21" i="2" a="1"/>
  <c r="N21" i="2" s="1"/>
  <c r="H14" i="4"/>
  <c r="L22" i="2"/>
  <c r="L23" i="2"/>
  <c r="L24" i="2"/>
  <c r="L25" i="2"/>
  <c r="L21" i="2"/>
  <c r="I22" i="2"/>
  <c r="I23" i="2"/>
  <c r="I24" i="2"/>
  <c r="I25" i="2"/>
  <c r="I21" i="2"/>
  <c r="J21" i="2" s="1"/>
  <c r="K21" i="2" s="1"/>
  <c r="C67" i="4"/>
  <c r="F14" i="4"/>
  <c r="F15" i="4"/>
  <c r="H15" i="4" s="1"/>
  <c r="F16" i="4"/>
  <c r="H16" i="4" s="1"/>
  <c r="F17" i="4"/>
  <c r="H17" i="4" s="1"/>
  <c r="F18" i="4"/>
  <c r="H18" i="4" s="1"/>
  <c r="Q69" i="2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Q68" i="2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Q67" i="2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Q66" i="2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M70" i="2" s="1"/>
  <c r="C66" i="4"/>
  <c r="D66" i="4" s="1"/>
  <c r="E66" i="4" s="1"/>
  <c r="F66" i="4" s="1"/>
  <c r="G66" i="4" s="1"/>
  <c r="H66" i="4" s="1"/>
  <c r="N66" i="4" s="1"/>
  <c r="O66" i="4" s="1"/>
  <c r="P66" i="4" s="1"/>
  <c r="Q66" i="4" s="1"/>
  <c r="R66" i="4" s="1"/>
  <c r="S66" i="4" s="1"/>
  <c r="T66" i="4" s="1"/>
  <c r="U66" i="4" s="1"/>
  <c r="V66" i="4" s="1"/>
  <c r="W66" i="4" s="1"/>
  <c r="X66" i="4" s="1"/>
  <c r="Y66" i="4" s="1"/>
  <c r="Z66" i="4" s="1"/>
  <c r="AA66" i="4" s="1"/>
  <c r="AB66" i="4" s="1"/>
  <c r="AC66" i="4" s="1"/>
  <c r="AD66" i="4" s="1"/>
  <c r="C65" i="4"/>
  <c r="D65" i="4" s="1"/>
  <c r="E65" i="4" s="1"/>
  <c r="F65" i="4" s="1"/>
  <c r="G65" i="4" s="1"/>
  <c r="H65" i="4" s="1"/>
  <c r="N65" i="4" s="1"/>
  <c r="O65" i="4" s="1"/>
  <c r="P65" i="4" s="1"/>
  <c r="Q65" i="4" s="1"/>
  <c r="R65" i="4" s="1"/>
  <c r="S65" i="4" s="1"/>
  <c r="T65" i="4" s="1"/>
  <c r="U65" i="4" s="1"/>
  <c r="V65" i="4" s="1"/>
  <c r="W65" i="4" s="1"/>
  <c r="X65" i="4" s="1"/>
  <c r="Y65" i="4" s="1"/>
  <c r="Z65" i="4" s="1"/>
  <c r="AA65" i="4" s="1"/>
  <c r="AB65" i="4" s="1"/>
  <c r="AC65" i="4" s="1"/>
  <c r="AD65" i="4" s="1"/>
  <c r="C64" i="4"/>
  <c r="D64" i="4" s="1"/>
  <c r="E64" i="4" s="1"/>
  <c r="F64" i="4" s="1"/>
  <c r="G64" i="4" s="1"/>
  <c r="H64" i="4" s="1"/>
  <c r="N64" i="4" s="1"/>
  <c r="O64" i="4" s="1"/>
  <c r="P64" i="4" s="1"/>
  <c r="Q64" i="4" s="1"/>
  <c r="R64" i="4" s="1"/>
  <c r="S64" i="4" s="1"/>
  <c r="T64" i="4" s="1"/>
  <c r="U64" i="4" s="1"/>
  <c r="V64" i="4" s="1"/>
  <c r="W64" i="4" s="1"/>
  <c r="X64" i="4" s="1"/>
  <c r="Y64" i="4" s="1"/>
  <c r="Z64" i="4" s="1"/>
  <c r="AA64" i="4" s="1"/>
  <c r="AB64" i="4" s="1"/>
  <c r="AC64" i="4" s="1"/>
  <c r="AD64" i="4" s="1"/>
  <c r="C63" i="4"/>
  <c r="D63" i="4" s="1"/>
  <c r="E63" i="4" s="1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5" i="4"/>
  <c r="BF4" i="4"/>
  <c r="BE5" i="4"/>
  <c r="BE6" i="4" s="1"/>
  <c r="BE7" i="4" s="1"/>
  <c r="BE8" i="4" s="1"/>
  <c r="BE9" i="4" s="1"/>
  <c r="BE10" i="4" s="1"/>
  <c r="BE11" i="4" s="1"/>
  <c r="BE12" i="4" s="1"/>
  <c r="BE13" i="4" s="1"/>
  <c r="BE14" i="4" s="1"/>
  <c r="BE15" i="4" s="1"/>
  <c r="BE16" i="4" s="1"/>
  <c r="BE17" i="4" s="1"/>
  <c r="BE18" i="4" s="1"/>
  <c r="BE19" i="4" s="1"/>
  <c r="BE20" i="4" s="1"/>
  <c r="BE21" i="4" s="1"/>
  <c r="BE22" i="4" s="1"/>
  <c r="BE23" i="4" s="1"/>
  <c r="BE24" i="4" s="1"/>
  <c r="BE25" i="4" s="1"/>
  <c r="BE26" i="4" s="1"/>
  <c r="BE27" i="4" s="1"/>
  <c r="AY4" i="4"/>
  <c r="AW4" i="4"/>
  <c r="AM15" i="4"/>
  <c r="AM16" i="4" s="1"/>
  <c r="AM17" i="4" s="1"/>
  <c r="AM18" i="4" s="1"/>
  <c r="AE5" i="4"/>
  <c r="AE6" i="4" s="1"/>
  <c r="W3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6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5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4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3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" i="4"/>
  <c r="W4" i="4"/>
  <c r="W5" i="4"/>
  <c r="W6" i="4"/>
  <c r="W2" i="4"/>
  <c r="AN14" i="4" a="1"/>
  <c r="AM9" i="4" a="1"/>
  <c r="AM4" i="4" a="1"/>
  <c r="AR4" i="4" a="1"/>
  <c r="M21" i="2" l="1"/>
  <c r="F63" i="4"/>
  <c r="E67" i="4"/>
  <c r="X5" i="4"/>
  <c r="X6" i="4"/>
  <c r="Y6" i="4" s="1"/>
  <c r="X19" i="4" s="1"/>
  <c r="AW5" i="4"/>
  <c r="X2" i="4"/>
  <c r="Y2" i="4" s="1"/>
  <c r="X15" i="4" s="1"/>
  <c r="D67" i="4"/>
  <c r="AI70" i="2"/>
  <c r="AD70" i="2"/>
  <c r="AE70" i="2"/>
  <c r="AC70" i="2"/>
  <c r="R70" i="2"/>
  <c r="Z70" i="2"/>
  <c r="Q70" i="2"/>
  <c r="X70" i="2"/>
  <c r="W70" i="2"/>
  <c r="AL70" i="2"/>
  <c r="V70" i="2"/>
  <c r="AK70" i="2"/>
  <c r="T70" i="2"/>
  <c r="AB70" i="2"/>
  <c r="AA70" i="2"/>
  <c r="Y70" i="2"/>
  <c r="AJ70" i="2"/>
  <c r="S70" i="2"/>
  <c r="AH70" i="2"/>
  <c r="AG70" i="2"/>
  <c r="U70" i="2"/>
  <c r="AF70" i="2"/>
  <c r="AW6" i="4"/>
  <c r="AE7" i="4"/>
  <c r="X3" i="4"/>
  <c r="Y3" i="4" s="1"/>
  <c r="AN14" i="4"/>
  <c r="AN15" i="4"/>
  <c r="AN16" i="4"/>
  <c r="AN17" i="4"/>
  <c r="AN18" i="4"/>
  <c r="AM9" i="4"/>
  <c r="AN9" i="4"/>
  <c r="AO9" i="4"/>
  <c r="AM4" i="4"/>
  <c r="AN4" i="4"/>
  <c r="AO4" i="4"/>
  <c r="AR4" i="4"/>
  <c r="AS4" i="4"/>
  <c r="AR5" i="4"/>
  <c r="AS5" i="4"/>
  <c r="AR6" i="4"/>
  <c r="AS6" i="4"/>
  <c r="X4" i="4"/>
  <c r="Y4" i="4"/>
  <c r="X17" i="4" s="1"/>
  <c r="Y5" i="4"/>
  <c r="W12" i="4" s="1"/>
  <c r="Z9" i="4" s="1"/>
  <c r="Y12" i="4" l="1"/>
  <c r="Z11" i="4" s="1"/>
  <c r="X11" i="4"/>
  <c r="Y10" i="4" s="1"/>
  <c r="G63" i="4"/>
  <c r="F67" i="4"/>
  <c r="Q71" i="2"/>
  <c r="T71" i="2"/>
  <c r="AK4" i="4"/>
  <c r="AT6" i="4"/>
  <c r="AE8" i="4"/>
  <c r="AW7" i="4"/>
  <c r="AT5" i="4"/>
  <c r="AJ4" i="4"/>
  <c r="AJ5" i="4"/>
  <c r="AT4" i="4"/>
  <c r="W9" i="4"/>
  <c r="X10" i="4" s="1"/>
  <c r="Y11" i="4" s="1"/>
  <c r="Z12" i="4" s="1"/>
  <c r="W10" i="4"/>
  <c r="X9" i="4" s="1"/>
  <c r="X16" i="4"/>
  <c r="W11" i="4"/>
  <c r="Y9" i="4" s="1"/>
  <c r="X12" i="4"/>
  <c r="Z10" i="4" s="1"/>
  <c r="X18" i="4"/>
  <c r="Z3" i="4"/>
  <c r="Y15" i="4" s="1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31" i="2"/>
  <c r="AX30" i="2"/>
  <c r="AW31" i="2"/>
  <c r="AW32" i="2" s="1"/>
  <c r="AW33" i="2" s="1"/>
  <c r="AW34" i="2" s="1"/>
  <c r="AW35" i="2" s="1"/>
  <c r="AW36" i="2" s="1"/>
  <c r="AW37" i="2" s="1"/>
  <c r="AW38" i="2" s="1"/>
  <c r="AW39" i="2" s="1"/>
  <c r="AW40" i="2" s="1"/>
  <c r="AW41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Q30" i="2"/>
  <c r="AO30" i="2"/>
  <c r="AE40" i="2"/>
  <c r="AE41" i="2" s="1"/>
  <c r="AE42" i="2" s="1"/>
  <c r="AE43" i="2" s="1"/>
  <c r="W31" i="2"/>
  <c r="W32" i="2" s="1"/>
  <c r="AF39" i="2" a="1"/>
  <c r="AE30" i="2" a="1"/>
  <c r="AJ30" i="2" a="1"/>
  <c r="H63" i="4" l="1"/>
  <c r="G67" i="4"/>
  <c r="W71" i="2"/>
  <c r="AK5" i="4"/>
  <c r="AF17" i="4" s="1"/>
  <c r="AX17" i="4" s="1"/>
  <c r="W33" i="2"/>
  <c r="AO32" i="2"/>
  <c r="AO31" i="2"/>
  <c r="AE9" i="4"/>
  <c r="AW8" i="4"/>
  <c r="AA3" i="4" a="1"/>
  <c r="AA4" i="4" s="1"/>
  <c r="Y16" i="4" s="1"/>
  <c r="AB3" i="4" a="1"/>
  <c r="AB5" i="4" s="1"/>
  <c r="Y17" i="4" s="1"/>
  <c r="AC3" i="4" a="1"/>
  <c r="AC6" i="4" s="1"/>
  <c r="Y18" i="4" s="1"/>
  <c r="AF41" i="2"/>
  <c r="AF40" i="2"/>
  <c r="AF43" i="2"/>
  <c r="AF39" i="2"/>
  <c r="AF42" i="2"/>
  <c r="AE30" i="2"/>
  <c r="AF30" i="2"/>
  <c r="AG30" i="2"/>
  <c r="AJ30" i="2"/>
  <c r="AK30" i="2"/>
  <c r="AJ31" i="2"/>
  <c r="AK31" i="2"/>
  <c r="N63" i="4" l="1"/>
  <c r="H67" i="4"/>
  <c r="AF22" i="4"/>
  <c r="AX22" i="4" s="1"/>
  <c r="AF19" i="4"/>
  <c r="AX19" i="4" s="1"/>
  <c r="AF14" i="4"/>
  <c r="AX14" i="4" s="1"/>
  <c r="AF15" i="4"/>
  <c r="AX15" i="4" s="1"/>
  <c r="AF13" i="4"/>
  <c r="AX13" i="4" s="1"/>
  <c r="AF12" i="4"/>
  <c r="AX12" i="4" s="1"/>
  <c r="AF10" i="4"/>
  <c r="AX10" i="4" s="1"/>
  <c r="AF9" i="4"/>
  <c r="AX9" i="4" s="1"/>
  <c r="AF21" i="4"/>
  <c r="AX21" i="4" s="1"/>
  <c r="AF8" i="4"/>
  <c r="AX8" i="4" s="1"/>
  <c r="AF6" i="4"/>
  <c r="AX6" i="4" s="1"/>
  <c r="AF5" i="4"/>
  <c r="AX5" i="4" s="1"/>
  <c r="AF7" i="4"/>
  <c r="AX7" i="4" s="1"/>
  <c r="AF11" i="4"/>
  <c r="AX11" i="4" s="1"/>
  <c r="AF18" i="4"/>
  <c r="AX18" i="4" s="1"/>
  <c r="AF4" i="4"/>
  <c r="AX4" i="4" s="1"/>
  <c r="AZ4" i="4" s="1"/>
  <c r="AF20" i="4"/>
  <c r="AX20" i="4" s="1"/>
  <c r="AF16" i="4"/>
  <c r="AX16" i="4" s="1"/>
  <c r="AB30" i="2"/>
  <c r="AL31" i="2"/>
  <c r="AB31" i="2"/>
  <c r="AL30" i="2"/>
  <c r="AE10" i="4"/>
  <c r="AW9" i="4"/>
  <c r="W34" i="2"/>
  <c r="AO33" i="2"/>
  <c r="AA3" i="4"/>
  <c r="AB4" i="4"/>
  <c r="AB3" i="4"/>
  <c r="AC4" i="4"/>
  <c r="AC5" i="4"/>
  <c r="AC3" i="4"/>
  <c r="O63" i="4" l="1"/>
  <c r="N67" i="4"/>
  <c r="AK15" i="4"/>
  <c r="AK16" i="4"/>
  <c r="AG5" i="4"/>
  <c r="AY5" i="4" s="1"/>
  <c r="AZ5" i="4" s="1"/>
  <c r="AK17" i="4"/>
  <c r="AU6" i="4" s="1"/>
  <c r="AC31" i="2"/>
  <c r="W35" i="2"/>
  <c r="AO34" i="2"/>
  <c r="AE11" i="4"/>
  <c r="AW10" i="4"/>
  <c r="P63" i="4" l="1"/>
  <c r="O67" i="4"/>
  <c r="AG6" i="4"/>
  <c r="AG7" i="4" s="1"/>
  <c r="AU4" i="4"/>
  <c r="AU5" i="4"/>
  <c r="X41" i="2"/>
  <c r="X34" i="2"/>
  <c r="X36" i="2"/>
  <c r="X40" i="2"/>
  <c r="X42" i="2"/>
  <c r="X32" i="2"/>
  <c r="AP32" i="2" s="1"/>
  <c r="X33" i="2"/>
  <c r="X35" i="2"/>
  <c r="X39" i="2"/>
  <c r="AP39" i="2" s="1"/>
  <c r="X43" i="2"/>
  <c r="X45" i="2"/>
  <c r="AP45" i="2" s="1"/>
  <c r="X38" i="2"/>
  <c r="X31" i="2"/>
  <c r="AP31" i="2" s="1"/>
  <c r="X46" i="2"/>
  <c r="X37" i="2"/>
  <c r="AP37" i="2" s="1"/>
  <c r="X30" i="2"/>
  <c r="AP30" i="2" s="1"/>
  <c r="AR30" i="2" s="1"/>
  <c r="X44" i="2"/>
  <c r="AP44" i="2" s="1"/>
  <c r="W36" i="2"/>
  <c r="AO35" i="2"/>
  <c r="AE12" i="4"/>
  <c r="AW11" i="4"/>
  <c r="AK7" i="4"/>
  <c r="AK12" i="4"/>
  <c r="AK13" i="4"/>
  <c r="Q63" i="4" l="1"/>
  <c r="P67" i="4"/>
  <c r="Y43" i="2"/>
  <c r="AQ43" i="2" s="1"/>
  <c r="AY6" i="4"/>
  <c r="AZ6" i="4" s="1"/>
  <c r="Y46" i="2"/>
  <c r="AQ46" i="2" s="1"/>
  <c r="Y38" i="2"/>
  <c r="AQ38" i="2" s="1"/>
  <c r="AP43" i="2"/>
  <c r="AC42" i="2"/>
  <c r="Y44" i="2"/>
  <c r="AQ44" i="2" s="1"/>
  <c r="AR44" i="2" s="1"/>
  <c r="Y33" i="2"/>
  <c r="AQ33" i="2" s="1"/>
  <c r="AP33" i="2"/>
  <c r="AP46" i="2"/>
  <c r="AP42" i="2"/>
  <c r="Y42" i="2"/>
  <c r="AQ42" i="2" s="1"/>
  <c r="Y40" i="2"/>
  <c r="AQ40" i="2" s="1"/>
  <c r="AP40" i="2"/>
  <c r="Y45" i="2"/>
  <c r="AQ45" i="2" s="1"/>
  <c r="AR45" i="2" s="1"/>
  <c r="Y37" i="2"/>
  <c r="AQ37" i="2" s="1"/>
  <c r="AR37" i="2" s="1"/>
  <c r="AP38" i="2"/>
  <c r="Y39" i="2"/>
  <c r="AQ39" i="2" s="1"/>
  <c r="AR39" i="2" s="1"/>
  <c r="Y31" i="2"/>
  <c r="AC41" i="2"/>
  <c r="Y32" i="2"/>
  <c r="AQ32" i="2" s="1"/>
  <c r="AR32" i="2" s="1"/>
  <c r="Y36" i="2"/>
  <c r="AQ36" i="2" s="1"/>
  <c r="AP36" i="2"/>
  <c r="AC43" i="2"/>
  <c r="AM30" i="2" s="1"/>
  <c r="AP34" i="2"/>
  <c r="Y34" i="2"/>
  <c r="AQ34" i="2" s="1"/>
  <c r="Y35" i="2"/>
  <c r="AQ35" i="2" s="1"/>
  <c r="AP35" i="2"/>
  <c r="Y41" i="2"/>
  <c r="AQ41" i="2" s="1"/>
  <c r="AP41" i="2"/>
  <c r="AG8" i="4"/>
  <c r="AY7" i="4"/>
  <c r="AZ7" i="4" s="1"/>
  <c r="W37" i="2"/>
  <c r="AO36" i="2"/>
  <c r="AE13" i="4"/>
  <c r="AW12" i="4"/>
  <c r="AK14" i="4"/>
  <c r="AK21" i="4"/>
  <c r="AK23" i="4" s="1"/>
  <c r="AK20" i="4"/>
  <c r="AK22" i="4" s="1"/>
  <c r="AK19" i="4" s="1"/>
  <c r="R63" i="4" l="1"/>
  <c r="Q67" i="4"/>
  <c r="AR46" i="2"/>
  <c r="AR43" i="2"/>
  <c r="AR38" i="2"/>
  <c r="AR42" i="2"/>
  <c r="AR35" i="2"/>
  <c r="AR47" i="2"/>
  <c r="AR48" i="2" s="1"/>
  <c r="AR40" i="2"/>
  <c r="AR34" i="2"/>
  <c r="AR41" i="2"/>
  <c r="AR36" i="2"/>
  <c r="AQ31" i="2"/>
  <c r="AR31" i="2" s="1"/>
  <c r="AC33" i="2"/>
  <c r="AC38" i="2"/>
  <c r="AC39" i="2"/>
  <c r="AR33" i="2"/>
  <c r="AM31" i="2"/>
  <c r="AG9" i="4"/>
  <c r="AY8" i="4"/>
  <c r="AZ8" i="4" s="1"/>
  <c r="AE14" i="4"/>
  <c r="AW13" i="4"/>
  <c r="BA23" i="4"/>
  <c r="BA11" i="4"/>
  <c r="BA15" i="4"/>
  <c r="BA19" i="4"/>
  <c r="BA7" i="4"/>
  <c r="BB7" i="4" s="1"/>
  <c r="BA4" i="4"/>
  <c r="BA8" i="4"/>
  <c r="BA12" i="4"/>
  <c r="BA16" i="4"/>
  <c r="BA20" i="4"/>
  <c r="BA24" i="4"/>
  <c r="BA9" i="4"/>
  <c r="BA13" i="4"/>
  <c r="BA17" i="4"/>
  <c r="BA21" i="4"/>
  <c r="BA25" i="4"/>
  <c r="BA5" i="4"/>
  <c r="BA26" i="4"/>
  <c r="BA10" i="4"/>
  <c r="BA14" i="4"/>
  <c r="BA18" i="4"/>
  <c r="BA22" i="4"/>
  <c r="BA27" i="4"/>
  <c r="BA6" i="4"/>
  <c r="W38" i="2"/>
  <c r="AO37" i="2"/>
  <c r="X21" i="2"/>
  <c r="W6" i="2"/>
  <c r="W3" i="2"/>
  <c r="W4" i="2"/>
  <c r="W5" i="2"/>
  <c r="W2" i="2"/>
  <c r="Q4" i="2"/>
  <c r="R3" i="2"/>
  <c r="S16" i="2"/>
  <c r="T9" i="2"/>
  <c r="T10" i="2"/>
  <c r="T11" i="2"/>
  <c r="U12" i="2"/>
  <c r="T13" i="2"/>
  <c r="U18" i="2"/>
  <c r="T19" i="2"/>
  <c r="T21" i="2"/>
  <c r="Q22" i="2"/>
  <c r="T23" i="2"/>
  <c r="Q2" i="2"/>
  <c r="Q3" i="2"/>
  <c r="Q5" i="2"/>
  <c r="R5" i="2"/>
  <c r="S6" i="2"/>
  <c r="T6" i="2"/>
  <c r="R7" i="2"/>
  <c r="S7" i="2"/>
  <c r="U8" i="2"/>
  <c r="Q9" i="2"/>
  <c r="R9" i="2"/>
  <c r="S9" i="2"/>
  <c r="Q11" i="2"/>
  <c r="R11" i="2"/>
  <c r="S11" i="2"/>
  <c r="Q13" i="2"/>
  <c r="R13" i="2"/>
  <c r="S13" i="2"/>
  <c r="U13" i="2"/>
  <c r="Q15" i="2"/>
  <c r="R15" i="2"/>
  <c r="S15" i="2"/>
  <c r="R16" i="2"/>
  <c r="Q17" i="2"/>
  <c r="R17" i="2"/>
  <c r="S17" i="2"/>
  <c r="T18" i="2"/>
  <c r="Q19" i="2"/>
  <c r="R19" i="2"/>
  <c r="S19" i="2"/>
  <c r="Q21" i="2"/>
  <c r="R21" i="2"/>
  <c r="S21" i="2"/>
  <c r="Q23" i="2"/>
  <c r="R23" i="2"/>
  <c r="S2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  <c r="S63" i="4" l="1"/>
  <c r="R67" i="4"/>
  <c r="AX49" i="2"/>
  <c r="AX50" i="2" s="1"/>
  <c r="AC40" i="2"/>
  <c r="AC46" i="2"/>
  <c r="AC48" i="2" s="1"/>
  <c r="AC45" i="2" s="1"/>
  <c r="AC47" i="2"/>
  <c r="AC49" i="2" s="1"/>
  <c r="BB5" i="4"/>
  <c r="BC5" i="4"/>
  <c r="AE15" i="4"/>
  <c r="AW14" i="4"/>
  <c r="BB8" i="4"/>
  <c r="BC8" i="4"/>
  <c r="AR49" i="2"/>
  <c r="AG10" i="4"/>
  <c r="AY9" i="4"/>
  <c r="AZ9" i="4" s="1"/>
  <c r="BC7" i="4"/>
  <c r="BB4" i="4"/>
  <c r="BC4" i="4"/>
  <c r="W39" i="2"/>
  <c r="AO38" i="2"/>
  <c r="BB6" i="4"/>
  <c r="BC6" i="4"/>
  <c r="T20" i="2"/>
  <c r="R18" i="2"/>
  <c r="T5" i="2"/>
  <c r="S18" i="2"/>
  <c r="S22" i="2"/>
  <c r="U17" i="2"/>
  <c r="Q20" i="2"/>
  <c r="U14" i="2"/>
  <c r="S12" i="2"/>
  <c r="Q10" i="2"/>
  <c r="T7" i="2"/>
  <c r="U20" i="2"/>
  <c r="T8" i="2"/>
  <c r="S20" i="2"/>
  <c r="Q6" i="2"/>
  <c r="R20" i="2"/>
  <c r="Q8" i="2"/>
  <c r="R22" i="2"/>
  <c r="T12" i="2"/>
  <c r="U21" i="2"/>
  <c r="T14" i="2"/>
  <c r="R12" i="2"/>
  <c r="U9" i="2"/>
  <c r="S4" i="2"/>
  <c r="U15" i="2"/>
  <c r="U22" i="2"/>
  <c r="T22" i="2"/>
  <c r="T17" i="2"/>
  <c r="S10" i="2"/>
  <c r="U7" i="2"/>
  <c r="U16" i="2"/>
  <c r="S14" i="2"/>
  <c r="Q12" i="2"/>
  <c r="R4" i="2"/>
  <c r="Q16" i="2"/>
  <c r="T15" i="2"/>
  <c r="U10" i="2"/>
  <c r="R8" i="2"/>
  <c r="U19" i="2"/>
  <c r="R10" i="2"/>
  <c r="U23" i="2"/>
  <c r="T16" i="2"/>
  <c r="R14" i="2"/>
  <c r="U11" i="2"/>
  <c r="Q7" i="2"/>
  <c r="R6" i="2"/>
  <c r="Q18" i="2"/>
  <c r="S8" i="2"/>
  <c r="S5" i="2"/>
  <c r="Q14" i="2"/>
  <c r="U6" i="2"/>
  <c r="T63" i="4" l="1"/>
  <c r="S67" i="4"/>
  <c r="AS35" i="2"/>
  <c r="AS33" i="2"/>
  <c r="AS41" i="2"/>
  <c r="AS44" i="2"/>
  <c r="AS32" i="2"/>
  <c r="AS46" i="2"/>
  <c r="AS40" i="2"/>
  <c r="AS43" i="2"/>
  <c r="AS36" i="2"/>
  <c r="AS47" i="2"/>
  <c r="AS37" i="2"/>
  <c r="AS30" i="2"/>
  <c r="AS39" i="2"/>
  <c r="AS45" i="2"/>
  <c r="AS49" i="2"/>
  <c r="AU49" i="2" s="1"/>
  <c r="AS38" i="2"/>
  <c r="AS48" i="2"/>
  <c r="AS31" i="2"/>
  <c r="AS42" i="2"/>
  <c r="AS51" i="2"/>
  <c r="AS50" i="2"/>
  <c r="AS34" i="2"/>
  <c r="BB9" i="4"/>
  <c r="BC9" i="4"/>
  <c r="AG11" i="4"/>
  <c r="AY10" i="4"/>
  <c r="AZ10" i="4" s="1"/>
  <c r="AX51" i="2"/>
  <c r="AR50" i="2"/>
  <c r="AE16" i="4"/>
  <c r="AW15" i="4"/>
  <c r="W40" i="2"/>
  <c r="AO39" i="2"/>
  <c r="X2" i="2"/>
  <c r="Y2" i="2" s="1"/>
  <c r="W9" i="2" s="1"/>
  <c r="X3" i="2"/>
  <c r="Y3" i="2" s="1"/>
  <c r="W10" i="2" s="1"/>
  <c r="X9" i="2" s="1"/>
  <c r="X6" i="2"/>
  <c r="Y6" i="2" s="1"/>
  <c r="X19" i="2" s="1"/>
  <c r="X5" i="2"/>
  <c r="Y5" i="2" s="1"/>
  <c r="X4" i="2"/>
  <c r="Y4" i="2" s="1"/>
  <c r="U63" i="4" l="1"/>
  <c r="T67" i="4"/>
  <c r="AT49" i="2"/>
  <c r="AT38" i="2"/>
  <c r="AU38" i="2"/>
  <c r="AU39" i="2"/>
  <c r="AT39" i="2"/>
  <c r="AT30" i="2"/>
  <c r="AU30" i="2"/>
  <c r="AT37" i="2"/>
  <c r="AU37" i="2"/>
  <c r="AT34" i="2"/>
  <c r="AU34" i="2"/>
  <c r="AT44" i="2"/>
  <c r="AU44" i="2"/>
  <c r="AT45" i="2"/>
  <c r="AU45" i="2"/>
  <c r="AU36" i="2"/>
  <c r="AT36" i="2"/>
  <c r="AU32" i="2"/>
  <c r="AT32" i="2"/>
  <c r="AT42" i="2"/>
  <c r="AU42" i="2"/>
  <c r="AT41" i="2"/>
  <c r="AU41" i="2"/>
  <c r="AU47" i="2"/>
  <c r="AT47" i="2"/>
  <c r="AT33" i="2"/>
  <c r="AU33" i="2"/>
  <c r="AT43" i="2"/>
  <c r="AU43" i="2"/>
  <c r="AU40" i="2"/>
  <c r="AT40" i="2"/>
  <c r="AT46" i="2"/>
  <c r="AU46" i="2"/>
  <c r="AT31" i="2"/>
  <c r="AU31" i="2"/>
  <c r="AU48" i="2"/>
  <c r="AT48" i="2"/>
  <c r="AT35" i="2"/>
  <c r="AU35" i="2"/>
  <c r="X15" i="2"/>
  <c r="AE17" i="4"/>
  <c r="AW16" i="4"/>
  <c r="X11" i="2"/>
  <c r="Y10" i="2" s="1"/>
  <c r="Z3" i="2"/>
  <c r="Y15" i="2" s="1"/>
  <c r="W41" i="2"/>
  <c r="AO40" i="2"/>
  <c r="AU50" i="2"/>
  <c r="AT50" i="2"/>
  <c r="AR51" i="2"/>
  <c r="AX52" i="2"/>
  <c r="BC10" i="4"/>
  <c r="BB10" i="4"/>
  <c r="Y12" i="2"/>
  <c r="Z11" i="2" s="1"/>
  <c r="AG12" i="4"/>
  <c r="AY11" i="4"/>
  <c r="AZ11" i="4" s="1"/>
  <c r="X16" i="2"/>
  <c r="W12" i="2"/>
  <c r="Z9" i="2" s="1"/>
  <c r="X18" i="2"/>
  <c r="X10" i="2"/>
  <c r="Y11" i="2" s="1"/>
  <c r="Z12" i="2" s="1"/>
  <c r="AA3" i="2" a="1"/>
  <c r="W11" i="2"/>
  <c r="Y9" i="2" s="1"/>
  <c r="AB3" i="2" s="1" a="1"/>
  <c r="X17" i="2"/>
  <c r="X12" i="2"/>
  <c r="Z10" i="2" s="1"/>
  <c r="V63" i="4" l="1"/>
  <c r="U67" i="4"/>
  <c r="AX53" i="2"/>
  <c r="AG13" i="4"/>
  <c r="AY12" i="4"/>
  <c r="AZ12" i="4" s="1"/>
  <c r="AT51" i="2"/>
  <c r="AU51" i="2"/>
  <c r="BB11" i="4"/>
  <c r="BC11" i="4"/>
  <c r="W42" i="2"/>
  <c r="AO41" i="2"/>
  <c r="AE18" i="4"/>
  <c r="AW17" i="4"/>
  <c r="AB3" i="2"/>
  <c r="AB5" i="2"/>
  <c r="Y17" i="2" s="1"/>
  <c r="AB4" i="2"/>
  <c r="AA3" i="2"/>
  <c r="AA4" i="2"/>
  <c r="Y16" i="2" s="1"/>
  <c r="AC3" i="2" a="1"/>
  <c r="W63" i="4" l="1"/>
  <c r="V67" i="4"/>
  <c r="W43" i="2"/>
  <c r="AO42" i="2"/>
  <c r="AE19" i="4"/>
  <c r="AW18" i="4"/>
  <c r="BB12" i="4"/>
  <c r="BC12" i="4"/>
  <c r="AG14" i="4"/>
  <c r="AY13" i="4"/>
  <c r="AZ13" i="4" s="1"/>
  <c r="AC3" i="2"/>
  <c r="AC6" i="2"/>
  <c r="Y18" i="2" s="1"/>
  <c r="AC5" i="2"/>
  <c r="AC4" i="2"/>
  <c r="X63" i="4" l="1"/>
  <c r="W67" i="4"/>
  <c r="BB13" i="4"/>
  <c r="BC13" i="4"/>
  <c r="AG15" i="4"/>
  <c r="AY14" i="4"/>
  <c r="AZ14" i="4" s="1"/>
  <c r="AE20" i="4"/>
  <c r="AW19" i="4"/>
  <c r="W44" i="2"/>
  <c r="AO43" i="2"/>
  <c r="Y63" i="4" l="1"/>
  <c r="X67" i="4"/>
  <c r="BC14" i="4"/>
  <c r="BB14" i="4"/>
  <c r="AG16" i="4"/>
  <c r="AY15" i="4"/>
  <c r="AZ15" i="4" s="1"/>
  <c r="W45" i="2"/>
  <c r="AO44" i="2"/>
  <c r="AE21" i="4"/>
  <c r="AW20" i="4"/>
  <c r="Z63" i="4" l="1"/>
  <c r="Y67" i="4"/>
  <c r="W46" i="2"/>
  <c r="AO46" i="2" s="1"/>
  <c r="AO47" i="2" s="1"/>
  <c r="AO48" i="2" s="1"/>
  <c r="AO49" i="2" s="1"/>
  <c r="AO50" i="2" s="1"/>
  <c r="AO51" i="2" s="1"/>
  <c r="AO45" i="2"/>
  <c r="AG17" i="4"/>
  <c r="AY16" i="4"/>
  <c r="AZ16" i="4" s="1"/>
  <c r="AE22" i="4"/>
  <c r="AW22" i="4" s="1"/>
  <c r="AW23" i="4" s="1"/>
  <c r="AW24" i="4" s="1"/>
  <c r="AW25" i="4" s="1"/>
  <c r="AW26" i="4" s="1"/>
  <c r="AW27" i="4" s="1"/>
  <c r="AW21" i="4"/>
  <c r="BB15" i="4"/>
  <c r="BC15" i="4"/>
  <c r="AA63" i="4" l="1"/>
  <c r="Z67" i="4"/>
  <c r="AG18" i="4"/>
  <c r="AY17" i="4"/>
  <c r="AZ17" i="4" s="1"/>
  <c r="BB16" i="4"/>
  <c r="BC16" i="4"/>
  <c r="AB63" i="4" l="1"/>
  <c r="AA67" i="4"/>
  <c r="BB17" i="4"/>
  <c r="BC17" i="4"/>
  <c r="AG19" i="4"/>
  <c r="AY18" i="4"/>
  <c r="AZ18" i="4" s="1"/>
  <c r="AC63" i="4" l="1"/>
  <c r="AB67" i="4"/>
  <c r="BC18" i="4"/>
  <c r="BB18" i="4"/>
  <c r="AG20" i="4"/>
  <c r="AY19" i="4"/>
  <c r="AZ19" i="4" s="1"/>
  <c r="AD63" i="4" l="1"/>
  <c r="AD67" i="4" s="1"/>
  <c r="AC67" i="4"/>
  <c r="BB19" i="4"/>
  <c r="BC19" i="4"/>
  <c r="AG21" i="4"/>
  <c r="AY20" i="4"/>
  <c r="AZ20" i="4" s="1"/>
  <c r="C68" i="4" l="1"/>
  <c r="F68" i="4"/>
  <c r="BB20" i="4"/>
  <c r="BC20" i="4"/>
  <c r="AG22" i="4"/>
  <c r="AY22" i="4" s="1"/>
  <c r="AY21" i="4"/>
  <c r="AZ21" i="4" s="1"/>
  <c r="N68" i="4" l="1"/>
  <c r="BB21" i="4"/>
  <c r="BC21" i="4"/>
  <c r="AZ22" i="4"/>
  <c r="AZ23" i="4"/>
  <c r="BC23" i="4" l="1"/>
  <c r="BB23" i="4"/>
  <c r="AZ24" i="4"/>
  <c r="BF23" i="4"/>
  <c r="BC22" i="4"/>
  <c r="BB22" i="4"/>
  <c r="AZ25" i="4" l="1"/>
  <c r="BC24" i="4"/>
  <c r="BF24" i="4"/>
  <c r="BB24" i="4"/>
  <c r="AZ26" i="4" l="1"/>
  <c r="BF25" i="4"/>
  <c r="BC25" i="4"/>
  <c r="BB25" i="4"/>
  <c r="AZ27" i="4" l="1"/>
  <c r="BF26" i="4"/>
  <c r="BB26" i="4"/>
  <c r="BC26" i="4"/>
  <c r="BF27" i="4" l="1"/>
  <c r="BC27" i="4"/>
  <c r="BB2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<sst xmlns="http://schemas.openxmlformats.org/spreadsheetml/2006/main" count="375" uniqueCount="100">
  <si>
    <t>Month</t>
  </si>
  <si>
    <t xml:space="preserve">Gas Use </t>
  </si>
  <si>
    <t>Electric Use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</si>
  <si>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</si>
  <si>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</si>
  <si>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</si>
  <si>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</si>
  <si>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</si>
  <si>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</si>
  <si>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</si>
  <si>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</si>
  <si>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</si>
  <si>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</si>
  <si>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</si>
  <si>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</si>
  <si>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Lag 1</t>
  </si>
  <si>
    <t>Lag 2</t>
  </si>
  <si>
    <t>d = 1</t>
  </si>
  <si>
    <t>d = 2</t>
  </si>
  <si>
    <t>Lag 0</t>
  </si>
  <si>
    <t>lag 3</t>
  </si>
  <si>
    <t>lag 4</t>
  </si>
  <si>
    <t>Dominator</t>
  </si>
  <si>
    <t>Numerator</t>
  </si>
  <si>
    <t>ACF</t>
  </si>
  <si>
    <t>PACF(1)</t>
  </si>
  <si>
    <t>PACF(2)</t>
  </si>
  <si>
    <t>PACF(3)</t>
  </si>
  <si>
    <t>PACF(4)</t>
  </si>
  <si>
    <t>LAG</t>
  </si>
  <si>
    <t>PACF</t>
  </si>
  <si>
    <t>ARIMA(1,2,0)</t>
  </si>
  <si>
    <t>ARIMA Model</t>
  </si>
  <si>
    <t>time</t>
  </si>
  <si>
    <t>data</t>
  </si>
  <si>
    <t>residual</t>
  </si>
  <si>
    <t>Model statistics</t>
  </si>
  <si>
    <t>index</t>
  </si>
  <si>
    <t>phi</t>
  </si>
  <si>
    <t>theta</t>
  </si>
  <si>
    <t>const</t>
  </si>
  <si>
    <t>SSE</t>
  </si>
  <si>
    <t>p</t>
  </si>
  <si>
    <t>q</t>
  </si>
  <si>
    <t>d</t>
  </si>
  <si>
    <t>res mean</t>
  </si>
  <si>
    <t>res s.d.</t>
  </si>
  <si>
    <t>sqrt mse</t>
  </si>
  <si>
    <t>data mean</t>
  </si>
  <si>
    <t>data s.d.</t>
  </si>
  <si>
    <t>size</t>
  </si>
  <si>
    <t>LL</t>
  </si>
  <si>
    <t>AIC</t>
  </si>
  <si>
    <t>BIC</t>
  </si>
  <si>
    <t>AIC aug</t>
  </si>
  <si>
    <t>BIC aug</t>
  </si>
  <si>
    <t>Model parameters</t>
  </si>
  <si>
    <t>param</t>
  </si>
  <si>
    <t>coeff</t>
  </si>
  <si>
    <t>s.e.</t>
  </si>
  <si>
    <t>t-stat</t>
  </si>
  <si>
    <t>p-value</t>
  </si>
  <si>
    <t>phi 1</t>
  </si>
  <si>
    <t>Phi roots</t>
  </si>
  <si>
    <t>real</t>
  </si>
  <si>
    <t>imag</t>
  </si>
  <si>
    <t>abs val</t>
  </si>
  <si>
    <t>Theta roots</t>
  </si>
  <si>
    <t>Psi coefficients</t>
  </si>
  <si>
    <t>psi</t>
  </si>
  <si>
    <t>Forecast (reduced)</t>
  </si>
  <si>
    <t>Alpha</t>
  </si>
  <si>
    <t>pred</t>
  </si>
  <si>
    <t>lower</t>
  </si>
  <si>
    <t>upper</t>
  </si>
  <si>
    <t>Forecast</t>
  </si>
  <si>
    <t>forecast</t>
  </si>
  <si>
    <t>ARIMA(1,0,1)</t>
  </si>
  <si>
    <t>theta 1</t>
  </si>
  <si>
    <t>SES (SIMPLE EXPONENTIAL SMOOTHING)</t>
  </si>
  <si>
    <t>a = 0.1</t>
  </si>
  <si>
    <t>a = 0.2</t>
  </si>
  <si>
    <t>a = 0.3</t>
  </si>
  <si>
    <t>a = 0.5</t>
  </si>
  <si>
    <t>Electric Use (Actual)</t>
  </si>
  <si>
    <t>Electric Use (Predicted)</t>
  </si>
  <si>
    <t>ARIMA</t>
  </si>
  <si>
    <t>Gas Use (Actual)</t>
  </si>
  <si>
    <t>Gas Use (Predicted)</t>
  </si>
  <si>
    <t>abs((At-Ft)/At)</t>
  </si>
  <si>
    <t>sum</t>
  </si>
  <si>
    <t xml:space="preserve">n </t>
  </si>
  <si>
    <t xml:space="preserve">MAPE </t>
  </si>
  <si>
    <t xml:space="preserve">sum </t>
  </si>
  <si>
    <t>n</t>
  </si>
  <si>
    <t>MAPE</t>
  </si>
  <si>
    <t>MSE</t>
  </si>
  <si>
    <r>
      <t>(actual – forecast)</t>
    </r>
    <r>
      <rPr>
        <vertAlign val="superscript"/>
        <sz val="11"/>
        <color rgb="FF000000"/>
        <rFont val="Calibri"/>
        <family val="2"/>
        <scheme val="minor"/>
      </rPr>
      <t>2</t>
    </r>
  </si>
  <si>
    <t>RMSE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</si>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</sst>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/>
    <xf numFmtId="0" fontId="3" fillId="0" borderId="1" xfId="1" applyFont="1" applyBorder="1"/>
    <xf numFmtId="0" fontId="1" fillId="0" borderId="0" xfId="0" applyFont="1"/>
    <xf numFmtId="0" fontId="0" fillId="2" borderId="0" xfId="0" applyFill="1"/>
    <xf numFmtId="0" fontId="4" fillId="0" borderId="0" xfId="0" applyFont="1" applyAlignment="1">
      <alignment horizontal="center"/>
    </xf>
    <xf numFmtId="0" fontId="3" fillId="0" borderId="0" xfId="1" applyFont="1"/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4" fillId="0" borderId="10" xfId="0" applyFont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77FA0816-E383-40DC-A84C-1B8C7DF75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58705161854749E-2"/>
          <c:y val="0.15782407407407409"/>
          <c:w val="0.89019685039370078"/>
          <c:h val="0.69729950422863807"/>
        </c:manualLayout>
      </c:layout>
      <c:lineChart>
        <c:grouping val="standard"/>
        <c:varyColors val="0"/>
        <c:ser>
          <c:idx val="0"/>
          <c:order val="0"/>
          <c:tx>
            <c:strRef>
              <c:f>Gas!$B$1</c:f>
              <c:strCache>
                <c:ptCount val="1"/>
                <c:pt idx="0">
                  <c:v>Gas Use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Gas!$A$2:$A$25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Gas!$B$2:$B$25</c:f>
              <c:numCache>
                <c:formatCode>General</c:formatCode>
                <c:ptCount val="24"/>
                <c:pt idx="0">
                  <c:v>244</c:v>
                </c:pt>
                <c:pt idx="1">
                  <c:v>228</c:v>
                </c:pt>
                <c:pt idx="2">
                  <c:v>153</c:v>
                </c:pt>
                <c:pt idx="3">
                  <c:v>140</c:v>
                </c:pt>
                <c:pt idx="4">
                  <c:v>55</c:v>
                </c:pt>
                <c:pt idx="5">
                  <c:v>34</c:v>
                </c:pt>
                <c:pt idx="6">
                  <c:v>30</c:v>
                </c:pt>
                <c:pt idx="7">
                  <c:v>28</c:v>
                </c:pt>
                <c:pt idx="8">
                  <c:v>29</c:v>
                </c:pt>
                <c:pt idx="9">
                  <c:v>41</c:v>
                </c:pt>
                <c:pt idx="10">
                  <c:v>88</c:v>
                </c:pt>
                <c:pt idx="11">
                  <c:v>199</c:v>
                </c:pt>
                <c:pt idx="12">
                  <c:v>230</c:v>
                </c:pt>
                <c:pt idx="13">
                  <c:v>245</c:v>
                </c:pt>
                <c:pt idx="14">
                  <c:v>247</c:v>
                </c:pt>
                <c:pt idx="15">
                  <c:v>135</c:v>
                </c:pt>
                <c:pt idx="16">
                  <c:v>34</c:v>
                </c:pt>
                <c:pt idx="17">
                  <c:v>33</c:v>
                </c:pt>
                <c:pt idx="18">
                  <c:v>27</c:v>
                </c:pt>
                <c:pt idx="19">
                  <c:v>26</c:v>
                </c:pt>
                <c:pt idx="20">
                  <c:v>28</c:v>
                </c:pt>
                <c:pt idx="21">
                  <c:v>39</c:v>
                </c:pt>
                <c:pt idx="22">
                  <c:v>86</c:v>
                </c:pt>
                <c:pt idx="23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C-4869-BF68-4DEB99D33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55488"/>
        <c:axId val="2012655008"/>
      </c:lineChart>
      <c:catAx>
        <c:axId val="20126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5008"/>
        <c:crosses val="autoZero"/>
        <c:auto val="1"/>
        <c:lblAlgn val="ctr"/>
        <c:lblOffset val="100"/>
        <c:noMultiLvlLbl val="0"/>
      </c:catAx>
      <c:valAx>
        <c:axId val="20126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Use (</a:t>
            </a:r>
            <a:r>
              <a:rPr lang="en-US" baseline="0"/>
              <a:t>d =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Gas!$A$3:$A$25</c:f>
              <c:strCache>
                <c:ptCount val="23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Jan</c:v>
                </c:pt>
                <c:pt idx="12">
                  <c:v>Feb</c:v>
                </c:pt>
                <c:pt idx="13">
                  <c:v>Mar</c:v>
                </c:pt>
                <c:pt idx="14">
                  <c:v>Apr</c:v>
                </c:pt>
                <c:pt idx="15">
                  <c:v>May</c:v>
                </c:pt>
                <c:pt idx="16">
                  <c:v>Jun</c:v>
                </c:pt>
                <c:pt idx="17">
                  <c:v>Jul</c:v>
                </c:pt>
                <c:pt idx="18">
                  <c:v>Aug</c:v>
                </c:pt>
                <c:pt idx="19">
                  <c:v>Sep</c:v>
                </c:pt>
                <c:pt idx="20">
                  <c:v>Oct</c:v>
                </c:pt>
                <c:pt idx="21">
                  <c:v>Nov</c:v>
                </c:pt>
                <c:pt idx="22">
                  <c:v>Dec</c:v>
                </c:pt>
              </c:strCache>
            </c:strRef>
          </c:cat>
          <c:val>
            <c:numRef>
              <c:f>Gas!$C$3:$C$25</c:f>
              <c:numCache>
                <c:formatCode>General</c:formatCode>
                <c:ptCount val="23"/>
                <c:pt idx="0">
                  <c:v>-16</c:v>
                </c:pt>
                <c:pt idx="1">
                  <c:v>-75</c:v>
                </c:pt>
                <c:pt idx="2">
                  <c:v>-13</c:v>
                </c:pt>
                <c:pt idx="3">
                  <c:v>-85</c:v>
                </c:pt>
                <c:pt idx="4">
                  <c:v>-21</c:v>
                </c:pt>
                <c:pt idx="5">
                  <c:v>-4</c:v>
                </c:pt>
                <c:pt idx="6">
                  <c:v>-2</c:v>
                </c:pt>
                <c:pt idx="7">
                  <c:v>1</c:v>
                </c:pt>
                <c:pt idx="8">
                  <c:v>12</c:v>
                </c:pt>
                <c:pt idx="9">
                  <c:v>47</c:v>
                </c:pt>
                <c:pt idx="10">
                  <c:v>111</c:v>
                </c:pt>
                <c:pt idx="11">
                  <c:v>31</c:v>
                </c:pt>
                <c:pt idx="12">
                  <c:v>15</c:v>
                </c:pt>
                <c:pt idx="13">
                  <c:v>2</c:v>
                </c:pt>
                <c:pt idx="14">
                  <c:v>-112</c:v>
                </c:pt>
                <c:pt idx="15">
                  <c:v>-101</c:v>
                </c:pt>
                <c:pt idx="16">
                  <c:v>-1</c:v>
                </c:pt>
                <c:pt idx="17">
                  <c:v>-6</c:v>
                </c:pt>
                <c:pt idx="18">
                  <c:v>-1</c:v>
                </c:pt>
                <c:pt idx="19">
                  <c:v>2</c:v>
                </c:pt>
                <c:pt idx="20">
                  <c:v>11</c:v>
                </c:pt>
                <c:pt idx="21">
                  <c:v>47</c:v>
                </c:pt>
                <c:pt idx="22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8-49E5-B22A-86C243FD4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891024"/>
        <c:axId val="1683887664"/>
      </c:lineChart>
      <c:catAx>
        <c:axId val="168389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887664"/>
        <c:crosses val="autoZero"/>
        <c:auto val="1"/>
        <c:lblAlgn val="ctr"/>
        <c:lblOffset val="100"/>
        <c:noMultiLvlLbl val="0"/>
      </c:catAx>
      <c:valAx>
        <c:axId val="168388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89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Gas!$A$4:$A$25</c:f>
              <c:strCache>
                <c:ptCount val="22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Jul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  <c:pt idx="8">
                  <c:v>Nov</c:v>
                </c:pt>
                <c:pt idx="9">
                  <c:v>Dec</c:v>
                </c:pt>
                <c:pt idx="10">
                  <c:v>Jan</c:v>
                </c:pt>
                <c:pt idx="11">
                  <c:v>Feb</c:v>
                </c:pt>
                <c:pt idx="12">
                  <c:v>Mar</c:v>
                </c:pt>
                <c:pt idx="13">
                  <c:v>Apr</c:v>
                </c:pt>
                <c:pt idx="14">
                  <c:v>May</c:v>
                </c:pt>
                <c:pt idx="15">
                  <c:v>Jun</c:v>
                </c:pt>
                <c:pt idx="16">
                  <c:v>Jul</c:v>
                </c:pt>
                <c:pt idx="17">
                  <c:v>Aug</c:v>
                </c:pt>
                <c:pt idx="18">
                  <c:v>Sep</c:v>
                </c:pt>
                <c:pt idx="19">
                  <c:v>Oct</c:v>
                </c:pt>
                <c:pt idx="20">
                  <c:v>Nov</c:v>
                </c:pt>
                <c:pt idx="21">
                  <c:v>Dec</c:v>
                </c:pt>
              </c:strCache>
            </c:strRef>
          </c:cat>
          <c:val>
            <c:numRef>
              <c:f>Gas!$D$4:$D$25</c:f>
              <c:numCache>
                <c:formatCode>General</c:formatCode>
                <c:ptCount val="22"/>
                <c:pt idx="0">
                  <c:v>-59</c:v>
                </c:pt>
                <c:pt idx="1">
                  <c:v>62</c:v>
                </c:pt>
                <c:pt idx="2">
                  <c:v>-72</c:v>
                </c:pt>
                <c:pt idx="3">
                  <c:v>64</c:v>
                </c:pt>
                <c:pt idx="4">
                  <c:v>17</c:v>
                </c:pt>
                <c:pt idx="5">
                  <c:v>2</c:v>
                </c:pt>
                <c:pt idx="6">
                  <c:v>3</c:v>
                </c:pt>
                <c:pt idx="7">
                  <c:v>11</c:v>
                </c:pt>
                <c:pt idx="8">
                  <c:v>35</c:v>
                </c:pt>
                <c:pt idx="9">
                  <c:v>64</c:v>
                </c:pt>
                <c:pt idx="10">
                  <c:v>-80</c:v>
                </c:pt>
                <c:pt idx="11">
                  <c:v>-16</c:v>
                </c:pt>
                <c:pt idx="12">
                  <c:v>-13</c:v>
                </c:pt>
                <c:pt idx="13">
                  <c:v>-114</c:v>
                </c:pt>
                <c:pt idx="14">
                  <c:v>11</c:v>
                </c:pt>
                <c:pt idx="15">
                  <c:v>100</c:v>
                </c:pt>
                <c:pt idx="16">
                  <c:v>-5</c:v>
                </c:pt>
                <c:pt idx="17">
                  <c:v>5</c:v>
                </c:pt>
                <c:pt idx="18">
                  <c:v>3</c:v>
                </c:pt>
                <c:pt idx="19">
                  <c:v>9</c:v>
                </c:pt>
                <c:pt idx="20">
                  <c:v>36</c:v>
                </c:pt>
                <c:pt idx="2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9F-4D14-9D48-BB58B7270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0593168"/>
        <c:axId val="2012653568"/>
      </c:lineChart>
      <c:catAx>
        <c:axId val="169059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3568"/>
        <c:crosses val="autoZero"/>
        <c:auto val="1"/>
        <c:lblAlgn val="ctr"/>
        <c:lblOffset val="100"/>
        <c:noMultiLvlLbl val="0"/>
      </c:catAx>
      <c:valAx>
        <c:axId val="20126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5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Gas!$Y$14</c:f>
              <c:strCache>
                <c:ptCount val="1"/>
                <c:pt idx="0">
                  <c:v>PACF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Gas!$W$15:$W$18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Gas!$Y$15:$Y$18</c:f>
              <c:numCache>
                <c:formatCode>General</c:formatCode>
                <c:ptCount val="4"/>
                <c:pt idx="0">
                  <c:v>-0.18015495382458491</c:v>
                </c:pt>
                <c:pt idx="1">
                  <c:v>-0.10001629567611048</c:v>
                </c:pt>
                <c:pt idx="2">
                  <c:v>3.8929167043786503E-2</c:v>
                </c:pt>
                <c:pt idx="3">
                  <c:v>-0.17163059196898789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3-440E-BB10-5C6919400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0384496"/>
        <c:axId val="2030383056"/>
      </c:barChart>
      <c:catAx>
        <c:axId val="203038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83056"/>
        <c:crosses val="autoZero"/>
        <c:auto val="1"/>
        <c:lblAlgn val="ctr"/>
        <c:lblOffset val="100"/>
        <c:noMultiLvlLbl val="0"/>
      </c:catAx>
      <c:valAx>
        <c:axId val="20303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8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Gas!$X$14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Gas!$W$15:$W$19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Gas!$X$15:$X$19</c:f>
              <c:numCache>
                <c:formatCode>General</c:formatCode>
                <c:ptCount val="5"/>
                <c:pt idx="0">
                  <c:v>1</c:v>
                </c:pt>
                <c:pt idx="1">
                  <c:v>-0.18015495382458491</c:v>
                </c:pt>
                <c:pt idx="2">
                  <c:v>-6.4314378660493235E-2</c:v>
                </c:pt>
                <c:pt idx="3">
                  <c:v>6.8052739083501554E-2</c:v>
                </c:pt>
                <c:pt idx="4">
                  <c:v>-0.17844813494325079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5-4112-91D5-F8312743C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153328"/>
        <c:axId val="1499148048"/>
      </c:barChart>
      <c:catAx>
        <c:axId val="149915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148048"/>
        <c:crosses val="autoZero"/>
        <c:auto val="1"/>
        <c:lblAlgn val="ctr"/>
        <c:lblOffset val="100"/>
        <c:noMultiLvlLbl val="0"/>
      </c:catAx>
      <c:valAx>
        <c:axId val="14991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15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Gas!$O$65</c:f>
              <c:strCache>
                <c:ptCount val="1"/>
                <c:pt idx="0">
                  <c:v>Gas Use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Gas!$P$64:$AM$64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Gas!$P$65:$AM$65</c:f>
              <c:numCache>
                <c:formatCode>General</c:formatCode>
                <c:ptCount val="24"/>
                <c:pt idx="0">
                  <c:v>244</c:v>
                </c:pt>
                <c:pt idx="1">
                  <c:v>228</c:v>
                </c:pt>
                <c:pt idx="2">
                  <c:v>153</c:v>
                </c:pt>
                <c:pt idx="3">
                  <c:v>140</c:v>
                </c:pt>
                <c:pt idx="4">
                  <c:v>55</c:v>
                </c:pt>
                <c:pt idx="5">
                  <c:v>34</c:v>
                </c:pt>
                <c:pt idx="6">
                  <c:v>30</c:v>
                </c:pt>
                <c:pt idx="7">
                  <c:v>28</c:v>
                </c:pt>
                <c:pt idx="8">
                  <c:v>29</c:v>
                </c:pt>
                <c:pt idx="9">
                  <c:v>41</c:v>
                </c:pt>
                <c:pt idx="10">
                  <c:v>88</c:v>
                </c:pt>
                <c:pt idx="11">
                  <c:v>199</c:v>
                </c:pt>
                <c:pt idx="12">
                  <c:v>230</c:v>
                </c:pt>
                <c:pt idx="13">
                  <c:v>245</c:v>
                </c:pt>
                <c:pt idx="14">
                  <c:v>247</c:v>
                </c:pt>
                <c:pt idx="15">
                  <c:v>135</c:v>
                </c:pt>
                <c:pt idx="16">
                  <c:v>34</c:v>
                </c:pt>
                <c:pt idx="17">
                  <c:v>33</c:v>
                </c:pt>
                <c:pt idx="18">
                  <c:v>27</c:v>
                </c:pt>
                <c:pt idx="19">
                  <c:v>26</c:v>
                </c:pt>
                <c:pt idx="20">
                  <c:v>28</c:v>
                </c:pt>
                <c:pt idx="21">
                  <c:v>39</c:v>
                </c:pt>
                <c:pt idx="22">
                  <c:v>86</c:v>
                </c:pt>
                <c:pt idx="23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A-42B1-BB82-0FCC7521834E}"/>
            </c:ext>
          </c:extLst>
        </c:ser>
        <c:ser>
          <c:idx val="1"/>
          <c:order val="1"/>
          <c:tx>
            <c:strRef>
              <c:f>Gas!$O$66</c:f>
              <c:strCache>
                <c:ptCount val="1"/>
                <c:pt idx="0">
                  <c:v>a = 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Gas!$P$64:$AM$64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Gas!$P$66:$AM$66</c:f>
              <c:numCache>
                <c:formatCode>General</c:formatCode>
                <c:ptCount val="24"/>
                <c:pt idx="0">
                  <c:v>#N/A</c:v>
                </c:pt>
                <c:pt idx="1">
                  <c:v>244</c:v>
                </c:pt>
                <c:pt idx="2">
                  <c:v>242.4</c:v>
                </c:pt>
                <c:pt idx="3">
                  <c:v>233.46</c:v>
                </c:pt>
                <c:pt idx="4">
                  <c:v>224.114</c:v>
                </c:pt>
                <c:pt idx="5">
                  <c:v>207.20260000000002</c:v>
                </c:pt>
                <c:pt idx="6">
                  <c:v>189.88234000000003</c:v>
                </c:pt>
                <c:pt idx="7">
                  <c:v>173.89410600000002</c:v>
                </c:pt>
                <c:pt idx="8">
                  <c:v>159.30469540000004</c:v>
                </c:pt>
                <c:pt idx="9">
                  <c:v>146.27422586000006</c:v>
                </c:pt>
                <c:pt idx="10">
                  <c:v>135.74680327400006</c:v>
                </c:pt>
                <c:pt idx="11">
                  <c:v>130.97212294660005</c:v>
                </c:pt>
                <c:pt idx="12">
                  <c:v>137.77491065194005</c:v>
                </c:pt>
                <c:pt idx="13">
                  <c:v>146.99741958674605</c:v>
                </c:pt>
                <c:pt idx="14">
                  <c:v>156.79767762807145</c:v>
                </c:pt>
                <c:pt idx="15">
                  <c:v>165.81790986526431</c:v>
                </c:pt>
                <c:pt idx="16">
                  <c:v>162.7361188787379</c:v>
                </c:pt>
                <c:pt idx="17">
                  <c:v>149.86250699086412</c:v>
                </c:pt>
                <c:pt idx="18">
                  <c:v>138.17625629177772</c:v>
                </c:pt>
                <c:pt idx="19">
                  <c:v>127.05863066259995</c:v>
                </c:pt>
                <c:pt idx="20">
                  <c:v>116.95276759633995</c:v>
                </c:pt>
                <c:pt idx="21">
                  <c:v>108.05749083670595</c:v>
                </c:pt>
                <c:pt idx="22">
                  <c:v>101.15174175303537</c:v>
                </c:pt>
                <c:pt idx="23">
                  <c:v>99.636567577731824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A-42B1-BB82-0FCC7521834E}"/>
            </c:ext>
          </c:extLst>
        </c:ser>
        <c:ser>
          <c:idx val="2"/>
          <c:order val="2"/>
          <c:tx>
            <c:strRef>
              <c:f>Gas!$O$67</c:f>
              <c:strCache>
                <c:ptCount val="1"/>
                <c:pt idx="0">
                  <c:v>a = 0.2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Gas!$P$64:$AM$64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Gas!$P$67:$AM$67</c:f>
              <c:numCache>
                <c:formatCode>General</c:formatCode>
                <c:ptCount val="24"/>
                <c:pt idx="0">
                  <c:v>#N/A</c:v>
                </c:pt>
                <c:pt idx="1">
                  <c:v>244</c:v>
                </c:pt>
                <c:pt idx="2">
                  <c:v>240.8</c:v>
                </c:pt>
                <c:pt idx="3">
                  <c:v>223.24</c:v>
                </c:pt>
                <c:pt idx="4">
                  <c:v>206.59200000000001</c:v>
                </c:pt>
                <c:pt idx="5">
                  <c:v>176.27360000000002</c:v>
                </c:pt>
                <c:pt idx="6">
                  <c:v>147.81888000000004</c:v>
                </c:pt>
                <c:pt idx="7">
                  <c:v>124.25510400000003</c:v>
                </c:pt>
                <c:pt idx="8">
                  <c:v>105.00408320000003</c:v>
                </c:pt>
                <c:pt idx="9">
                  <c:v>89.803266560000026</c:v>
                </c:pt>
                <c:pt idx="10">
                  <c:v>80.042613248000023</c:v>
                </c:pt>
                <c:pt idx="11">
                  <c:v>81.634090598400036</c:v>
                </c:pt>
                <c:pt idx="12">
                  <c:v>105.10727247872003</c:v>
                </c:pt>
                <c:pt idx="13">
                  <c:v>130.08581798297604</c:v>
                </c:pt>
                <c:pt idx="14">
                  <c:v>153.06865438638084</c:v>
                </c:pt>
                <c:pt idx="15">
                  <c:v>171.85492350910468</c:v>
                </c:pt>
                <c:pt idx="16">
                  <c:v>164.48393880728375</c:v>
                </c:pt>
                <c:pt idx="17">
                  <c:v>138.38715104582701</c:v>
                </c:pt>
                <c:pt idx="18">
                  <c:v>117.30972083666161</c:v>
                </c:pt>
                <c:pt idx="19">
                  <c:v>99.247776669329298</c:v>
                </c:pt>
                <c:pt idx="20">
                  <c:v>84.59822133546345</c:v>
                </c:pt>
                <c:pt idx="21">
                  <c:v>73.278577068370751</c:v>
                </c:pt>
                <c:pt idx="22">
                  <c:v>66.422861654696604</c:v>
                </c:pt>
                <c:pt idx="23">
                  <c:v>70.33828932375728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A-42B1-BB82-0FCC7521834E}"/>
            </c:ext>
          </c:extLst>
        </c:ser>
        <c:ser>
          <c:idx val="3"/>
          <c:order val="3"/>
          <c:tx>
            <c:strRef>
              <c:f>Gas!$O$68</c:f>
              <c:strCache>
                <c:ptCount val="1"/>
                <c:pt idx="0">
                  <c:v>a = 0.3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Gas!$P$64:$AM$64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Gas!$P$68:$AM$68</c:f>
              <c:numCache>
                <c:formatCode>General</c:formatCode>
                <c:ptCount val="24"/>
                <c:pt idx="0">
                  <c:v>#N/A</c:v>
                </c:pt>
                <c:pt idx="1">
                  <c:v>244</c:v>
                </c:pt>
                <c:pt idx="2">
                  <c:v>239.2</c:v>
                </c:pt>
                <c:pt idx="3">
                  <c:v>213.33999999999997</c:v>
                </c:pt>
                <c:pt idx="4">
                  <c:v>191.33799999999997</c:v>
                </c:pt>
                <c:pt idx="5">
                  <c:v>150.43659999999997</c:v>
                </c:pt>
                <c:pt idx="6">
                  <c:v>115.50561999999998</c:v>
                </c:pt>
                <c:pt idx="7">
                  <c:v>89.853933999999981</c:v>
                </c:pt>
                <c:pt idx="8">
                  <c:v>71.297753799999981</c:v>
                </c:pt>
                <c:pt idx="9">
                  <c:v>58.60842765999999</c:v>
                </c:pt>
                <c:pt idx="10">
                  <c:v>53.325899361999987</c:v>
                </c:pt>
                <c:pt idx="11">
                  <c:v>63.728129553399988</c:v>
                </c:pt>
                <c:pt idx="12">
                  <c:v>104.30969068737998</c:v>
                </c:pt>
                <c:pt idx="13">
                  <c:v>142.01678348116599</c:v>
                </c:pt>
                <c:pt idx="14">
                  <c:v>172.9117484368162</c:v>
                </c:pt>
                <c:pt idx="15">
                  <c:v>195.13822390577133</c:v>
                </c:pt>
                <c:pt idx="16">
                  <c:v>177.09675673403993</c:v>
                </c:pt>
                <c:pt idx="17">
                  <c:v>134.16772971382792</c:v>
                </c:pt>
                <c:pt idx="18">
                  <c:v>103.81741079967955</c:v>
                </c:pt>
                <c:pt idx="19">
                  <c:v>80.772187559775674</c:v>
                </c:pt>
                <c:pt idx="20">
                  <c:v>64.340531291842964</c:v>
                </c:pt>
                <c:pt idx="21">
                  <c:v>53.438371904290072</c:v>
                </c:pt>
                <c:pt idx="22">
                  <c:v>49.106860333003041</c:v>
                </c:pt>
                <c:pt idx="23">
                  <c:v>60.174802233102128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0A-42B1-BB82-0FCC7521834E}"/>
            </c:ext>
          </c:extLst>
        </c:ser>
        <c:ser>
          <c:idx val="4"/>
          <c:order val="4"/>
          <c:tx>
            <c:strRef>
              <c:f>Gas!$O$69</c:f>
              <c:strCache>
                <c:ptCount val="1"/>
                <c:pt idx="0">
                  <c:v>a = 0.5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Gas!$P$64:$AM$64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Gas!$P$69:$AM$69</c:f>
              <c:numCache>
                <c:formatCode>General</c:formatCode>
                <c:ptCount val="24"/>
                <c:pt idx="0">
                  <c:v>#N/A</c:v>
                </c:pt>
                <c:pt idx="1">
                  <c:v>244</c:v>
                </c:pt>
                <c:pt idx="2">
                  <c:v>236</c:v>
                </c:pt>
                <c:pt idx="3">
                  <c:v>194.5</c:v>
                </c:pt>
                <c:pt idx="4">
                  <c:v>167.25</c:v>
                </c:pt>
                <c:pt idx="5">
                  <c:v>111.125</c:v>
                </c:pt>
                <c:pt idx="6">
                  <c:v>72.5625</c:v>
                </c:pt>
                <c:pt idx="7">
                  <c:v>51.28125</c:v>
                </c:pt>
                <c:pt idx="8">
                  <c:v>39.640625</c:v>
                </c:pt>
                <c:pt idx="9">
                  <c:v>34.3203125</c:v>
                </c:pt>
                <c:pt idx="10">
                  <c:v>37.66015625</c:v>
                </c:pt>
                <c:pt idx="11">
                  <c:v>62.830078125</c:v>
                </c:pt>
                <c:pt idx="12">
                  <c:v>130.9150390625</c:v>
                </c:pt>
                <c:pt idx="13">
                  <c:v>180.45751953125</c:v>
                </c:pt>
                <c:pt idx="14">
                  <c:v>212.728759765625</c:v>
                </c:pt>
                <c:pt idx="15">
                  <c:v>229.8643798828125</c:v>
                </c:pt>
                <c:pt idx="16">
                  <c:v>182.43218994140625</c:v>
                </c:pt>
                <c:pt idx="17">
                  <c:v>108.21609497070313</c:v>
                </c:pt>
                <c:pt idx="18">
                  <c:v>70.608047485351563</c:v>
                </c:pt>
                <c:pt idx="19">
                  <c:v>48.804023742675781</c:v>
                </c:pt>
                <c:pt idx="20">
                  <c:v>37.402011871337891</c:v>
                </c:pt>
                <c:pt idx="21">
                  <c:v>32.701005935668945</c:v>
                </c:pt>
                <c:pt idx="22">
                  <c:v>35.850502967834473</c:v>
                </c:pt>
                <c:pt idx="23">
                  <c:v>60.925251483917236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0A-42B1-BB82-0FCC75218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91728"/>
        <c:axId val="159289808"/>
      </c:lineChart>
      <c:catAx>
        <c:axId val="15929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89808"/>
        <c:crosses val="autoZero"/>
        <c:auto val="1"/>
        <c:lblAlgn val="ctr"/>
        <c:lblOffset val="100"/>
        <c:noMultiLvlLbl val="0"/>
      </c:catAx>
      <c:valAx>
        <c:axId val="1592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9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vs Predicted Gas Use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Gas!$G$20</c:f>
              <c:strCache>
                <c:ptCount val="1"/>
                <c:pt idx="0">
                  <c:v>Gas Use (Actual)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Gas!$F$21:$F$25</c:f>
              <c:strCache>
                <c:ptCount val="5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</c:strCache>
            </c:strRef>
          </c:cat>
          <c:val>
            <c:numRef>
              <c:f>Gas!$G$21:$G$25</c:f>
              <c:numCache>
                <c:formatCode>General</c:formatCode>
                <c:ptCount val="5"/>
                <c:pt idx="0">
                  <c:v>26</c:v>
                </c:pt>
                <c:pt idx="1">
                  <c:v>28</c:v>
                </c:pt>
                <c:pt idx="2">
                  <c:v>39</c:v>
                </c:pt>
                <c:pt idx="3">
                  <c:v>86</c:v>
                </c:pt>
                <c:pt idx="4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9-41D2-875B-29F99AC7CC33}"/>
            </c:ext>
          </c:extLst>
        </c:ser>
        <c:ser>
          <c:idx val="1"/>
          <c:order val="1"/>
          <c:tx>
            <c:strRef>
              <c:f>Gas!$H$20</c:f>
              <c:strCache>
                <c:ptCount val="1"/>
                <c:pt idx="0">
                  <c:v>Gas Use (Predicted)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Gas!$F$21:$F$25</c:f>
              <c:strCache>
                <c:ptCount val="5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</c:strCache>
            </c:strRef>
          </c:cat>
          <c:val>
            <c:numRef>
              <c:f>Gas!$H$21:$H$25</c:f>
              <c:numCache>
                <c:formatCode>General</c:formatCode>
                <c:ptCount val="5"/>
                <c:pt idx="0">
                  <c:v>26.654159139322093</c:v>
                </c:pt>
                <c:pt idx="1">
                  <c:v>29.555024753688276</c:v>
                </c:pt>
                <c:pt idx="2">
                  <c:v>36.246593629231405</c:v>
                </c:pt>
                <c:pt idx="3">
                  <c:v>46.60594226771871</c:v>
                </c:pt>
                <c:pt idx="4">
                  <c:v>60.660846911221768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9-41D2-875B-29F99AC7C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444032"/>
        <c:axId val="2008444992"/>
      </c:lineChart>
      <c:catAx>
        <c:axId val="200844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444992"/>
        <c:crosses val="autoZero"/>
        <c:auto val="1"/>
        <c:lblAlgn val="ctr"/>
        <c:lblOffset val="100"/>
        <c:noMultiLvlLbl val="0"/>
      </c:catAx>
      <c:valAx>
        <c:axId val="20084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44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58705161854749E-2"/>
          <c:y val="0.15782407407407409"/>
          <c:w val="0.89019685039370078"/>
          <c:h val="0.69729950422863807"/>
        </c:manualLayout>
      </c:layout>
      <c:lineChart>
        <c:grouping val="standard"/>
        <c:varyColors val="0"/>
        <c:ser>
          <c:idx val="0"/>
          <c:order val="0"/>
          <c:tx>
            <c:strRef>
              <c:f>Electricity!$B$1</c:f>
              <c:strCache>
                <c:ptCount val="1"/>
                <c:pt idx="0">
                  <c:v>Electric Use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Electricity!$A$2:$A$25</c:f>
              <c:strCache>
                <c:ptCount val="2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  <c:pt idx="18">
                  <c:v>Jul</c:v>
                </c:pt>
                <c:pt idx="19">
                  <c:v>Aug</c:v>
                </c:pt>
                <c:pt idx="20">
                  <c:v>Sep</c:v>
                </c:pt>
                <c:pt idx="21">
                  <c:v>Oct</c:v>
                </c:pt>
                <c:pt idx="22">
                  <c:v>Nov</c:v>
                </c:pt>
                <c:pt idx="23">
                  <c:v>Dec</c:v>
                </c:pt>
              </c:strCache>
            </c:strRef>
          </c:cat>
          <c:val>
            <c:numRef>
              <c:f>Electricity!$B$2:$B$25</c:f>
              <c:numCache>
                <c:formatCode>General</c:formatCode>
                <c:ptCount val="24"/>
                <c:pt idx="0">
                  <c:v>967</c:v>
                </c:pt>
                <c:pt idx="1">
                  <c:v>795</c:v>
                </c:pt>
                <c:pt idx="2">
                  <c:v>820</c:v>
                </c:pt>
                <c:pt idx="3">
                  <c:v>672</c:v>
                </c:pt>
                <c:pt idx="4">
                  <c:v>722</c:v>
                </c:pt>
                <c:pt idx="5">
                  <c:v>820</c:v>
                </c:pt>
                <c:pt idx="6">
                  <c:v>1326</c:v>
                </c:pt>
                <c:pt idx="7">
                  <c:v>1262</c:v>
                </c:pt>
                <c:pt idx="8">
                  <c:v>1126</c:v>
                </c:pt>
                <c:pt idx="9">
                  <c:v>814</c:v>
                </c:pt>
                <c:pt idx="10">
                  <c:v>821</c:v>
                </c:pt>
                <c:pt idx="11">
                  <c:v>918</c:v>
                </c:pt>
                <c:pt idx="12">
                  <c:v>950</c:v>
                </c:pt>
                <c:pt idx="13">
                  <c:v>878</c:v>
                </c:pt>
                <c:pt idx="14">
                  <c:v>785</c:v>
                </c:pt>
                <c:pt idx="15">
                  <c:v>690</c:v>
                </c:pt>
                <c:pt idx="16">
                  <c:v>794</c:v>
                </c:pt>
                <c:pt idx="17">
                  <c:v>802</c:v>
                </c:pt>
                <c:pt idx="18">
                  <c:v>1445</c:v>
                </c:pt>
                <c:pt idx="19">
                  <c:v>1357</c:v>
                </c:pt>
                <c:pt idx="20">
                  <c:v>1268</c:v>
                </c:pt>
                <c:pt idx="21">
                  <c:v>889</c:v>
                </c:pt>
                <c:pt idx="22">
                  <c:v>830</c:v>
                </c:pt>
                <c:pt idx="23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3-4EFF-9133-571B7A2F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55488"/>
        <c:axId val="2012655008"/>
      </c:lineChart>
      <c:catAx>
        <c:axId val="20126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5008"/>
        <c:crosses val="autoZero"/>
        <c:auto val="1"/>
        <c:lblAlgn val="ctr"/>
        <c:lblOffset val="100"/>
        <c:noMultiLvlLbl val="0"/>
      </c:catAx>
      <c:valAx>
        <c:axId val="20126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6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Electricity!$Y$14</c:f>
              <c:strCache>
                <c:ptCount val="1"/>
                <c:pt idx="0">
                  <c:v>PACF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Electricity!$W$15:$W$18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Electricity!$Y$15:$Y$18</c:f>
              <c:numCache>
                <c:formatCode>General</c:formatCode>
                <c:ptCount val="4"/>
                <c:pt idx="0">
                  <c:v>0.54141782650701553</c:v>
                </c:pt>
                <c:pt idx="1">
                  <c:v>-0.37887527445728658</c:v>
                </c:pt>
                <c:pt idx="2">
                  <c:v>-0.42609408943672494</c:v>
                </c:pt>
                <c:pt idx="3">
                  <c:v>0.22946802169258873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7-45A8-96BB-EACD06153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0384496"/>
        <c:axId val="2030383056"/>
      </c:barChart>
      <c:catAx>
        <c:axId val="203038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83056"/>
        <c:crosses val="autoZero"/>
        <c:auto val="1"/>
        <c:lblAlgn val="ctr"/>
        <c:lblOffset val="100"/>
        <c:noMultiLvlLbl val="0"/>
      </c:catAx>
      <c:valAx>
        <c:axId val="20303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8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Electricity!$X$14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Electricity!$W$15:$W$19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Electricity!$X$15:$X$19</c:f>
              <c:numCache>
                <c:formatCode>General</c:formatCode>
                <c:ptCount val="5"/>
                <c:pt idx="0">
                  <c:v>1</c:v>
                </c:pt>
                <c:pt idx="1">
                  <c:v>0.54141782650701553</c:v>
                </c:pt>
                <c:pt idx="2">
                  <c:v>2.5318933820777774E-2</c:v>
                </c:pt>
                <c:pt idx="3">
                  <c:v>-0.44418476371162025</c:v>
                </c:pt>
                <c:pt idx="4">
                  <c:v>-0.37843327783435071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B-451E-A7FF-135DC2D80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153328"/>
        <c:axId val="1499148048"/>
      </c:barChart>
      <c:catAx>
        <c:axId val="149915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148048"/>
        <c:crosses val="autoZero"/>
        <c:auto val="1"/>
        <c:lblAlgn val="ctr"/>
        <c:lblOffset val="100"/>
        <c:noMultiLvlLbl val="0"/>
      </c:catAx>
      <c:valAx>
        <c:axId val="14991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15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</a:t>
            </a:r>
            <a:r>
              <a:rPr lang="en-US" baseline="0"/>
              <a:t> vs Actual Electric Use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Electricity!$F$13</c:f>
              <c:strCache>
                <c:ptCount val="1"/>
                <c:pt idx="0">
                  <c:v>Electric Use (Actual)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Electricity!$E$14:$E$18</c:f>
              <c:strCache>
                <c:ptCount val="5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</c:strCache>
            </c:strRef>
          </c:cat>
          <c:val>
            <c:numRef>
              <c:f>Electricity!$F$14:$F$18</c:f>
              <c:numCache>
                <c:formatCode>General</c:formatCode>
                <c:ptCount val="5"/>
                <c:pt idx="0">
                  <c:v>1357</c:v>
                </c:pt>
                <c:pt idx="1">
                  <c:v>1268</c:v>
                </c:pt>
                <c:pt idx="2">
                  <c:v>889</c:v>
                </c:pt>
                <c:pt idx="3">
                  <c:v>830</c:v>
                </c:pt>
                <c:pt idx="4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3-4235-8B59-CEC7537B622F}"/>
            </c:ext>
          </c:extLst>
        </c:ser>
        <c:ser>
          <c:idx val="1"/>
          <c:order val="1"/>
          <c:tx>
            <c:strRef>
              <c:f>Electricity!$G$13</c:f>
              <c:strCache>
                <c:ptCount val="1"/>
                <c:pt idx="0">
                  <c:v>Electric Use (Predicted)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Electricity!$E$14:$E$18</c:f>
              <c:strCache>
                <c:ptCount val="5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</c:strCache>
            </c:strRef>
          </c:cat>
          <c:val>
            <c:numRef>
              <c:f>Electricity!$G$14:$G$18</c:f>
              <c:numCache>
                <c:formatCode>General</c:formatCode>
                <c:ptCount val="5"/>
                <c:pt idx="0">
                  <c:v>1258.3596377390456</c:v>
                </c:pt>
                <c:pt idx="1">
                  <c:v>1038.2077607917211</c:v>
                </c:pt>
                <c:pt idx="2">
                  <c:v>967.64355526960776</c:v>
                </c:pt>
                <c:pt idx="3">
                  <c:v>945.02595522907563</c:v>
                </c:pt>
                <c:pt idx="4">
                  <c:v>937.77644639087066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3-4235-8B59-CEC7537B6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281168"/>
        <c:axId val="334297008"/>
      </c:lineChart>
      <c:catAx>
        <c:axId val="33428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97008"/>
        <c:crosses val="autoZero"/>
        <c:auto val="1"/>
        <c:lblAlgn val="ctr"/>
        <c:lblOffset val="100"/>
        <c:noMultiLvlLbl val="0"/>
      </c:catAx>
      <c:valAx>
        <c:axId val="3342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Electricity!$A$62</c:f>
              <c:strCache>
                <c:ptCount val="1"/>
                <c:pt idx="0">
                  <c:v>Electric Use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Electricity!$B$61:$AD$61</c:f>
              <c:strCache>
                <c:ptCount val="2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12">
                  <c:v>Aug</c:v>
                </c:pt>
                <c:pt idx="13">
                  <c:v>Sep</c:v>
                </c:pt>
                <c:pt idx="14">
                  <c:v>Oct</c:v>
                </c:pt>
                <c:pt idx="15">
                  <c:v>Nov</c:v>
                </c:pt>
                <c:pt idx="16">
                  <c:v>Dec</c:v>
                </c:pt>
                <c:pt idx="17">
                  <c:v>Jan</c:v>
                </c:pt>
                <c:pt idx="18">
                  <c:v>Feb</c:v>
                </c:pt>
                <c:pt idx="19">
                  <c:v>Mar</c:v>
                </c:pt>
                <c:pt idx="20">
                  <c:v>Apr</c:v>
                </c:pt>
                <c:pt idx="21">
                  <c:v>May</c:v>
                </c:pt>
                <c:pt idx="22">
                  <c:v>Jun</c:v>
                </c:pt>
                <c:pt idx="23">
                  <c:v>Jul</c:v>
                </c:pt>
                <c:pt idx="24">
                  <c:v>Aug</c:v>
                </c:pt>
                <c:pt idx="25">
                  <c:v>Sep</c:v>
                </c:pt>
                <c:pt idx="26">
                  <c:v>Oct</c:v>
                </c:pt>
                <c:pt idx="27">
                  <c:v>Nov</c:v>
                </c:pt>
                <c:pt idx="28">
                  <c:v>Dec</c:v>
                </c:pt>
              </c:strCache>
            </c:strRef>
          </c:cat>
          <c:val>
            <c:numRef>
              <c:f>Electricity!$B$62:$AD$62</c:f>
              <c:numCache>
                <c:formatCode>General</c:formatCode>
                <c:ptCount val="29"/>
                <c:pt idx="0">
                  <c:v>967</c:v>
                </c:pt>
                <c:pt idx="1">
                  <c:v>795</c:v>
                </c:pt>
                <c:pt idx="2">
                  <c:v>820</c:v>
                </c:pt>
                <c:pt idx="3">
                  <c:v>672</c:v>
                </c:pt>
                <c:pt idx="4">
                  <c:v>722</c:v>
                </c:pt>
                <c:pt idx="5">
                  <c:v>820</c:v>
                </c:pt>
                <c:pt idx="6">
                  <c:v>1326</c:v>
                </c:pt>
                <c:pt idx="12">
                  <c:v>1262</c:v>
                </c:pt>
                <c:pt idx="13">
                  <c:v>1126</c:v>
                </c:pt>
                <c:pt idx="14">
                  <c:v>814</c:v>
                </c:pt>
                <c:pt idx="15">
                  <c:v>821</c:v>
                </c:pt>
                <c:pt idx="16">
                  <c:v>918</c:v>
                </c:pt>
                <c:pt idx="17">
                  <c:v>950</c:v>
                </c:pt>
                <c:pt idx="18">
                  <c:v>878</c:v>
                </c:pt>
                <c:pt idx="19">
                  <c:v>785</c:v>
                </c:pt>
                <c:pt idx="20">
                  <c:v>690</c:v>
                </c:pt>
                <c:pt idx="21">
                  <c:v>794</c:v>
                </c:pt>
                <c:pt idx="22">
                  <c:v>802</c:v>
                </c:pt>
                <c:pt idx="23">
                  <c:v>1445</c:v>
                </c:pt>
                <c:pt idx="24">
                  <c:v>1357</c:v>
                </c:pt>
                <c:pt idx="25">
                  <c:v>1268</c:v>
                </c:pt>
                <c:pt idx="26">
                  <c:v>889</c:v>
                </c:pt>
                <c:pt idx="27">
                  <c:v>830</c:v>
                </c:pt>
                <c:pt idx="28">
                  <c:v>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2-4007-BAFF-590C14B17415}"/>
            </c:ext>
          </c:extLst>
        </c:ser>
        <c:ser>
          <c:idx val="1"/>
          <c:order val="1"/>
          <c:tx>
            <c:strRef>
              <c:f>Electricity!$A$63</c:f>
              <c:strCache>
                <c:ptCount val="1"/>
                <c:pt idx="0">
                  <c:v>a = 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Electricity!$B$61:$AD$61</c:f>
              <c:strCache>
                <c:ptCount val="2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12">
                  <c:v>Aug</c:v>
                </c:pt>
                <c:pt idx="13">
                  <c:v>Sep</c:v>
                </c:pt>
                <c:pt idx="14">
                  <c:v>Oct</c:v>
                </c:pt>
                <c:pt idx="15">
                  <c:v>Nov</c:v>
                </c:pt>
                <c:pt idx="16">
                  <c:v>Dec</c:v>
                </c:pt>
                <c:pt idx="17">
                  <c:v>Jan</c:v>
                </c:pt>
                <c:pt idx="18">
                  <c:v>Feb</c:v>
                </c:pt>
                <c:pt idx="19">
                  <c:v>Mar</c:v>
                </c:pt>
                <c:pt idx="20">
                  <c:v>Apr</c:v>
                </c:pt>
                <c:pt idx="21">
                  <c:v>May</c:v>
                </c:pt>
                <c:pt idx="22">
                  <c:v>Jun</c:v>
                </c:pt>
                <c:pt idx="23">
                  <c:v>Jul</c:v>
                </c:pt>
                <c:pt idx="24">
                  <c:v>Aug</c:v>
                </c:pt>
                <c:pt idx="25">
                  <c:v>Sep</c:v>
                </c:pt>
                <c:pt idx="26">
                  <c:v>Oct</c:v>
                </c:pt>
                <c:pt idx="27">
                  <c:v>Nov</c:v>
                </c:pt>
                <c:pt idx="28">
                  <c:v>Dec</c:v>
                </c:pt>
              </c:strCache>
            </c:strRef>
          </c:cat>
          <c:val>
            <c:numRef>
              <c:f>Electricity!$B$63:$AD$63</c:f>
              <c:numCache>
                <c:formatCode>General</c:formatCode>
                <c:ptCount val="29"/>
                <c:pt idx="0">
                  <c:v>#N/A</c:v>
                </c:pt>
                <c:pt idx="1">
                  <c:v>967</c:v>
                </c:pt>
                <c:pt idx="2">
                  <c:v>949.80000000000007</c:v>
                </c:pt>
                <c:pt idx="3">
                  <c:v>936.82</c:v>
                </c:pt>
                <c:pt idx="4">
                  <c:v>910.33800000000008</c:v>
                </c:pt>
                <c:pt idx="5">
                  <c:v>891.50420000000008</c:v>
                </c:pt>
                <c:pt idx="6">
                  <c:v>884.35378000000014</c:v>
                </c:pt>
                <c:pt idx="12">
                  <c:v>928.51840200000015</c:v>
                </c:pt>
                <c:pt idx="13">
                  <c:v>961.86656180000023</c:v>
                </c:pt>
                <c:pt idx="14">
                  <c:v>978.27990562000025</c:v>
                </c:pt>
                <c:pt idx="15">
                  <c:v>961.85191505800026</c:v>
                </c:pt>
                <c:pt idx="16">
                  <c:v>947.76672355220023</c:v>
                </c:pt>
                <c:pt idx="17">
                  <c:v>944.79005119698013</c:v>
                </c:pt>
                <c:pt idx="18">
                  <c:v>945.31104607728219</c:v>
                </c:pt>
                <c:pt idx="19">
                  <c:v>938.57994146955389</c:v>
                </c:pt>
                <c:pt idx="20">
                  <c:v>923.22194732259857</c:v>
                </c:pt>
                <c:pt idx="21">
                  <c:v>899.89975259033872</c:v>
                </c:pt>
                <c:pt idx="22">
                  <c:v>889.30977733130487</c:v>
                </c:pt>
                <c:pt idx="23">
                  <c:v>880.57879959817444</c:v>
                </c:pt>
                <c:pt idx="24">
                  <c:v>937.02091963835699</c:v>
                </c:pt>
                <c:pt idx="25">
                  <c:v>979.01882767452139</c:v>
                </c:pt>
                <c:pt idx="26">
                  <c:v>1007.9169449070694</c:v>
                </c:pt>
                <c:pt idx="27">
                  <c:v>996.02525041636238</c:v>
                </c:pt>
                <c:pt idx="28">
                  <c:v>979.42272537472616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2-4007-BAFF-590C14B17415}"/>
            </c:ext>
          </c:extLst>
        </c:ser>
        <c:ser>
          <c:idx val="2"/>
          <c:order val="2"/>
          <c:tx>
            <c:strRef>
              <c:f>Electricity!$A$64</c:f>
              <c:strCache>
                <c:ptCount val="1"/>
                <c:pt idx="0">
                  <c:v>a = 0.2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Electricity!$B$61:$AD$61</c:f>
              <c:strCache>
                <c:ptCount val="2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12">
                  <c:v>Aug</c:v>
                </c:pt>
                <c:pt idx="13">
                  <c:v>Sep</c:v>
                </c:pt>
                <c:pt idx="14">
                  <c:v>Oct</c:v>
                </c:pt>
                <c:pt idx="15">
                  <c:v>Nov</c:v>
                </c:pt>
                <c:pt idx="16">
                  <c:v>Dec</c:v>
                </c:pt>
                <c:pt idx="17">
                  <c:v>Jan</c:v>
                </c:pt>
                <c:pt idx="18">
                  <c:v>Feb</c:v>
                </c:pt>
                <c:pt idx="19">
                  <c:v>Mar</c:v>
                </c:pt>
                <c:pt idx="20">
                  <c:v>Apr</c:v>
                </c:pt>
                <c:pt idx="21">
                  <c:v>May</c:v>
                </c:pt>
                <c:pt idx="22">
                  <c:v>Jun</c:v>
                </c:pt>
                <c:pt idx="23">
                  <c:v>Jul</c:v>
                </c:pt>
                <c:pt idx="24">
                  <c:v>Aug</c:v>
                </c:pt>
                <c:pt idx="25">
                  <c:v>Sep</c:v>
                </c:pt>
                <c:pt idx="26">
                  <c:v>Oct</c:v>
                </c:pt>
                <c:pt idx="27">
                  <c:v>Nov</c:v>
                </c:pt>
                <c:pt idx="28">
                  <c:v>Dec</c:v>
                </c:pt>
              </c:strCache>
            </c:strRef>
          </c:cat>
          <c:val>
            <c:numRef>
              <c:f>Electricity!$B$64:$AD$64</c:f>
              <c:numCache>
                <c:formatCode>General</c:formatCode>
                <c:ptCount val="29"/>
                <c:pt idx="0">
                  <c:v>#N/A</c:v>
                </c:pt>
                <c:pt idx="1">
                  <c:v>967</c:v>
                </c:pt>
                <c:pt idx="2">
                  <c:v>932.6</c:v>
                </c:pt>
                <c:pt idx="3">
                  <c:v>910.08</c:v>
                </c:pt>
                <c:pt idx="4">
                  <c:v>862.46400000000006</c:v>
                </c:pt>
                <c:pt idx="5">
                  <c:v>834.37120000000004</c:v>
                </c:pt>
                <c:pt idx="6">
                  <c:v>831.49696000000006</c:v>
                </c:pt>
                <c:pt idx="12">
                  <c:v>930.39756800000009</c:v>
                </c:pt>
                <c:pt idx="13">
                  <c:v>996.71805440000014</c:v>
                </c:pt>
                <c:pt idx="14">
                  <c:v>1022.5744435200002</c:v>
                </c:pt>
                <c:pt idx="15">
                  <c:v>980.85955481600013</c:v>
                </c:pt>
                <c:pt idx="16">
                  <c:v>948.88764385280024</c:v>
                </c:pt>
                <c:pt idx="17">
                  <c:v>942.71011508224024</c:v>
                </c:pt>
                <c:pt idx="18">
                  <c:v>944.16809206579228</c:v>
                </c:pt>
                <c:pt idx="19">
                  <c:v>930.93447365263387</c:v>
                </c:pt>
                <c:pt idx="20">
                  <c:v>901.7475789221071</c:v>
                </c:pt>
                <c:pt idx="21">
                  <c:v>859.39806313768577</c:v>
                </c:pt>
                <c:pt idx="22">
                  <c:v>846.31845051014875</c:v>
                </c:pt>
                <c:pt idx="23">
                  <c:v>837.454760408119</c:v>
                </c:pt>
                <c:pt idx="24">
                  <c:v>958.96380832649527</c:v>
                </c:pt>
                <c:pt idx="25">
                  <c:v>1038.5710466611963</c:v>
                </c:pt>
                <c:pt idx="26">
                  <c:v>1084.4568373289571</c:v>
                </c:pt>
                <c:pt idx="27">
                  <c:v>1045.3654698631658</c:v>
                </c:pt>
                <c:pt idx="28">
                  <c:v>1002.2923758905326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22-4007-BAFF-590C14B17415}"/>
            </c:ext>
          </c:extLst>
        </c:ser>
        <c:ser>
          <c:idx val="3"/>
          <c:order val="3"/>
          <c:tx>
            <c:strRef>
              <c:f>Electricity!$A$65</c:f>
              <c:strCache>
                <c:ptCount val="1"/>
                <c:pt idx="0">
                  <c:v>a = 0.3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Electricity!$B$61:$AD$61</c:f>
              <c:strCache>
                <c:ptCount val="2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12">
                  <c:v>Aug</c:v>
                </c:pt>
                <c:pt idx="13">
                  <c:v>Sep</c:v>
                </c:pt>
                <c:pt idx="14">
                  <c:v>Oct</c:v>
                </c:pt>
                <c:pt idx="15">
                  <c:v>Nov</c:v>
                </c:pt>
                <c:pt idx="16">
                  <c:v>Dec</c:v>
                </c:pt>
                <c:pt idx="17">
                  <c:v>Jan</c:v>
                </c:pt>
                <c:pt idx="18">
                  <c:v>Feb</c:v>
                </c:pt>
                <c:pt idx="19">
                  <c:v>Mar</c:v>
                </c:pt>
                <c:pt idx="20">
                  <c:v>Apr</c:v>
                </c:pt>
                <c:pt idx="21">
                  <c:v>May</c:v>
                </c:pt>
                <c:pt idx="22">
                  <c:v>Jun</c:v>
                </c:pt>
                <c:pt idx="23">
                  <c:v>Jul</c:v>
                </c:pt>
                <c:pt idx="24">
                  <c:v>Aug</c:v>
                </c:pt>
                <c:pt idx="25">
                  <c:v>Sep</c:v>
                </c:pt>
                <c:pt idx="26">
                  <c:v>Oct</c:v>
                </c:pt>
                <c:pt idx="27">
                  <c:v>Nov</c:v>
                </c:pt>
                <c:pt idx="28">
                  <c:v>Dec</c:v>
                </c:pt>
              </c:strCache>
            </c:strRef>
          </c:cat>
          <c:val>
            <c:numRef>
              <c:f>Electricity!$B$65:$AD$65</c:f>
              <c:numCache>
                <c:formatCode>General</c:formatCode>
                <c:ptCount val="29"/>
                <c:pt idx="0">
                  <c:v>#N/A</c:v>
                </c:pt>
                <c:pt idx="1">
                  <c:v>967</c:v>
                </c:pt>
                <c:pt idx="2">
                  <c:v>915.4</c:v>
                </c:pt>
                <c:pt idx="3">
                  <c:v>886.78</c:v>
                </c:pt>
                <c:pt idx="4">
                  <c:v>822.346</c:v>
                </c:pt>
                <c:pt idx="5">
                  <c:v>792.24220000000003</c:v>
                </c:pt>
                <c:pt idx="6">
                  <c:v>800.56953999999996</c:v>
                </c:pt>
                <c:pt idx="12">
                  <c:v>958.19867799999997</c:v>
                </c:pt>
                <c:pt idx="13">
                  <c:v>1049.3390746</c:v>
                </c:pt>
                <c:pt idx="14">
                  <c:v>1072.33735222</c:v>
                </c:pt>
                <c:pt idx="15">
                  <c:v>994.83614655399992</c:v>
                </c:pt>
                <c:pt idx="16">
                  <c:v>942.68530258779981</c:v>
                </c:pt>
                <c:pt idx="17">
                  <c:v>935.27971181145983</c:v>
                </c:pt>
                <c:pt idx="18">
                  <c:v>939.6957982680218</c:v>
                </c:pt>
                <c:pt idx="19">
                  <c:v>921.18705878761523</c:v>
                </c:pt>
                <c:pt idx="20">
                  <c:v>880.33094115133065</c:v>
                </c:pt>
                <c:pt idx="21">
                  <c:v>823.23165880593137</c:v>
                </c:pt>
                <c:pt idx="22">
                  <c:v>814.46216116415189</c:v>
                </c:pt>
                <c:pt idx="23">
                  <c:v>810.72351281490626</c:v>
                </c:pt>
                <c:pt idx="24">
                  <c:v>1001.0064589704343</c:v>
                </c:pt>
                <c:pt idx="25">
                  <c:v>1107.804521279304</c:v>
                </c:pt>
                <c:pt idx="26">
                  <c:v>1155.8631648955129</c:v>
                </c:pt>
                <c:pt idx="27">
                  <c:v>1075.8042154268589</c:v>
                </c:pt>
                <c:pt idx="28">
                  <c:v>1002.0629507988012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22-4007-BAFF-590C14B17415}"/>
            </c:ext>
          </c:extLst>
        </c:ser>
        <c:ser>
          <c:idx val="4"/>
          <c:order val="4"/>
          <c:tx>
            <c:strRef>
              <c:f>Electricity!$A$66</c:f>
              <c:strCache>
                <c:ptCount val="1"/>
                <c:pt idx="0">
                  <c:v>a = 0.5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Electricity!$B$61:$AD$61</c:f>
              <c:strCache>
                <c:ptCount val="2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12">
                  <c:v>Aug</c:v>
                </c:pt>
                <c:pt idx="13">
                  <c:v>Sep</c:v>
                </c:pt>
                <c:pt idx="14">
                  <c:v>Oct</c:v>
                </c:pt>
                <c:pt idx="15">
                  <c:v>Nov</c:v>
                </c:pt>
                <c:pt idx="16">
                  <c:v>Dec</c:v>
                </c:pt>
                <c:pt idx="17">
                  <c:v>Jan</c:v>
                </c:pt>
                <c:pt idx="18">
                  <c:v>Feb</c:v>
                </c:pt>
                <c:pt idx="19">
                  <c:v>Mar</c:v>
                </c:pt>
                <c:pt idx="20">
                  <c:v>Apr</c:v>
                </c:pt>
                <c:pt idx="21">
                  <c:v>May</c:v>
                </c:pt>
                <c:pt idx="22">
                  <c:v>Jun</c:v>
                </c:pt>
                <c:pt idx="23">
                  <c:v>Jul</c:v>
                </c:pt>
                <c:pt idx="24">
                  <c:v>Aug</c:v>
                </c:pt>
                <c:pt idx="25">
                  <c:v>Sep</c:v>
                </c:pt>
                <c:pt idx="26">
                  <c:v>Oct</c:v>
                </c:pt>
                <c:pt idx="27">
                  <c:v>Nov</c:v>
                </c:pt>
                <c:pt idx="28">
                  <c:v>Dec</c:v>
                </c:pt>
              </c:strCache>
            </c:strRef>
          </c:cat>
          <c:val>
            <c:numRef>
              <c:f>Electricity!$B$66:$AD$66</c:f>
              <c:numCache>
                <c:formatCode>General</c:formatCode>
                <c:ptCount val="29"/>
                <c:pt idx="0">
                  <c:v>#N/A</c:v>
                </c:pt>
                <c:pt idx="1">
                  <c:v>967</c:v>
                </c:pt>
                <c:pt idx="2">
                  <c:v>881</c:v>
                </c:pt>
                <c:pt idx="3">
                  <c:v>850.5</c:v>
                </c:pt>
                <c:pt idx="4">
                  <c:v>761.25</c:v>
                </c:pt>
                <c:pt idx="5">
                  <c:v>741.625</c:v>
                </c:pt>
                <c:pt idx="6">
                  <c:v>780.8125</c:v>
                </c:pt>
                <c:pt idx="12">
                  <c:v>1053.40625</c:v>
                </c:pt>
                <c:pt idx="13">
                  <c:v>1157.703125</c:v>
                </c:pt>
                <c:pt idx="14">
                  <c:v>1141.8515625</c:v>
                </c:pt>
                <c:pt idx="15">
                  <c:v>977.92578125</c:v>
                </c:pt>
                <c:pt idx="16">
                  <c:v>899.462890625</c:v>
                </c:pt>
                <c:pt idx="17">
                  <c:v>908.7314453125</c:v>
                </c:pt>
                <c:pt idx="18">
                  <c:v>929.36572265625</c:v>
                </c:pt>
                <c:pt idx="19">
                  <c:v>903.682861328125</c:v>
                </c:pt>
                <c:pt idx="20">
                  <c:v>844.3414306640625</c:v>
                </c:pt>
                <c:pt idx="21">
                  <c:v>767.17071533203125</c:v>
                </c:pt>
                <c:pt idx="22">
                  <c:v>780.58535766601563</c:v>
                </c:pt>
                <c:pt idx="23">
                  <c:v>791.29267883300781</c:v>
                </c:pt>
                <c:pt idx="24">
                  <c:v>1118.1463394165039</c:v>
                </c:pt>
                <c:pt idx="25">
                  <c:v>1237.573169708252</c:v>
                </c:pt>
                <c:pt idx="26">
                  <c:v>1252.786584854126</c:v>
                </c:pt>
                <c:pt idx="27">
                  <c:v>1070.893292427063</c:v>
                </c:pt>
                <c:pt idx="28">
                  <c:v>950.44664621353149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22-4007-BAFF-590C14B17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834336"/>
        <c:axId val="370843936"/>
      </c:lineChart>
      <c:catAx>
        <c:axId val="37083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43936"/>
        <c:crosses val="autoZero"/>
        <c:auto val="1"/>
        <c:lblAlgn val="ctr"/>
        <c:lblOffset val="100"/>
        <c:noMultiLvlLbl val="0"/>
      </c:catAx>
      <c:valAx>
        <c:axId val="3708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26</xdr:row>
      <xdr:rowOff>23812</xdr:rowOff>
    </xdr:from>
    <xdr:to>
      <xdr:col>7</xdr:col>
      <xdr:colOff>323850</xdr:colOff>
      <xdr:row>40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11ED4-5B5B-9C7B-A0B6-71EBB8096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43</xdr:row>
      <xdr:rowOff>14287</xdr:rowOff>
    </xdr:from>
    <xdr:to>
      <xdr:col>7</xdr:col>
      <xdr:colOff>304800</xdr:colOff>
      <xdr:row>57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E4EB9E-B4F1-1B3D-4640-B10784602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33337</xdr:rowOff>
    </xdr:from>
    <xdr:to>
      <xdr:col>7</xdr:col>
      <xdr:colOff>304800</xdr:colOff>
      <xdr:row>73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FBC0C-981E-A092-8432-C6AED19D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28575</xdr:colOff>
      <xdr:row>26</xdr:row>
      <xdr:rowOff>14287</xdr:rowOff>
    </xdr:from>
    <xdr:to>
      <xdr:col>20</xdr:col>
      <xdr:colOff>552450</xdr:colOff>
      <xdr:row>40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50B742-80BA-97D1-4820-F957BADAF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28575</xdr:colOff>
      <xdr:row>42</xdr:row>
      <xdr:rowOff>23812</xdr:rowOff>
    </xdr:from>
    <xdr:to>
      <xdr:col>20</xdr:col>
      <xdr:colOff>552450</xdr:colOff>
      <xdr:row>56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6FB0A6-6840-7E83-030A-C4137ED4A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597217</xdr:colOff>
      <xdr:row>78</xdr:row>
      <xdr:rowOff>134302</xdr:rowOff>
    </xdr:from>
    <xdr:to>
      <xdr:col>20</xdr:col>
      <xdr:colOff>511492</xdr:colOff>
      <xdr:row>93</xdr:row>
      <xdr:rowOff>27622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38E09F-7804-047E-949E-A03A145B8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75</xdr:row>
      <xdr:rowOff>23812</xdr:rowOff>
    </xdr:from>
    <xdr:to>
      <xdr:col>7</xdr:col>
      <xdr:colOff>304800</xdr:colOff>
      <xdr:row>89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5399A7-A02C-5D4F-073C-6AA3B3588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26</xdr:row>
      <xdr:rowOff>23812</xdr:rowOff>
    </xdr:from>
    <xdr:to>
      <xdr:col>7</xdr:col>
      <xdr:colOff>323850</xdr:colOff>
      <xdr:row>40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14277-32FC-4F1D-ACEE-1E4741246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</xdr:colOff>
      <xdr:row>26</xdr:row>
      <xdr:rowOff>14287</xdr:rowOff>
    </xdr:from>
    <xdr:to>
      <xdr:col>20</xdr:col>
      <xdr:colOff>552450</xdr:colOff>
      <xdr:row>40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6E81D2-0E70-4EB3-987F-5B12DDC87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28575</xdr:colOff>
      <xdr:row>42</xdr:row>
      <xdr:rowOff>23812</xdr:rowOff>
    </xdr:from>
    <xdr:to>
      <xdr:col>20</xdr:col>
      <xdr:colOff>552450</xdr:colOff>
      <xdr:row>56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D50419-BBB4-4E67-8577-98A234F25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28575</xdr:colOff>
      <xdr:row>26</xdr:row>
      <xdr:rowOff>14287</xdr:rowOff>
    </xdr:from>
    <xdr:to>
      <xdr:col>28</xdr:col>
      <xdr:colOff>0</xdr:colOff>
      <xdr:row>40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FD9B28-EFBD-3D34-94E8-504242511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68</xdr:row>
      <xdr:rowOff>4762</xdr:rowOff>
    </xdr:from>
    <xdr:to>
      <xdr:col>7</xdr:col>
      <xdr:colOff>123825</xdr:colOff>
      <xdr:row>82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ADD273-C208-38D0-FDD6-534F74F60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Ph&#226;n%20t&#237;ch%20d&#7919;%20li&#7879;u%20kinh%20doanh\Th&#7921;c%20h&#224;nh\XRealStats.xlam" TargetMode="External"/><Relationship Id="rId1" Type="http://schemas.openxmlformats.org/officeDocument/2006/relationships/externalLinkPath" Target="file:///C:\Users\Asus\Desktop\Ph&#226;n%20t&#237;ch%20d&#7919;%20li&#7879;u%20kinh%20doanh\Th&#7921;c%20h&#224;nh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XRealStats"/>
    </sheetNames>
    <definedNames>
      <definedName name="ARIMA_Coeff"/>
      <definedName name="ARRoots"/>
      <definedName name="MARoots"/>
      <definedName name="PSI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74A8-DE1A-4E40-A259-A0385DB3F1CC}">
  <dimension ref="A1:C25"/>
  <sheetViews>
    <sheetView topLeftCell="A10" workbookViewId="0">
      <selection activeCell="C1" sqref="C1:C25"/>
    </sheetView>
  </sheetViews>
  <sheetFormatPr defaultRowHeight="14.4" x14ac:dyDescent="0.3"/>
  <sheetData>
    <row r="1" spans="1:3" ht="15" thickBot="1" x14ac:dyDescent="0.35">
      <c r="A1" s="2" t="s">
        <v>0</v>
      </c>
      <c r="B1" s="2" t="s">
        <v>1</v>
      </c>
      <c r="C1" s="2" t="s">
        <v>2</v>
      </c>
    </row>
    <row r="2" spans="1:3" ht="15" thickTop="1" x14ac:dyDescent="0.3">
      <c r="A2" s="1" t="s">
        <v>3</v>
      </c>
      <c r="B2" s="1">
        <v>244</v>
      </c>
      <c r="C2" s="1">
        <v>967</v>
      </c>
    </row>
    <row r="3" spans="1:3" x14ac:dyDescent="0.3">
      <c r="A3" s="1" t="s">
        <v>4</v>
      </c>
      <c r="B3" s="1">
        <v>228</v>
      </c>
      <c r="C3" s="1">
        <v>795</v>
      </c>
    </row>
    <row r="4" spans="1:3" x14ac:dyDescent="0.3">
      <c r="A4" s="1" t="s">
        <v>5</v>
      </c>
      <c r="B4" s="1">
        <v>153</v>
      </c>
      <c r="C4" s="1">
        <v>820</v>
      </c>
    </row>
    <row r="5" spans="1:3" x14ac:dyDescent="0.3">
      <c r="A5" s="1" t="s">
        <v>6</v>
      </c>
      <c r="B5" s="1">
        <v>140</v>
      </c>
      <c r="C5" s="1">
        <v>672</v>
      </c>
    </row>
    <row r="6" spans="1:3" x14ac:dyDescent="0.3">
      <c r="A6" s="1" t="s">
        <v>7</v>
      </c>
      <c r="B6" s="1">
        <v>55</v>
      </c>
      <c r="C6" s="1">
        <v>722</v>
      </c>
    </row>
    <row r="7" spans="1:3" x14ac:dyDescent="0.3">
      <c r="A7" s="1" t="s">
        <v>8</v>
      </c>
      <c r="B7" s="1">
        <v>34</v>
      </c>
      <c r="C7" s="1">
        <v>820</v>
      </c>
    </row>
    <row r="8" spans="1:3" x14ac:dyDescent="0.3">
      <c r="A8" s="1" t="s">
        <v>9</v>
      </c>
      <c r="B8" s="1">
        <v>30</v>
      </c>
      <c r="C8" s="1">
        <v>1326</v>
      </c>
    </row>
    <row r="9" spans="1:3" x14ac:dyDescent="0.3">
      <c r="A9" s="1" t="s">
        <v>10</v>
      </c>
      <c r="B9" s="1">
        <v>28</v>
      </c>
      <c r="C9" s="1">
        <v>1262</v>
      </c>
    </row>
    <row r="10" spans="1:3" x14ac:dyDescent="0.3">
      <c r="A10" s="1" t="s">
        <v>11</v>
      </c>
      <c r="B10" s="1">
        <v>29</v>
      </c>
      <c r="C10" s="1">
        <v>1126</v>
      </c>
    </row>
    <row r="11" spans="1:3" x14ac:dyDescent="0.3">
      <c r="A11" s="1" t="s">
        <v>12</v>
      </c>
      <c r="B11" s="1">
        <v>41</v>
      </c>
      <c r="C11" s="1">
        <v>814</v>
      </c>
    </row>
    <row r="12" spans="1:3" x14ac:dyDescent="0.3">
      <c r="A12" s="1" t="s">
        <v>13</v>
      </c>
      <c r="B12" s="1">
        <v>88</v>
      </c>
      <c r="C12" s="1">
        <v>821</v>
      </c>
    </row>
    <row r="13" spans="1:3" x14ac:dyDescent="0.3">
      <c r="A13" s="1" t="s">
        <v>14</v>
      </c>
      <c r="B13" s="1">
        <v>199</v>
      </c>
      <c r="C13" s="1">
        <v>918</v>
      </c>
    </row>
    <row r="14" spans="1:3" x14ac:dyDescent="0.3">
      <c r="A14" s="1" t="s">
        <v>3</v>
      </c>
      <c r="B14" s="1">
        <v>230</v>
      </c>
      <c r="C14" s="1">
        <v>950</v>
      </c>
    </row>
    <row r="15" spans="1:3" x14ac:dyDescent="0.3">
      <c r="A15" s="1" t="s">
        <v>4</v>
      </c>
      <c r="B15" s="1">
        <v>245</v>
      </c>
      <c r="C15" s="1">
        <v>878</v>
      </c>
    </row>
    <row r="16" spans="1:3" x14ac:dyDescent="0.3">
      <c r="A16" s="1" t="s">
        <v>5</v>
      </c>
      <c r="B16" s="1">
        <v>247</v>
      </c>
      <c r="C16" s="1">
        <v>785</v>
      </c>
    </row>
    <row r="17" spans="1:3" x14ac:dyDescent="0.3">
      <c r="A17" s="1" t="s">
        <v>6</v>
      </c>
      <c r="B17" s="1">
        <v>135</v>
      </c>
      <c r="C17" s="1">
        <v>690</v>
      </c>
    </row>
    <row r="18" spans="1:3" x14ac:dyDescent="0.3">
      <c r="A18" s="1" t="s">
        <v>7</v>
      </c>
      <c r="B18" s="1">
        <v>34</v>
      </c>
      <c r="C18" s="1">
        <v>794</v>
      </c>
    </row>
    <row r="19" spans="1:3" x14ac:dyDescent="0.3">
      <c r="A19" s="1" t="s">
        <v>8</v>
      </c>
      <c r="B19" s="1">
        <v>33</v>
      </c>
      <c r="C19" s="1">
        <v>802</v>
      </c>
    </row>
    <row r="20" spans="1:3" x14ac:dyDescent="0.3">
      <c r="A20" s="1" t="s">
        <v>9</v>
      </c>
      <c r="B20" s="1">
        <v>27</v>
      </c>
      <c r="C20" s="1">
        <v>1445</v>
      </c>
    </row>
    <row r="21" spans="1:3" x14ac:dyDescent="0.3">
      <c r="A21" s="1" t="s">
        <v>10</v>
      </c>
      <c r="B21" s="1">
        <v>26</v>
      </c>
      <c r="C21" s="1">
        <v>1357</v>
      </c>
    </row>
    <row r="22" spans="1:3" x14ac:dyDescent="0.3">
      <c r="A22" s="1" t="s">
        <v>11</v>
      </c>
      <c r="B22" s="1">
        <v>28</v>
      </c>
      <c r="C22" s="1">
        <v>1268</v>
      </c>
    </row>
    <row r="23" spans="1:3" x14ac:dyDescent="0.3">
      <c r="A23" s="1" t="s">
        <v>12</v>
      </c>
      <c r="B23" s="1">
        <v>39</v>
      </c>
      <c r="C23" s="1">
        <v>889</v>
      </c>
    </row>
    <row r="24" spans="1:3" x14ac:dyDescent="0.3">
      <c r="A24" s="1" t="s">
        <v>13</v>
      </c>
      <c r="B24" s="1">
        <v>86</v>
      </c>
      <c r="C24" s="1">
        <v>830</v>
      </c>
    </row>
    <row r="25" spans="1:3" x14ac:dyDescent="0.3">
      <c r="A25" s="1" t="s">
        <v>14</v>
      </c>
      <c r="B25" s="1">
        <v>188</v>
      </c>
      <c r="C25" s="1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9014-7A6E-450B-A822-A43E45900166}">
  <dimension ref="A1:AX75"/>
  <sheetViews>
    <sheetView zoomScaleNormal="100" workbookViewId="0">
      <selection activeCell="N22" sqref="N22"/>
    </sheetView>
  </sheetViews>
  <sheetFormatPr defaultRowHeight="14.4" x14ac:dyDescent="0.3"/>
  <cols>
    <col min="7" max="7" width="16.109375" customWidth="1"/>
    <col min="8" max="9" width="17.88671875" customWidth="1"/>
    <col min="10" max="11" width="9" customWidth="1"/>
    <col min="12" max="12" width="18.44140625" customWidth="1"/>
    <col min="13" max="14" width="23.88671875" customWidth="1"/>
    <col min="15" max="15" width="15.109375" customWidth="1"/>
    <col min="19" max="19" width="10.6640625" customWidth="1"/>
    <col min="20" max="20" width="13.44140625" customWidth="1"/>
    <col min="21" max="21" width="12.88671875" customWidth="1"/>
    <col min="23" max="23" width="15" customWidth="1"/>
    <col min="27" max="27" width="15.44140625" customWidth="1"/>
    <col min="28" max="28" width="11.109375" customWidth="1"/>
    <col min="31" max="31" width="13.6640625" customWidth="1"/>
    <col min="35" max="35" width="18.88671875" customWidth="1"/>
    <col min="41" max="41" width="12" customWidth="1"/>
  </cols>
  <sheetData>
    <row r="1" spans="1:29" ht="15" thickBot="1" x14ac:dyDescent="0.35">
      <c r="A1" s="2" t="s">
        <v>0</v>
      </c>
      <c r="B1" s="2" t="s">
        <v>1</v>
      </c>
      <c r="C1" t="s">
        <v>17</v>
      </c>
      <c r="D1" t="s">
        <v>18</v>
      </c>
      <c r="F1" t="s">
        <v>86</v>
      </c>
      <c r="O1" s="2" t="s">
        <v>0</v>
      </c>
      <c r="P1" s="2" t="s">
        <v>1</v>
      </c>
      <c r="Q1" t="s">
        <v>19</v>
      </c>
      <c r="R1" t="s">
        <v>15</v>
      </c>
      <c r="S1" t="s">
        <v>16</v>
      </c>
      <c r="T1" t="s">
        <v>20</v>
      </c>
      <c r="U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5" thickTop="1" x14ac:dyDescent="0.3">
      <c r="A2" s="1" t="s">
        <v>3</v>
      </c>
      <c r="B2" s="1">
        <v>244</v>
      </c>
      <c r="H2" s="6"/>
      <c r="I2" s="6"/>
      <c r="J2" s="6"/>
      <c r="K2" s="6"/>
      <c r="L2" s="6"/>
      <c r="M2" s="6"/>
      <c r="N2" s="6"/>
      <c r="O2" s="1" t="s">
        <v>5</v>
      </c>
      <c r="P2" s="1">
        <v>-59</v>
      </c>
      <c r="Q2">
        <f t="shared" ref="Q2:Q23" si="0">(P2 - AVERAGE($P$2:$P$23))*(P2 - AVERAGE($P$2:$P$23))</f>
        <v>4142.6776859504125</v>
      </c>
      <c r="W2">
        <f>DEVSQ($P$2:$P$23)</f>
        <v>56119.090909090912</v>
      </c>
      <c r="X2">
        <f>SUM(Q2:Q23)</f>
        <v>56119.090909090912</v>
      </c>
      <c r="Y2">
        <f>X2/W2</f>
        <v>1</v>
      </c>
    </row>
    <row r="3" spans="1:29" x14ac:dyDescent="0.3">
      <c r="A3" s="1" t="s">
        <v>4</v>
      </c>
      <c r="B3" s="1">
        <v>228</v>
      </c>
      <c r="C3" s="1">
        <f>B3-B2</f>
        <v>-16</v>
      </c>
      <c r="H3" s="1"/>
      <c r="I3" s="1"/>
      <c r="J3" s="1"/>
      <c r="K3" s="1"/>
      <c r="L3" s="1"/>
      <c r="M3" s="1"/>
      <c r="N3" s="1"/>
      <c r="O3" s="1" t="s">
        <v>6</v>
      </c>
      <c r="P3" s="1">
        <v>62</v>
      </c>
      <c r="Q3">
        <f t="shared" si="0"/>
        <v>3207.6776859504139</v>
      </c>
      <c r="R3">
        <f t="shared" ref="R3:R23" si="1">(P3 - AVERAGE($P$2:$P$23))*(P2 - AVERAGE($P$2:$P$23))</f>
        <v>-3645.322314049587</v>
      </c>
      <c r="W3">
        <f>DEVSQ($P$2:$P$23)</f>
        <v>56119.090909090912</v>
      </c>
      <c r="X3">
        <f>SUM(R3:R23)</f>
        <v>-10110.132231404956</v>
      </c>
      <c r="Y3">
        <f t="shared" ref="Y3:Y6" si="2">X3/W3</f>
        <v>-0.18015495382458491</v>
      </c>
      <c r="Z3" s="4">
        <f>Y3</f>
        <v>-0.18015495382458491</v>
      </c>
      <c r="AA3">
        <f t="array" ref="AA3:AA4">MMULT(MMULT(MINVERSE(MMULT(W9:X10,W9:X10)),W9:X10),Y3:Y4)</f>
        <v>-0.19817338495382059</v>
      </c>
      <c r="AB3">
        <f t="array" ref="AB3:AB5">MMULT(MMULT(MINVERSE(MMULT(W9:Y11,W9:Y11)),W9:Y11),Y3:Y5)</f>
        <v>-0.19427983387234454</v>
      </c>
      <c r="AC3">
        <f t="array" ref="AC3:AC6">MMULT(MMULT(MINVERSE(MMULT(W9:Z12,W9:Z12)),W9:Z12),Y3:Y6)</f>
        <v>-0.18759839788775992</v>
      </c>
    </row>
    <row r="4" spans="1:29" x14ac:dyDescent="0.3">
      <c r="A4" s="1" t="s">
        <v>5</v>
      </c>
      <c r="B4" s="1">
        <v>153</v>
      </c>
      <c r="C4" s="1">
        <f t="shared" ref="C4:C25" si="3">B4-B3</f>
        <v>-75</v>
      </c>
      <c r="D4" s="1">
        <f>B4-2*B3+B2</f>
        <v>-59</v>
      </c>
      <c r="H4" s="1"/>
      <c r="I4" s="1"/>
      <c r="J4" s="1"/>
      <c r="K4" s="1"/>
      <c r="L4" s="1"/>
      <c r="M4" s="1"/>
      <c r="N4" s="1"/>
      <c r="O4" s="1" t="s">
        <v>7</v>
      </c>
      <c r="P4" s="1">
        <v>-72</v>
      </c>
      <c r="Q4">
        <f t="shared" si="0"/>
        <v>5985.1322314049585</v>
      </c>
      <c r="R4">
        <f t="shared" si="1"/>
        <v>-4381.5950413223145</v>
      </c>
      <c r="S4">
        <f t="shared" ref="S4:S23" si="4">(P4 - AVERAGE($P$2:$P$23))*(P2 - AVERAGE($P$2:$P$23))</f>
        <v>4979.4049586776855</v>
      </c>
      <c r="W4">
        <f>DEVSQ($P$2:$P$23)</f>
        <v>56119.090909090912</v>
      </c>
      <c r="X4">
        <f>SUM(S4:S23)</f>
        <v>-3609.2644628099165</v>
      </c>
      <c r="Y4">
        <f t="shared" si="2"/>
        <v>-6.4314378660493235E-2</v>
      </c>
      <c r="AA4" s="4">
        <v>-0.10001629567611048</v>
      </c>
      <c r="AB4">
        <v>-9.2301570869610591E-2</v>
      </c>
      <c r="AC4">
        <v>-0.10814334411762934</v>
      </c>
    </row>
    <row r="5" spans="1:29" x14ac:dyDescent="0.3">
      <c r="A5" s="1" t="s">
        <v>6</v>
      </c>
      <c r="B5" s="1">
        <v>140</v>
      </c>
      <c r="C5" s="1">
        <f t="shared" si="3"/>
        <v>-13</v>
      </c>
      <c r="D5" s="1">
        <f t="shared" ref="D5:D25" si="5">B5-2*B4+B3</f>
        <v>62</v>
      </c>
      <c r="E5" s="1"/>
      <c r="H5" s="1"/>
      <c r="I5" s="1"/>
      <c r="J5" s="1"/>
      <c r="K5" s="1"/>
      <c r="L5" s="1"/>
      <c r="M5" s="1"/>
      <c r="N5" s="1"/>
      <c r="O5" s="1" t="s">
        <v>8</v>
      </c>
      <c r="P5" s="1">
        <v>64</v>
      </c>
      <c r="Q5">
        <f t="shared" si="0"/>
        <v>3438.2231404958684</v>
      </c>
      <c r="R5">
        <f t="shared" si="1"/>
        <v>-4536.3223140495866</v>
      </c>
      <c r="S5">
        <f t="shared" si="4"/>
        <v>3320.9504132231409</v>
      </c>
      <c r="T5">
        <f t="shared" ref="T5:T23" si="6">(P5 - AVERAGE($P$2:$P$23))*(P2 - AVERAGE($P$2:$P$23))</f>
        <v>-3774.0495867768595</v>
      </c>
      <c r="W5">
        <f>DEVSQ($P$2:$P$23)</f>
        <v>56119.090909090912</v>
      </c>
      <c r="X5">
        <f>SUM(T5:T23)</f>
        <v>3819.0578512396678</v>
      </c>
      <c r="Y5">
        <f t="shared" si="2"/>
        <v>6.8052739083501554E-2</v>
      </c>
      <c r="AB5" s="4">
        <v>3.8929167043786503E-2</v>
      </c>
      <c r="AC5">
        <v>5.5848041486394051E-3</v>
      </c>
    </row>
    <row r="6" spans="1:29" x14ac:dyDescent="0.3">
      <c r="A6" s="1" t="s">
        <v>7</v>
      </c>
      <c r="B6" s="1">
        <v>55</v>
      </c>
      <c r="C6" s="1">
        <f t="shared" si="3"/>
        <v>-85</v>
      </c>
      <c r="D6" s="1">
        <f t="shared" si="5"/>
        <v>-72</v>
      </c>
      <c r="E6" s="1"/>
      <c r="H6" s="1"/>
      <c r="I6" s="1"/>
      <c r="J6" s="1"/>
      <c r="K6" s="1"/>
      <c r="L6" s="1"/>
      <c r="M6" s="1"/>
      <c r="N6" s="1"/>
      <c r="O6" s="1" t="s">
        <v>9</v>
      </c>
      <c r="P6" s="1">
        <v>17</v>
      </c>
      <c r="Q6">
        <f t="shared" si="0"/>
        <v>135.40495867768595</v>
      </c>
      <c r="R6">
        <f t="shared" si="1"/>
        <v>682.31404958677695</v>
      </c>
      <c r="S6">
        <f t="shared" si="4"/>
        <v>-900.23140495867767</v>
      </c>
      <c r="T6">
        <f t="shared" si="6"/>
        <v>659.04132231404969</v>
      </c>
      <c r="U6">
        <f t="shared" ref="U6:U23" si="7">(P6- AVERAGE($P$2:$P$23))*(P2 - AVERAGE($P$2:$P$23))</f>
        <v>-748.95867768595042</v>
      </c>
      <c r="W6">
        <f>DEVSQ($P$2:$P$23)</f>
        <v>56119.090909090912</v>
      </c>
      <c r="X6">
        <f>SUM(U6:U23)</f>
        <v>-10014.347107438014</v>
      </c>
      <c r="Y6">
        <f t="shared" si="2"/>
        <v>-0.17844813494325079</v>
      </c>
      <c r="AC6" s="4">
        <v>-0.17163059196898789</v>
      </c>
    </row>
    <row r="7" spans="1:29" x14ac:dyDescent="0.3">
      <c r="A7" s="1" t="s">
        <v>8</v>
      </c>
      <c r="B7" s="1">
        <v>34</v>
      </c>
      <c r="C7" s="1">
        <f t="shared" si="3"/>
        <v>-21</v>
      </c>
      <c r="D7" s="1">
        <f t="shared" si="5"/>
        <v>64</v>
      </c>
      <c r="E7" s="1"/>
      <c r="H7" s="1"/>
      <c r="I7" s="1"/>
      <c r="J7" s="1"/>
      <c r="K7" s="1"/>
      <c r="L7" s="1"/>
      <c r="M7" s="1"/>
      <c r="N7" s="1"/>
      <c r="O7" s="1" t="s">
        <v>10</v>
      </c>
      <c r="P7" s="1">
        <v>2</v>
      </c>
      <c r="Q7">
        <f t="shared" si="0"/>
        <v>11.314049586776857</v>
      </c>
      <c r="R7">
        <f t="shared" si="1"/>
        <v>-39.140495867768593</v>
      </c>
      <c r="S7">
        <f t="shared" si="4"/>
        <v>-197.23140495867767</v>
      </c>
      <c r="T7">
        <f t="shared" si="6"/>
        <v>260.22314049586771</v>
      </c>
      <c r="U7">
        <f t="shared" si="7"/>
        <v>-190.50413223140495</v>
      </c>
    </row>
    <row r="8" spans="1:29" x14ac:dyDescent="0.3">
      <c r="A8" s="1" t="s">
        <v>9</v>
      </c>
      <c r="B8" s="1">
        <v>30</v>
      </c>
      <c r="C8" s="1">
        <f t="shared" si="3"/>
        <v>-4</v>
      </c>
      <c r="D8" s="1">
        <f t="shared" si="5"/>
        <v>17</v>
      </c>
      <c r="E8" s="1"/>
      <c r="H8" s="1"/>
      <c r="I8" s="1"/>
      <c r="J8" s="1"/>
      <c r="K8" s="1"/>
      <c r="L8" s="1"/>
      <c r="M8" s="1"/>
      <c r="N8" s="1"/>
      <c r="O8" s="1" t="s">
        <v>11</v>
      </c>
      <c r="P8" s="1">
        <v>3</v>
      </c>
      <c r="Q8">
        <f t="shared" si="0"/>
        <v>5.5867768595041305</v>
      </c>
      <c r="R8">
        <f t="shared" si="1"/>
        <v>7.9504132231404938</v>
      </c>
      <c r="S8">
        <f t="shared" si="4"/>
        <v>-27.504132231404956</v>
      </c>
      <c r="T8">
        <f t="shared" si="6"/>
        <v>-138.59504132231405</v>
      </c>
      <c r="U8">
        <f t="shared" si="7"/>
        <v>182.85950413223136</v>
      </c>
    </row>
    <row r="9" spans="1:29" x14ac:dyDescent="0.3">
      <c r="A9" s="1" t="s">
        <v>10</v>
      </c>
      <c r="B9" s="1">
        <v>28</v>
      </c>
      <c r="C9" s="1">
        <f t="shared" si="3"/>
        <v>-2</v>
      </c>
      <c r="D9" s="1">
        <f t="shared" si="5"/>
        <v>2</v>
      </c>
      <c r="E9" s="1"/>
      <c r="H9" s="1"/>
      <c r="I9" s="1"/>
      <c r="J9" s="1"/>
      <c r="K9" s="1"/>
      <c r="L9" s="1"/>
      <c r="M9" s="1"/>
      <c r="N9" s="1"/>
      <c r="O9" s="1" t="s">
        <v>12</v>
      </c>
      <c r="P9" s="1">
        <v>11</v>
      </c>
      <c r="Q9">
        <f t="shared" si="0"/>
        <v>31.768595041322317</v>
      </c>
      <c r="R9">
        <f t="shared" si="1"/>
        <v>-13.322314049586776</v>
      </c>
      <c r="S9">
        <f t="shared" si="4"/>
        <v>-18.958677685950413</v>
      </c>
      <c r="T9">
        <f t="shared" si="6"/>
        <v>65.586776859504141</v>
      </c>
      <c r="U9">
        <f t="shared" si="7"/>
        <v>330.49586776859508</v>
      </c>
      <c r="W9" s="4">
        <f>Y2</f>
        <v>1</v>
      </c>
      <c r="X9" s="4">
        <f>W10</f>
        <v>-0.18015495382458491</v>
      </c>
      <c r="Y9" s="4">
        <f>W11</f>
        <v>-6.4314378660493235E-2</v>
      </c>
      <c r="Z9" s="4">
        <f>W12</f>
        <v>6.8052739083501554E-2</v>
      </c>
    </row>
    <row r="10" spans="1:29" x14ac:dyDescent="0.3">
      <c r="A10" s="1" t="s">
        <v>11</v>
      </c>
      <c r="B10" s="1">
        <v>29</v>
      </c>
      <c r="C10" s="1">
        <f t="shared" si="3"/>
        <v>1</v>
      </c>
      <c r="D10" s="1">
        <f t="shared" si="5"/>
        <v>3</v>
      </c>
      <c r="E10" s="1"/>
      <c r="H10" s="1"/>
      <c r="I10" s="1"/>
      <c r="J10" s="1"/>
      <c r="K10" s="1"/>
      <c r="L10" s="1"/>
      <c r="M10" s="1"/>
      <c r="N10" s="1"/>
      <c r="O10" s="1" t="s">
        <v>13</v>
      </c>
      <c r="P10" s="1">
        <v>35</v>
      </c>
      <c r="Q10">
        <f t="shared" si="0"/>
        <v>878.31404958677683</v>
      </c>
      <c r="R10">
        <f t="shared" si="1"/>
        <v>167.04132231404961</v>
      </c>
      <c r="S10">
        <f t="shared" si="4"/>
        <v>-70.049586776859499</v>
      </c>
      <c r="T10">
        <f t="shared" si="6"/>
        <v>-99.685950413223125</v>
      </c>
      <c r="U10">
        <f t="shared" si="7"/>
        <v>344.85950413223139</v>
      </c>
      <c r="W10" s="4">
        <f>Y3</f>
        <v>-0.18015495382458491</v>
      </c>
      <c r="X10" s="4">
        <f>W9</f>
        <v>1</v>
      </c>
      <c r="Y10" s="4">
        <f>X11</f>
        <v>-0.18015495382458491</v>
      </c>
      <c r="Z10" s="4">
        <f>X12</f>
        <v>-6.4314378660493235E-2</v>
      </c>
    </row>
    <row r="11" spans="1:29" x14ac:dyDescent="0.3">
      <c r="A11" s="1" t="s">
        <v>12</v>
      </c>
      <c r="B11" s="1">
        <v>41</v>
      </c>
      <c r="C11" s="1">
        <f t="shared" si="3"/>
        <v>12</v>
      </c>
      <c r="D11" s="1">
        <f t="shared" si="5"/>
        <v>11</v>
      </c>
      <c r="E11" s="1"/>
      <c r="H11" s="1"/>
      <c r="I11" s="1"/>
      <c r="J11" s="1"/>
      <c r="K11" s="1"/>
      <c r="L11" s="1"/>
      <c r="M11" s="1"/>
      <c r="N11" s="1"/>
      <c r="O11" s="1" t="s">
        <v>14</v>
      </c>
      <c r="P11" s="1">
        <v>64</v>
      </c>
      <c r="Q11">
        <f t="shared" si="0"/>
        <v>3438.2231404958684</v>
      </c>
      <c r="R11">
        <f t="shared" si="1"/>
        <v>1737.7685950413224</v>
      </c>
      <c r="S11">
        <f t="shared" si="4"/>
        <v>330.49586776859508</v>
      </c>
      <c r="T11">
        <f t="shared" si="6"/>
        <v>-138.59504132231405</v>
      </c>
      <c r="U11">
        <f t="shared" si="7"/>
        <v>-197.23140495867767</v>
      </c>
      <c r="W11" s="4">
        <f>Y4</f>
        <v>-6.4314378660493235E-2</v>
      </c>
      <c r="X11" s="4">
        <f>Y3</f>
        <v>-0.18015495382458491</v>
      </c>
      <c r="Y11" s="4">
        <f>X10</f>
        <v>1</v>
      </c>
      <c r="Z11" s="4">
        <f>Y12</f>
        <v>-0.18015495382458491</v>
      </c>
    </row>
    <row r="12" spans="1:29" x14ac:dyDescent="0.3">
      <c r="A12" s="1" t="s">
        <v>13</v>
      </c>
      <c r="B12" s="1">
        <v>88</v>
      </c>
      <c r="C12" s="1">
        <f t="shared" si="3"/>
        <v>47</v>
      </c>
      <c r="D12" s="1">
        <f t="shared" si="5"/>
        <v>35</v>
      </c>
      <c r="E12" s="1"/>
      <c r="H12" s="1"/>
      <c r="I12" s="1"/>
      <c r="J12" s="1"/>
      <c r="K12" s="1"/>
      <c r="L12" s="1"/>
      <c r="M12" s="1"/>
      <c r="N12" s="1"/>
      <c r="O12" s="1" t="s">
        <v>3</v>
      </c>
      <c r="P12" s="1">
        <v>-80</v>
      </c>
      <c r="Q12">
        <f t="shared" si="0"/>
        <v>7286.9504132231395</v>
      </c>
      <c r="R12">
        <f t="shared" si="1"/>
        <v>-5005.4132231404956</v>
      </c>
      <c r="S12">
        <f t="shared" si="4"/>
        <v>-2529.8677685950411</v>
      </c>
      <c r="T12">
        <f t="shared" si="6"/>
        <v>-481.14049586776861</v>
      </c>
      <c r="U12">
        <f t="shared" si="7"/>
        <v>201.76859504132227</v>
      </c>
      <c r="W12" s="4">
        <f>Y5</f>
        <v>6.8052739083501554E-2</v>
      </c>
      <c r="X12" s="4">
        <f>Y4</f>
        <v>-6.4314378660493235E-2</v>
      </c>
      <c r="Y12" s="4">
        <f>Y3</f>
        <v>-0.18015495382458491</v>
      </c>
      <c r="Z12" s="4">
        <f>Y11</f>
        <v>1</v>
      </c>
    </row>
    <row r="13" spans="1:29" x14ac:dyDescent="0.3">
      <c r="A13" s="1" t="s">
        <v>14</v>
      </c>
      <c r="B13" s="1">
        <v>199</v>
      </c>
      <c r="C13" s="1">
        <f t="shared" si="3"/>
        <v>111</v>
      </c>
      <c r="D13" s="1">
        <f t="shared" si="5"/>
        <v>64</v>
      </c>
      <c r="E13" s="1"/>
      <c r="H13" s="1"/>
      <c r="I13" s="1"/>
      <c r="J13" s="1"/>
      <c r="K13" s="1"/>
      <c r="L13" s="1"/>
      <c r="M13" s="1"/>
      <c r="N13" s="1"/>
      <c r="O13" s="1" t="s">
        <v>4</v>
      </c>
      <c r="P13" s="1">
        <v>-16</v>
      </c>
      <c r="Q13">
        <f t="shared" si="0"/>
        <v>456.40495867768595</v>
      </c>
      <c r="R13">
        <f t="shared" si="1"/>
        <v>1823.6776859504132</v>
      </c>
      <c r="S13">
        <f t="shared" si="4"/>
        <v>-1252.6859504132233</v>
      </c>
      <c r="T13">
        <f t="shared" si="6"/>
        <v>-633.14049586776855</v>
      </c>
      <c r="U13">
        <f t="shared" si="7"/>
        <v>-120.41322314049587</v>
      </c>
    </row>
    <row r="14" spans="1:29" x14ac:dyDescent="0.3">
      <c r="A14" s="1" t="s">
        <v>3</v>
      </c>
      <c r="B14" s="1">
        <v>230</v>
      </c>
      <c r="C14" s="1">
        <f t="shared" si="3"/>
        <v>31</v>
      </c>
      <c r="D14" s="1">
        <f t="shared" si="5"/>
        <v>-80</v>
      </c>
      <c r="E14" s="1"/>
      <c r="H14" s="1"/>
      <c r="I14" s="1"/>
      <c r="J14" s="1"/>
      <c r="K14" s="1"/>
      <c r="L14" s="1"/>
      <c r="M14" s="1"/>
      <c r="N14" s="1"/>
      <c r="O14" s="1" t="s">
        <v>5</v>
      </c>
      <c r="P14" s="1">
        <v>-13</v>
      </c>
      <c r="Q14">
        <f t="shared" si="0"/>
        <v>337.22314049586777</v>
      </c>
      <c r="R14">
        <f t="shared" si="1"/>
        <v>392.31404958677683</v>
      </c>
      <c r="S14">
        <f t="shared" si="4"/>
        <v>1567.586776859504</v>
      </c>
      <c r="T14">
        <f t="shared" si="6"/>
        <v>-1076.7768595041323</v>
      </c>
      <c r="U14">
        <f t="shared" si="7"/>
        <v>-544.23140495867767</v>
      </c>
      <c r="W14" t="s">
        <v>29</v>
      </c>
      <c r="X14" t="s">
        <v>24</v>
      </c>
      <c r="Y14" t="s">
        <v>30</v>
      </c>
    </row>
    <row r="15" spans="1:29" x14ac:dyDescent="0.3">
      <c r="A15" s="1" t="s">
        <v>4</v>
      </c>
      <c r="B15" s="1">
        <v>245</v>
      </c>
      <c r="C15" s="1">
        <f t="shared" si="3"/>
        <v>15</v>
      </c>
      <c r="D15" s="1">
        <f t="shared" si="5"/>
        <v>-16</v>
      </c>
      <c r="E15" s="1"/>
      <c r="H15" s="1"/>
      <c r="I15" s="1"/>
      <c r="J15" s="1"/>
      <c r="K15" s="1"/>
      <c r="L15" s="1"/>
      <c r="M15" s="1"/>
      <c r="N15" s="1"/>
      <c r="O15" s="1" t="s">
        <v>6</v>
      </c>
      <c r="P15" s="1">
        <v>-114</v>
      </c>
      <c r="Q15">
        <f t="shared" si="0"/>
        <v>14247.677685950412</v>
      </c>
      <c r="R15">
        <f t="shared" si="1"/>
        <v>2191.9504132231405</v>
      </c>
      <c r="S15">
        <f t="shared" si="4"/>
        <v>2550.0413223140495</v>
      </c>
      <c r="T15">
        <f t="shared" si="6"/>
        <v>10189.314049586776</v>
      </c>
      <c r="U15">
        <f t="shared" si="7"/>
        <v>-6999.0495867768595</v>
      </c>
      <c r="W15">
        <v>0</v>
      </c>
      <c r="X15">
        <f>Y2</f>
        <v>1</v>
      </c>
      <c r="Y15">
        <f>Z3</f>
        <v>-0.18015495382458491</v>
      </c>
    </row>
    <row r="16" spans="1:29" x14ac:dyDescent="0.3">
      <c r="A16" s="1" t="s">
        <v>5</v>
      </c>
      <c r="B16" s="1">
        <v>247</v>
      </c>
      <c r="C16" s="1">
        <f t="shared" si="3"/>
        <v>2</v>
      </c>
      <c r="D16" s="1">
        <f t="shared" si="5"/>
        <v>-13</v>
      </c>
      <c r="E16" s="1"/>
      <c r="H16" s="1"/>
      <c r="I16" s="1"/>
      <c r="J16" s="1"/>
      <c r="K16" s="1"/>
      <c r="L16" s="1"/>
      <c r="M16" s="1"/>
      <c r="N16" s="1"/>
      <c r="O16" s="1" t="s">
        <v>7</v>
      </c>
      <c r="P16" s="1">
        <v>11</v>
      </c>
      <c r="Q16">
        <f t="shared" si="0"/>
        <v>31.768595041322317</v>
      </c>
      <c r="R16">
        <f t="shared" si="1"/>
        <v>-672.77685950413229</v>
      </c>
      <c r="S16">
        <f t="shared" si="4"/>
        <v>-103.50413223140497</v>
      </c>
      <c r="T16">
        <f t="shared" si="6"/>
        <v>-120.41322314049587</v>
      </c>
      <c r="U16">
        <f t="shared" si="7"/>
        <v>-481.14049586776861</v>
      </c>
      <c r="W16">
        <v>1</v>
      </c>
      <c r="X16">
        <f t="shared" ref="X16:X19" si="8">Y3</f>
        <v>-0.18015495382458491</v>
      </c>
      <c r="Y16">
        <f>AA4</f>
        <v>-0.10001629567611048</v>
      </c>
    </row>
    <row r="17" spans="1:50" x14ac:dyDescent="0.3">
      <c r="A17" s="1" t="s">
        <v>6</v>
      </c>
      <c r="B17" s="1">
        <v>135</v>
      </c>
      <c r="C17" s="1">
        <f t="shared" si="3"/>
        <v>-112</v>
      </c>
      <c r="D17" s="1">
        <f t="shared" si="5"/>
        <v>-114</v>
      </c>
      <c r="E17" s="1"/>
      <c r="H17" s="1"/>
      <c r="I17" s="1"/>
      <c r="J17" s="1"/>
      <c r="K17" s="1"/>
      <c r="L17" s="1"/>
      <c r="M17" s="1"/>
      <c r="N17" s="1"/>
      <c r="O17" s="1" t="s">
        <v>8</v>
      </c>
      <c r="P17" s="1">
        <v>100</v>
      </c>
      <c r="Q17">
        <f t="shared" si="0"/>
        <v>8956.0413223140495</v>
      </c>
      <c r="R17">
        <f t="shared" si="1"/>
        <v>533.40495867768595</v>
      </c>
      <c r="S17">
        <f t="shared" si="4"/>
        <v>-11296.140495867769</v>
      </c>
      <c r="T17">
        <f t="shared" si="6"/>
        <v>-1737.8677685950413</v>
      </c>
      <c r="U17">
        <f t="shared" si="7"/>
        <v>-2021.7768595041323</v>
      </c>
      <c r="W17">
        <v>2</v>
      </c>
      <c r="X17">
        <f t="shared" si="8"/>
        <v>-6.4314378660493235E-2</v>
      </c>
      <c r="Y17">
        <f>AB5</f>
        <v>3.8929167043786503E-2</v>
      </c>
    </row>
    <row r="18" spans="1:50" x14ac:dyDescent="0.3">
      <c r="A18" s="1" t="s">
        <v>7</v>
      </c>
      <c r="B18" s="1">
        <v>34</v>
      </c>
      <c r="C18" s="1">
        <f t="shared" si="3"/>
        <v>-101</v>
      </c>
      <c r="D18" s="1">
        <f t="shared" si="5"/>
        <v>11</v>
      </c>
      <c r="E18" s="1"/>
      <c r="H18" s="1"/>
      <c r="I18" s="1"/>
      <c r="J18" s="1"/>
      <c r="K18" s="1"/>
      <c r="L18" s="1"/>
      <c r="M18" s="1"/>
      <c r="N18" s="1"/>
      <c r="O18" s="1" t="s">
        <v>9</v>
      </c>
      <c r="P18" s="1">
        <v>-5</v>
      </c>
      <c r="Q18">
        <f t="shared" si="0"/>
        <v>107.40495867768594</v>
      </c>
      <c r="R18">
        <f t="shared" si="1"/>
        <v>-980.77685950413229</v>
      </c>
      <c r="S18">
        <f t="shared" si="4"/>
        <v>-58.413223140495866</v>
      </c>
      <c r="T18">
        <f t="shared" si="6"/>
        <v>1237.0413223140495</v>
      </c>
      <c r="U18">
        <f t="shared" si="7"/>
        <v>190.31404958677686</v>
      </c>
      <c r="W18">
        <v>3</v>
      </c>
      <c r="X18">
        <f t="shared" si="8"/>
        <v>6.8052739083501554E-2</v>
      </c>
      <c r="Y18">
        <f>AC6</f>
        <v>-0.17163059196898789</v>
      </c>
    </row>
    <row r="19" spans="1:50" x14ac:dyDescent="0.3">
      <c r="A19" s="1" t="s">
        <v>8</v>
      </c>
      <c r="B19" s="1">
        <v>33</v>
      </c>
      <c r="C19" s="1">
        <f t="shared" si="3"/>
        <v>-1</v>
      </c>
      <c r="D19" s="1">
        <f t="shared" si="5"/>
        <v>100</v>
      </c>
      <c r="E19" s="1"/>
      <c r="H19" s="1"/>
      <c r="I19" s="1"/>
      <c r="J19" s="1"/>
      <c r="K19" s="1"/>
      <c r="L19" s="1"/>
      <c r="M19" s="1"/>
      <c r="N19" s="1"/>
      <c r="O19" s="1" t="s">
        <v>10</v>
      </c>
      <c r="P19" s="1">
        <v>5</v>
      </c>
      <c r="Q19">
        <f t="shared" si="0"/>
        <v>0.13223140495867744</v>
      </c>
      <c r="R19">
        <f t="shared" si="1"/>
        <v>3.7685950413223104</v>
      </c>
      <c r="S19">
        <f t="shared" si="4"/>
        <v>-34.413223140495838</v>
      </c>
      <c r="T19">
        <f t="shared" si="6"/>
        <v>-2.0495867768595026</v>
      </c>
      <c r="U19">
        <f t="shared" si="7"/>
        <v>43.404958677685912</v>
      </c>
      <c r="W19">
        <v>4</v>
      </c>
      <c r="X19">
        <f t="shared" si="8"/>
        <v>-0.17844813494325079</v>
      </c>
    </row>
    <row r="20" spans="1:50" ht="16.2" x14ac:dyDescent="0.3">
      <c r="A20" s="1" t="s">
        <v>9</v>
      </c>
      <c r="B20" s="1">
        <v>27</v>
      </c>
      <c r="C20" s="1">
        <f t="shared" si="3"/>
        <v>-6</v>
      </c>
      <c r="D20" s="1">
        <f t="shared" si="5"/>
        <v>-5</v>
      </c>
      <c r="E20" s="1"/>
      <c r="F20" t="s">
        <v>0</v>
      </c>
      <c r="G20" t="s">
        <v>87</v>
      </c>
      <c r="H20" s="1" t="s">
        <v>88</v>
      </c>
      <c r="I20" t="s">
        <v>89</v>
      </c>
      <c r="J20" t="s">
        <v>93</v>
      </c>
      <c r="K20" t="s">
        <v>95</v>
      </c>
      <c r="L20" s="22" t="s">
        <v>97</v>
      </c>
      <c r="M20" t="s">
        <v>96</v>
      </c>
      <c r="N20" t="s">
        <v>99</v>
      </c>
      <c r="O20" s="1" t="s">
        <v>11</v>
      </c>
      <c r="P20" s="1">
        <v>3</v>
      </c>
      <c r="Q20">
        <f t="shared" si="0"/>
        <v>5.5867768595041305</v>
      </c>
      <c r="R20">
        <f t="shared" si="1"/>
        <v>0.85950413223140409</v>
      </c>
      <c r="S20">
        <f t="shared" si="4"/>
        <v>24.495867768595037</v>
      </c>
      <c r="T20">
        <f t="shared" si="6"/>
        <v>-223.68595041322311</v>
      </c>
      <c r="U20">
        <f t="shared" si="7"/>
        <v>-13.322314049586776</v>
      </c>
    </row>
    <row r="21" spans="1:50" x14ac:dyDescent="0.3">
      <c r="A21" s="1" t="s">
        <v>10</v>
      </c>
      <c r="B21" s="1">
        <v>26</v>
      </c>
      <c r="C21" s="1">
        <f t="shared" si="3"/>
        <v>-1</v>
      </c>
      <c r="D21" s="1">
        <f t="shared" si="5"/>
        <v>5</v>
      </c>
      <c r="E21" s="1"/>
      <c r="F21" s="1" t="s">
        <v>10</v>
      </c>
      <c r="G21" s="1">
        <v>26</v>
      </c>
      <c r="H21" s="1">
        <v>26.654159139322093</v>
      </c>
      <c r="I21" s="1">
        <f>ABS((G21-H21)/G21)</f>
        <v>2.5159966897003592E-2</v>
      </c>
      <c r="J21" s="1">
        <f>SUM(I21:I25)</f>
        <v>1.2867030880285018</v>
      </c>
      <c r="K21" s="1">
        <f>J21/5</f>
        <v>0.25734061760570037</v>
      </c>
      <c r="L21" s="1">
        <f>(G21-H21)^2</f>
        <v>0.42792417955862194</v>
      </c>
      <c r="M21" s="1">
        <f>AVERAGE(L21:L25)</f>
        <v>3555.5157933576679</v>
      </c>
      <c r="N21" s="1" cm="1">
        <f t="array" ref="N21">SQRT(SUMSQ(G21:G25-H21:H25)/COUNTA(G21:G25))</f>
        <v>59.628145982896932</v>
      </c>
      <c r="O21" s="1" t="s">
        <v>12</v>
      </c>
      <c r="P21" s="1">
        <v>9</v>
      </c>
      <c r="Q21">
        <f t="shared" si="0"/>
        <v>13.223140495867771</v>
      </c>
      <c r="R21">
        <f t="shared" si="1"/>
        <v>-8.5950413223140494</v>
      </c>
      <c r="S21">
        <f t="shared" si="4"/>
        <v>-1.3223140495867758</v>
      </c>
      <c r="T21">
        <f t="shared" si="6"/>
        <v>-37.685950413223139</v>
      </c>
      <c r="U21">
        <f t="shared" si="7"/>
        <v>344.1322314049587</v>
      </c>
      <c r="W21" t="s">
        <v>31</v>
      </c>
      <c r="X21">
        <f>$AB$15-0.2256*B20</f>
        <v>-6.0911999999999997</v>
      </c>
    </row>
    <row r="22" spans="1:50" x14ac:dyDescent="0.3">
      <c r="A22" s="1" t="s">
        <v>11</v>
      </c>
      <c r="B22" s="1">
        <v>28</v>
      </c>
      <c r="C22" s="1">
        <f t="shared" si="3"/>
        <v>2</v>
      </c>
      <c r="D22" s="1">
        <f t="shared" si="5"/>
        <v>3</v>
      </c>
      <c r="E22" s="1"/>
      <c r="F22" s="1" t="s">
        <v>11</v>
      </c>
      <c r="G22" s="1">
        <v>28</v>
      </c>
      <c r="H22" s="1">
        <v>29.555024753688276</v>
      </c>
      <c r="I22" s="1">
        <f t="shared" ref="I22:I25" si="9">ABS((G22-H22)/G22)</f>
        <v>5.5536598346009845E-2</v>
      </c>
      <c r="J22" s="1"/>
      <c r="K22" s="1"/>
      <c r="L22" s="1">
        <f t="shared" ref="L22:L25" si="10">(G22-H22)^2</f>
        <v>2.4181019845832825</v>
      </c>
      <c r="M22" s="1"/>
      <c r="N22" s="1"/>
      <c r="O22" s="1" t="s">
        <v>13</v>
      </c>
      <c r="P22" s="1">
        <v>36</v>
      </c>
      <c r="Q22">
        <f t="shared" si="0"/>
        <v>938.5867768595042</v>
      </c>
      <c r="R22">
        <f t="shared" si="1"/>
        <v>111.40495867768597</v>
      </c>
      <c r="S22">
        <f t="shared" si="4"/>
        <v>-72.413223140495859</v>
      </c>
      <c r="T22">
        <f t="shared" si="6"/>
        <v>-11.140495867768585</v>
      </c>
      <c r="U22">
        <f t="shared" si="7"/>
        <v>-317.50413223140492</v>
      </c>
    </row>
    <row r="23" spans="1:50" x14ac:dyDescent="0.3">
      <c r="A23" s="1" t="s">
        <v>12</v>
      </c>
      <c r="B23" s="1">
        <v>39</v>
      </c>
      <c r="C23" s="1">
        <f t="shared" si="3"/>
        <v>11</v>
      </c>
      <c r="D23" s="1">
        <f t="shared" si="5"/>
        <v>9</v>
      </c>
      <c r="E23" s="1"/>
      <c r="F23" s="1" t="s">
        <v>12</v>
      </c>
      <c r="G23" s="1">
        <v>39</v>
      </c>
      <c r="H23" s="1">
        <v>36.246593629231405</v>
      </c>
      <c r="I23" s="1">
        <f t="shared" si="9"/>
        <v>7.0600163353040882E-2</v>
      </c>
      <c r="J23" s="1"/>
      <c r="K23" s="1"/>
      <c r="L23" s="1">
        <f t="shared" si="10"/>
        <v>7.5812466425890825</v>
      </c>
      <c r="M23" s="1"/>
      <c r="N23" s="1"/>
      <c r="O23" s="1" t="s">
        <v>14</v>
      </c>
      <c r="P23" s="1">
        <v>55</v>
      </c>
      <c r="Q23">
        <f t="shared" si="0"/>
        <v>2463.7685950413229</v>
      </c>
      <c r="R23">
        <f t="shared" si="1"/>
        <v>1520.6776859504134</v>
      </c>
      <c r="S23">
        <f t="shared" si="4"/>
        <v>180.49586776859508</v>
      </c>
      <c r="T23">
        <f t="shared" si="6"/>
        <v>-117.32231404958677</v>
      </c>
      <c r="U23">
        <f t="shared" si="7"/>
        <v>-18.049586776859488</v>
      </c>
    </row>
    <row r="24" spans="1:50" x14ac:dyDescent="0.3">
      <c r="A24" s="1" t="s">
        <v>13</v>
      </c>
      <c r="B24" s="1">
        <v>86</v>
      </c>
      <c r="C24" s="1">
        <f t="shared" si="3"/>
        <v>47</v>
      </c>
      <c r="D24" s="1">
        <f t="shared" si="5"/>
        <v>36</v>
      </c>
      <c r="E24" s="1"/>
      <c r="F24" s="1" t="s">
        <v>13</v>
      </c>
      <c r="G24" s="1">
        <v>86</v>
      </c>
      <c r="H24" s="1">
        <v>46.60594226771871</v>
      </c>
      <c r="I24" s="1">
        <f t="shared" si="9"/>
        <v>0.45807043874745684</v>
      </c>
      <c r="J24" s="1"/>
      <c r="K24" s="1"/>
      <c r="L24" s="1">
        <f t="shared" si="10"/>
        <v>1551.8917846143113</v>
      </c>
      <c r="S24" s="5"/>
      <c r="T24" s="5"/>
      <c r="U24" s="5"/>
    </row>
    <row r="25" spans="1:50" x14ac:dyDescent="0.3">
      <c r="A25" s="1" t="s">
        <v>14</v>
      </c>
      <c r="B25" s="1">
        <v>188</v>
      </c>
      <c r="C25" s="1">
        <f t="shared" si="3"/>
        <v>102</v>
      </c>
      <c r="D25" s="1">
        <f t="shared" si="5"/>
        <v>55</v>
      </c>
      <c r="E25" s="1"/>
      <c r="F25" s="1" t="s">
        <v>14</v>
      </c>
      <c r="G25" s="1">
        <v>188</v>
      </c>
      <c r="H25" s="1">
        <v>60.660846911221768</v>
      </c>
      <c r="I25" s="1">
        <f t="shared" si="9"/>
        <v>0.6773359206849906</v>
      </c>
      <c r="J25" s="1"/>
      <c r="K25" s="1"/>
      <c r="L25" s="1">
        <f t="shared" si="10"/>
        <v>16215.259909367298</v>
      </c>
    </row>
    <row r="26" spans="1:50" ht="15" thickBot="1" x14ac:dyDescent="0.35">
      <c r="C26" s="1"/>
      <c r="D26" s="1"/>
      <c r="E26" s="1"/>
    </row>
    <row r="27" spans="1:50" ht="15" thickTop="1" x14ac:dyDescent="0.3">
      <c r="D27" s="1"/>
      <c r="E27" s="1"/>
      <c r="W27" s="7" t="s">
        <v>32</v>
      </c>
      <c r="X27" s="7"/>
      <c r="Y27" s="7"/>
      <c r="AA27" s="7" t="s">
        <v>36</v>
      </c>
      <c r="AB27" s="7"/>
      <c r="AC27" s="7"/>
      <c r="AE27" s="7" t="s">
        <v>63</v>
      </c>
      <c r="AF27" s="7"/>
      <c r="AG27" s="7"/>
      <c r="AI27" s="7" t="s">
        <v>56</v>
      </c>
      <c r="AJ27" s="7"/>
      <c r="AK27" s="7"/>
      <c r="AL27" s="7"/>
      <c r="AM27" s="7"/>
      <c r="AO27" s="7" t="s">
        <v>70</v>
      </c>
      <c r="AP27" s="7"/>
      <c r="AQ27" s="7"/>
      <c r="AR27" s="7"/>
      <c r="AS27" s="7"/>
      <c r="AT27" s="7"/>
      <c r="AU27" s="7"/>
      <c r="AW27" s="7" t="s">
        <v>75</v>
      </c>
      <c r="AX27" s="7"/>
    </row>
    <row r="28" spans="1:50" ht="15" thickBot="1" x14ac:dyDescent="0.35">
      <c r="E28" s="1"/>
      <c r="M28" s="3"/>
      <c r="N28" s="3"/>
      <c r="O28" s="3"/>
      <c r="AA28" s="8"/>
      <c r="AE28" s="16"/>
      <c r="AF28" s="16"/>
      <c r="AG28" s="16"/>
      <c r="AR28" t="s">
        <v>71</v>
      </c>
      <c r="AS28">
        <v>0.05</v>
      </c>
    </row>
    <row r="29" spans="1:50" ht="15" thickTop="1" x14ac:dyDescent="0.3">
      <c r="M29" s="1"/>
      <c r="N29" s="1"/>
      <c r="W29" s="7" t="s">
        <v>33</v>
      </c>
      <c r="X29" s="7" t="s">
        <v>34</v>
      </c>
      <c r="Y29" s="7" t="s">
        <v>35</v>
      </c>
      <c r="AA29" s="7" t="s">
        <v>37</v>
      </c>
      <c r="AB29" s="7" t="s">
        <v>38</v>
      </c>
      <c r="AC29" s="7" t="s">
        <v>39</v>
      </c>
      <c r="AE29" s="7" t="s">
        <v>64</v>
      </c>
      <c r="AF29" s="7" t="s">
        <v>65</v>
      </c>
      <c r="AG29" s="7" t="s">
        <v>66</v>
      </c>
      <c r="AI29" s="7" t="s">
        <v>57</v>
      </c>
      <c r="AJ29" s="7" t="s">
        <v>58</v>
      </c>
      <c r="AK29" s="7" t="s">
        <v>59</v>
      </c>
      <c r="AL29" s="7" t="s">
        <v>60</v>
      </c>
      <c r="AM29" s="7" t="s">
        <v>61</v>
      </c>
      <c r="AO29" s="7" t="s">
        <v>33</v>
      </c>
      <c r="AP29" s="7" t="s">
        <v>34</v>
      </c>
      <c r="AQ29" s="7" t="s">
        <v>35</v>
      </c>
      <c r="AR29" s="7" t="s">
        <v>72</v>
      </c>
      <c r="AS29" s="7" t="s">
        <v>59</v>
      </c>
      <c r="AT29" s="7" t="s">
        <v>73</v>
      </c>
      <c r="AU29" s="7" t="s">
        <v>74</v>
      </c>
      <c r="AW29" s="7" t="s">
        <v>33</v>
      </c>
      <c r="AX29" s="7" t="s">
        <v>76</v>
      </c>
    </row>
    <row r="30" spans="1:50" x14ac:dyDescent="0.3">
      <c r="M30" s="1"/>
      <c r="N30" s="1"/>
      <c r="W30">
        <v>1</v>
      </c>
      <c r="X30" t="e">
        <f ca="1">B4-2*B3+B2-AC$31</f>
        <v>#NAME?</v>
      </c>
      <c r="Y30">
        <v>0</v>
      </c>
      <c r="AA30" s="8">
        <v>1</v>
      </c>
      <c r="AB30" t="e">
        <f ca="1">AJ31</f>
        <v>#NAME?</v>
      </c>
      <c r="AC30">
        <v>0</v>
      </c>
      <c r="AE30" s="15" t="e">
        <f t="array" aca="1" ref="AE30:AG30" ca="1">[1]!ARRoots(AB30)</f>
        <v>#NAME?</v>
      </c>
      <c r="AF30" s="15" t="e">
        <f ca="1"/>
        <v>#NAME?</v>
      </c>
      <c r="AG30" s="15" t="e">
        <f ca="1"/>
        <v>#NAME?</v>
      </c>
      <c r="AI30" t="s">
        <v>40</v>
      </c>
      <c r="AJ30" t="e">
        <f t="array" aca="1" ref="AJ30:AK31" ca="1">[1]!ARIMA_Coeff(B2:B20,1,0,2,TRUE)</f>
        <v>#NAME?</v>
      </c>
      <c r="AK30" t="e">
        <f ca="1"/>
        <v>#NAME?</v>
      </c>
      <c r="AL30" t="e">
        <f ca="1">AJ30/AK30</f>
        <v>#NAME?</v>
      </c>
      <c r="AM30" t="e">
        <f ca="1">_xlfn.T.DIST.2T(ABS(AL30),AC$43-AC$35-AC$36-1)</f>
        <v>#NAME?</v>
      </c>
      <c r="AO30">
        <f>W30</f>
        <v>1</v>
      </c>
      <c r="AP30" t="e">
        <f ca="1">X30</f>
        <v>#NAME?</v>
      </c>
      <c r="AQ30">
        <f>Y30</f>
        <v>0</v>
      </c>
      <c r="AR30" t="e">
        <f ca="1">AP30-AQ30</f>
        <v>#NAME?</v>
      </c>
      <c r="AS30" t="e">
        <f ca="1">AC$40</f>
        <v>#NAME?</v>
      </c>
      <c r="AT30" t="e">
        <f ca="1">AR30-_xlfn.NORM.S.INV(1-AS$28/2)*AS30</f>
        <v>#NAME?</v>
      </c>
      <c r="AU30" t="e">
        <f ca="1">AR30+_xlfn.NORM.S.INV(1-AS$28/2)*AS30</f>
        <v>#NAME?</v>
      </c>
      <c r="AW30">
        <v>1</v>
      </c>
      <c r="AX30">
        <f>B2</f>
        <v>244</v>
      </c>
    </row>
    <row r="31" spans="1:50" ht="15" thickBot="1" x14ac:dyDescent="0.35">
      <c r="M31" s="1"/>
      <c r="N31" s="1"/>
      <c r="W31">
        <f>W30+1</f>
        <v>2</v>
      </c>
      <c r="X31" t="e">
        <f ca="1">B5-2*B4+B3-AC$31</f>
        <v>#NAME?</v>
      </c>
      <c r="Y31" t="e">
        <f ca="1">X31-SUMPRODUCT(X30,AB$30)</f>
        <v>#NAME?</v>
      </c>
      <c r="AA31" s="17" t="s">
        <v>40</v>
      </c>
      <c r="AB31" s="18" t="e">
        <f ca="1">AJ30</f>
        <v>#NAME?</v>
      </c>
      <c r="AC31" s="19" t="e">
        <f ca="1">AB31/(1-SUM(AB30))</f>
        <v>#NAME?</v>
      </c>
      <c r="AI31" s="10" t="s">
        <v>62</v>
      </c>
      <c r="AJ31" s="10" t="e">
        <f ca="1"/>
        <v>#NAME?</v>
      </c>
      <c r="AK31" s="10" t="e">
        <f ca="1"/>
        <v>#NAME?</v>
      </c>
      <c r="AL31" s="10" t="e">
        <f ca="1">AJ31/AK31</f>
        <v>#NAME?</v>
      </c>
      <c r="AM31" s="10" t="e">
        <f ca="1">_xlfn.T.DIST.2T(ABS(AL31),AC$43-AC$35-AC$36-1)</f>
        <v>#NAME?</v>
      </c>
      <c r="AO31">
        <f t="shared" ref="AO31:AO46" si="11">W31</f>
        <v>2</v>
      </c>
      <c r="AP31" t="e">
        <f t="shared" ref="AP31:AP46" ca="1" si="12">X31</f>
        <v>#NAME?</v>
      </c>
      <c r="AQ31" t="e">
        <f t="shared" ref="AQ31:AQ46" ca="1" si="13">Y31</f>
        <v>#NAME?</v>
      </c>
      <c r="AR31" t="e">
        <f t="shared" ref="AR31:AR46" ca="1" si="14">AP31-AQ31</f>
        <v>#NAME?</v>
      </c>
      <c r="AS31" t="e">
        <f t="shared" ref="AS31:AS46" ca="1" si="15">AC$40</f>
        <v>#NAME?</v>
      </c>
      <c r="AT31" t="e">
        <f t="shared" ref="AT31:AT46" ca="1" si="16">AR31-_xlfn.NORM.S.INV(1-AS$28/2)*AS31</f>
        <v>#NAME?</v>
      </c>
      <c r="AU31" t="e">
        <f t="shared" ref="AU31:AU46" ca="1" si="17">AR31+_xlfn.NORM.S.INV(1-AS$28/2)*AS31</f>
        <v>#NAME?</v>
      </c>
      <c r="AW31">
        <f>AW30+1</f>
        <v>2</v>
      </c>
      <c r="AX31">
        <f>B3</f>
        <v>228</v>
      </c>
    </row>
    <row r="32" spans="1:50" ht="15" thickTop="1" x14ac:dyDescent="0.3">
      <c r="M32" s="1"/>
      <c r="N32" s="1"/>
      <c r="W32">
        <f t="shared" ref="W32:W46" si="18">W31+1</f>
        <v>3</v>
      </c>
      <c r="X32" t="e">
        <f ca="1">B6-2*B5+B4-AC$31</f>
        <v>#NAME?</v>
      </c>
      <c r="Y32" t="e">
        <f t="shared" ref="Y32:Y46" ca="1" si="19">X32-SUMPRODUCT(X31,AB$30)</f>
        <v>#NAME?</v>
      </c>
      <c r="AE32" s="7" t="s">
        <v>67</v>
      </c>
      <c r="AF32" s="7"/>
      <c r="AG32" s="7"/>
      <c r="AO32">
        <f t="shared" si="11"/>
        <v>3</v>
      </c>
      <c r="AP32" t="e">
        <f t="shared" ca="1" si="12"/>
        <v>#NAME?</v>
      </c>
      <c r="AQ32" t="e">
        <f t="shared" ca="1" si="13"/>
        <v>#NAME?</v>
      </c>
      <c r="AR32" t="e">
        <f t="shared" ca="1" si="14"/>
        <v>#NAME?</v>
      </c>
      <c r="AS32" t="e">
        <f t="shared" ca="1" si="15"/>
        <v>#NAME?</v>
      </c>
      <c r="AT32" t="e">
        <f t="shared" ca="1" si="16"/>
        <v>#NAME?</v>
      </c>
      <c r="AU32" t="e">
        <f t="shared" ca="1" si="17"/>
        <v>#NAME?</v>
      </c>
      <c r="AW32">
        <f t="shared" ref="AW32:AW53" si="20">AW31+1</f>
        <v>3</v>
      </c>
      <c r="AX32">
        <f>B4</f>
        <v>153</v>
      </c>
    </row>
    <row r="33" spans="1:50" ht="15" thickBot="1" x14ac:dyDescent="0.35">
      <c r="M33" s="1"/>
      <c r="N33" s="1"/>
      <c r="W33">
        <f t="shared" si="18"/>
        <v>4</v>
      </c>
      <c r="X33" t="e">
        <f ca="1">B7-2*B6+B5-AC$31</f>
        <v>#NAME?</v>
      </c>
      <c r="Y33" t="e">
        <f t="shared" ca="1" si="19"/>
        <v>#NAME?</v>
      </c>
      <c r="AB33" t="s">
        <v>41</v>
      </c>
      <c r="AC33" s="11" t="e">
        <f ca="1">SUMSQ(Y31:Y46)</f>
        <v>#NAME?</v>
      </c>
      <c r="AO33">
        <f t="shared" si="11"/>
        <v>4</v>
      </c>
      <c r="AP33" t="e">
        <f t="shared" ca="1" si="12"/>
        <v>#NAME?</v>
      </c>
      <c r="AQ33" t="e">
        <f t="shared" ca="1" si="13"/>
        <v>#NAME?</v>
      </c>
      <c r="AR33" t="e">
        <f t="shared" ca="1" si="14"/>
        <v>#NAME?</v>
      </c>
      <c r="AS33" t="e">
        <f t="shared" ca="1" si="15"/>
        <v>#NAME?</v>
      </c>
      <c r="AT33" t="e">
        <f t="shared" ca="1" si="16"/>
        <v>#NAME?</v>
      </c>
      <c r="AU33" t="e">
        <f t="shared" ca="1" si="17"/>
        <v>#NAME?</v>
      </c>
      <c r="AW33">
        <f t="shared" si="20"/>
        <v>4</v>
      </c>
      <c r="AX33">
        <f>B5</f>
        <v>140</v>
      </c>
    </row>
    <row r="34" spans="1:50" ht="15" thickTop="1" x14ac:dyDescent="0.3">
      <c r="M34" s="1"/>
      <c r="N34" s="1"/>
      <c r="W34">
        <f t="shared" si="18"/>
        <v>5</v>
      </c>
      <c r="X34" t="e">
        <f ca="1">B8-2*B7+B6-AC$31</f>
        <v>#NAME?</v>
      </c>
      <c r="Y34" t="e">
        <f t="shared" ca="1" si="19"/>
        <v>#NAME?</v>
      </c>
      <c r="AC34" s="13"/>
      <c r="AE34" s="7" t="s">
        <v>64</v>
      </c>
      <c r="AF34" s="7" t="s">
        <v>65</v>
      </c>
      <c r="AG34" s="7" t="s">
        <v>66</v>
      </c>
      <c r="AO34">
        <f t="shared" si="11"/>
        <v>5</v>
      </c>
      <c r="AP34" t="e">
        <f t="shared" ca="1" si="12"/>
        <v>#NAME?</v>
      </c>
      <c r="AQ34" t="e">
        <f t="shared" ca="1" si="13"/>
        <v>#NAME?</v>
      </c>
      <c r="AR34" t="e">
        <f t="shared" ca="1" si="14"/>
        <v>#NAME?</v>
      </c>
      <c r="AS34" t="e">
        <f t="shared" ca="1" si="15"/>
        <v>#NAME?</v>
      </c>
      <c r="AT34" t="e">
        <f t="shared" ca="1" si="16"/>
        <v>#NAME?</v>
      </c>
      <c r="AU34" t="e">
        <f t="shared" ca="1" si="17"/>
        <v>#NAME?</v>
      </c>
      <c r="AW34">
        <f t="shared" si="20"/>
        <v>5</v>
      </c>
      <c r="AX34">
        <f>B6</f>
        <v>55</v>
      </c>
    </row>
    <row r="35" spans="1:50" ht="15" thickBot="1" x14ac:dyDescent="0.35">
      <c r="M35" s="1"/>
      <c r="N35" s="1"/>
      <c r="W35">
        <f t="shared" si="18"/>
        <v>6</v>
      </c>
      <c r="X35" t="e">
        <f ca="1">B9-2*B8+B7-AC$31</f>
        <v>#NAME?</v>
      </c>
      <c r="Y35" t="e">
        <f t="shared" ca="1" si="19"/>
        <v>#NAME?</v>
      </c>
      <c r="AB35" t="s">
        <v>42</v>
      </c>
      <c r="AC35" s="12">
        <v>1</v>
      </c>
      <c r="AO35">
        <f t="shared" si="11"/>
        <v>6</v>
      </c>
      <c r="AP35" t="e">
        <f t="shared" ca="1" si="12"/>
        <v>#NAME?</v>
      </c>
      <c r="AQ35" t="e">
        <f t="shared" ca="1" si="13"/>
        <v>#NAME?</v>
      </c>
      <c r="AR35" t="e">
        <f t="shared" ca="1" si="14"/>
        <v>#NAME?</v>
      </c>
      <c r="AS35" t="e">
        <f t="shared" ca="1" si="15"/>
        <v>#NAME?</v>
      </c>
      <c r="AT35" t="e">
        <f t="shared" ca="1" si="16"/>
        <v>#NAME?</v>
      </c>
      <c r="AU35" t="e">
        <f t="shared" ca="1" si="17"/>
        <v>#NAME?</v>
      </c>
      <c r="AW35">
        <f t="shared" si="20"/>
        <v>6</v>
      </c>
      <c r="AX35">
        <f>B7</f>
        <v>34</v>
      </c>
    </row>
    <row r="36" spans="1:50" ht="15" thickTop="1" x14ac:dyDescent="0.3">
      <c r="M36" s="1"/>
      <c r="N36" s="1"/>
      <c r="W36">
        <f t="shared" si="18"/>
        <v>7</v>
      </c>
      <c r="X36" t="e">
        <f ca="1">B10-2*B9+B8-AC$31</f>
        <v>#NAME?</v>
      </c>
      <c r="Y36" t="e">
        <f t="shared" ca="1" si="19"/>
        <v>#NAME?</v>
      </c>
      <c r="AB36" t="s">
        <v>43</v>
      </c>
      <c r="AC36" s="13">
        <v>0</v>
      </c>
      <c r="AE36" s="7" t="s">
        <v>68</v>
      </c>
      <c r="AF36" s="7"/>
      <c r="AO36">
        <f t="shared" si="11"/>
        <v>7</v>
      </c>
      <c r="AP36" t="e">
        <f t="shared" ca="1" si="12"/>
        <v>#NAME?</v>
      </c>
      <c r="AQ36" t="e">
        <f t="shared" ca="1" si="13"/>
        <v>#NAME?</v>
      </c>
      <c r="AR36" t="e">
        <f t="shared" ca="1" si="14"/>
        <v>#NAME?</v>
      </c>
      <c r="AS36" t="e">
        <f t="shared" ca="1" si="15"/>
        <v>#NAME?</v>
      </c>
      <c r="AT36" t="e">
        <f t="shared" ca="1" si="16"/>
        <v>#NAME?</v>
      </c>
      <c r="AU36" t="e">
        <f t="shared" ca="1" si="17"/>
        <v>#NAME?</v>
      </c>
      <c r="AW36">
        <f t="shared" si="20"/>
        <v>7</v>
      </c>
      <c r="AX36">
        <f>B8</f>
        <v>30</v>
      </c>
    </row>
    <row r="37" spans="1:50" ht="15" thickBot="1" x14ac:dyDescent="0.35">
      <c r="M37" s="1"/>
      <c r="N37" s="1"/>
      <c r="W37">
        <f t="shared" si="18"/>
        <v>8</v>
      </c>
      <c r="X37" t="e">
        <f ca="1">B11-2*B10+B9-AC$31</f>
        <v>#NAME?</v>
      </c>
      <c r="Y37" t="e">
        <f t="shared" ca="1" si="19"/>
        <v>#NAME?</v>
      </c>
      <c r="AB37" t="s">
        <v>44</v>
      </c>
      <c r="AC37" s="13">
        <v>2</v>
      </c>
      <c r="AE37" s="16"/>
      <c r="AF37" s="16"/>
      <c r="AO37">
        <f t="shared" si="11"/>
        <v>8</v>
      </c>
      <c r="AP37" t="e">
        <f t="shared" ca="1" si="12"/>
        <v>#NAME?</v>
      </c>
      <c r="AQ37" t="e">
        <f t="shared" ca="1" si="13"/>
        <v>#NAME?</v>
      </c>
      <c r="AR37" t="e">
        <f t="shared" ca="1" si="14"/>
        <v>#NAME?</v>
      </c>
      <c r="AS37" t="e">
        <f t="shared" ca="1" si="15"/>
        <v>#NAME?</v>
      </c>
      <c r="AT37" t="e">
        <f t="shared" ca="1" si="16"/>
        <v>#NAME?</v>
      </c>
      <c r="AU37" t="e">
        <f t="shared" ca="1" si="17"/>
        <v>#NAME?</v>
      </c>
      <c r="AW37">
        <f t="shared" si="20"/>
        <v>8</v>
      </c>
      <c r="AX37">
        <f>B9</f>
        <v>28</v>
      </c>
    </row>
    <row r="38" spans="1:50" ht="15" thickTop="1" x14ac:dyDescent="0.3">
      <c r="M38" s="1"/>
      <c r="N38" s="1"/>
      <c r="W38">
        <f t="shared" si="18"/>
        <v>9</v>
      </c>
      <c r="X38" t="e">
        <f ca="1">B12-2*B11+B10-AC$31</f>
        <v>#NAME?</v>
      </c>
      <c r="Y38" t="e">
        <f t="shared" ca="1" si="19"/>
        <v>#NAME?</v>
      </c>
      <c r="AB38" t="s">
        <v>45</v>
      </c>
      <c r="AC38" s="13" t="e">
        <f ca="1">AVERAGE(Y31:Y46)</f>
        <v>#NAME?</v>
      </c>
      <c r="AE38" s="7" t="s">
        <v>37</v>
      </c>
      <c r="AF38" s="7" t="s">
        <v>69</v>
      </c>
      <c r="AO38">
        <f t="shared" si="11"/>
        <v>9</v>
      </c>
      <c r="AP38" t="e">
        <f t="shared" ca="1" si="12"/>
        <v>#NAME?</v>
      </c>
      <c r="AQ38" t="e">
        <f t="shared" ca="1" si="13"/>
        <v>#NAME?</v>
      </c>
      <c r="AR38" t="e">
        <f t="shared" ca="1" si="14"/>
        <v>#NAME?</v>
      </c>
      <c r="AS38" t="e">
        <f t="shared" ca="1" si="15"/>
        <v>#NAME?</v>
      </c>
      <c r="AT38" t="e">
        <f t="shared" ca="1" si="16"/>
        <v>#NAME?</v>
      </c>
      <c r="AU38" t="e">
        <f t="shared" ca="1" si="17"/>
        <v>#NAME?</v>
      </c>
      <c r="AW38">
        <f t="shared" si="20"/>
        <v>9</v>
      </c>
      <c r="AX38">
        <f>B10</f>
        <v>29</v>
      </c>
    </row>
    <row r="39" spans="1:50" x14ac:dyDescent="0.3">
      <c r="M39" s="1"/>
      <c r="N39" s="1"/>
      <c r="W39">
        <f t="shared" si="18"/>
        <v>10</v>
      </c>
      <c r="X39" t="e">
        <f ca="1">B13-2*B12+B11-AC$31</f>
        <v>#NAME?</v>
      </c>
      <c r="Y39" t="e">
        <f t="shared" ca="1" si="19"/>
        <v>#NAME?</v>
      </c>
      <c r="AB39" t="s">
        <v>46</v>
      </c>
      <c r="AC39" s="13" t="e">
        <f ca="1">_xlfn.STDEV.S(Y31:Y46)</f>
        <v>#NAME?</v>
      </c>
      <c r="AE39" s="16">
        <v>0</v>
      </c>
      <c r="AF39" s="16" t="e">
        <f t="array" aca="1" ref="AF39:AF43" ca="1">[1]!PSICoeff(AB30)</f>
        <v>#NAME?</v>
      </c>
      <c r="AO39">
        <f t="shared" si="11"/>
        <v>10</v>
      </c>
      <c r="AP39" t="e">
        <f t="shared" ca="1" si="12"/>
        <v>#NAME?</v>
      </c>
      <c r="AQ39" t="e">
        <f t="shared" ca="1" si="13"/>
        <v>#NAME?</v>
      </c>
      <c r="AR39" t="e">
        <f t="shared" ca="1" si="14"/>
        <v>#NAME?</v>
      </c>
      <c r="AS39" t="e">
        <f t="shared" ca="1" si="15"/>
        <v>#NAME?</v>
      </c>
      <c r="AT39" t="e">
        <f t="shared" ca="1" si="16"/>
        <v>#NAME?</v>
      </c>
      <c r="AU39" t="e">
        <f t="shared" ca="1" si="17"/>
        <v>#NAME?</v>
      </c>
      <c r="AW39">
        <f t="shared" si="20"/>
        <v>10</v>
      </c>
      <c r="AX39">
        <f>B11</f>
        <v>41</v>
      </c>
    </row>
    <row r="40" spans="1:50" x14ac:dyDescent="0.3">
      <c r="M40" s="1"/>
      <c r="N40" s="1"/>
      <c r="W40">
        <f t="shared" si="18"/>
        <v>11</v>
      </c>
      <c r="X40" t="e">
        <f ca="1">B14-2*B13+B12-AC$31</f>
        <v>#NAME?</v>
      </c>
      <c r="Y40" t="e">
        <f t="shared" ca="1" si="19"/>
        <v>#NAME?</v>
      </c>
      <c r="AB40" t="s">
        <v>47</v>
      </c>
      <c r="AC40" s="13" t="e">
        <f ca="1">SQRT(AC33/(AC43-AC35-1))</f>
        <v>#NAME?</v>
      </c>
      <c r="AE40">
        <f>AE39+1</f>
        <v>1</v>
      </c>
      <c r="AF40" t="e">
        <f ca="1"/>
        <v>#NAME?</v>
      </c>
      <c r="AO40">
        <f t="shared" si="11"/>
        <v>11</v>
      </c>
      <c r="AP40" t="e">
        <f t="shared" ca="1" si="12"/>
        <v>#NAME?</v>
      </c>
      <c r="AQ40" t="e">
        <f t="shared" ca="1" si="13"/>
        <v>#NAME?</v>
      </c>
      <c r="AR40" t="e">
        <f t="shared" ca="1" si="14"/>
        <v>#NAME?</v>
      </c>
      <c r="AS40" t="e">
        <f t="shared" ca="1" si="15"/>
        <v>#NAME?</v>
      </c>
      <c r="AT40" t="e">
        <f t="shared" ca="1" si="16"/>
        <v>#NAME?</v>
      </c>
      <c r="AU40" t="e">
        <f t="shared" ca="1" si="17"/>
        <v>#NAME?</v>
      </c>
      <c r="AW40">
        <f t="shared" si="20"/>
        <v>11</v>
      </c>
      <c r="AX40">
        <f>B12</f>
        <v>88</v>
      </c>
    </row>
    <row r="41" spans="1:50" x14ac:dyDescent="0.3">
      <c r="M41" s="1"/>
      <c r="N41" s="1"/>
      <c r="W41">
        <f t="shared" si="18"/>
        <v>12</v>
      </c>
      <c r="X41" t="e">
        <f ca="1">B15-2*B14+B13-AC$31</f>
        <v>#NAME?</v>
      </c>
      <c r="Y41" t="e">
        <f t="shared" ca="1" si="19"/>
        <v>#NAME?</v>
      </c>
      <c r="AB41" t="s">
        <v>48</v>
      </c>
      <c r="AC41" s="14" t="e">
        <f ca="1">AVERAGE(X31:X46)</f>
        <v>#NAME?</v>
      </c>
      <c r="AE41">
        <f t="shared" ref="AE41:AE43" si="21">AE40+1</f>
        <v>2</v>
      </c>
      <c r="AF41" t="e">
        <f ca="1"/>
        <v>#NAME?</v>
      </c>
      <c r="AO41">
        <f t="shared" si="11"/>
        <v>12</v>
      </c>
      <c r="AP41" t="e">
        <f t="shared" ca="1" si="12"/>
        <v>#NAME?</v>
      </c>
      <c r="AQ41" t="e">
        <f t="shared" ca="1" si="13"/>
        <v>#NAME?</v>
      </c>
      <c r="AR41" t="e">
        <f t="shared" ca="1" si="14"/>
        <v>#NAME?</v>
      </c>
      <c r="AS41" t="e">
        <f t="shared" ca="1" si="15"/>
        <v>#NAME?</v>
      </c>
      <c r="AT41" t="e">
        <f t="shared" ca="1" si="16"/>
        <v>#NAME?</v>
      </c>
      <c r="AU41" t="e">
        <f t="shared" ca="1" si="17"/>
        <v>#NAME?</v>
      </c>
      <c r="AW41">
        <f t="shared" si="20"/>
        <v>12</v>
      </c>
      <c r="AX41">
        <f>B13</f>
        <v>199</v>
      </c>
    </row>
    <row r="42" spans="1:50" x14ac:dyDescent="0.3">
      <c r="M42" s="1"/>
      <c r="N42" s="1"/>
      <c r="W42">
        <f t="shared" si="18"/>
        <v>13</v>
      </c>
      <c r="X42" t="e">
        <f ca="1">B16-2*B15+B14-AC$31</f>
        <v>#NAME?</v>
      </c>
      <c r="Y42" t="e">
        <f t="shared" ca="1" si="19"/>
        <v>#NAME?</v>
      </c>
      <c r="AB42" t="s">
        <v>49</v>
      </c>
      <c r="AC42" s="13" t="e">
        <f ca="1">_xlfn.STDEV.S(X31:X46)</f>
        <v>#NAME?</v>
      </c>
      <c r="AE42">
        <f t="shared" si="21"/>
        <v>3</v>
      </c>
      <c r="AF42" t="e">
        <f ca="1"/>
        <v>#NAME?</v>
      </c>
      <c r="AO42">
        <f t="shared" si="11"/>
        <v>13</v>
      </c>
      <c r="AP42" t="e">
        <f t="shared" ca="1" si="12"/>
        <v>#NAME?</v>
      </c>
      <c r="AQ42" t="e">
        <f t="shared" ca="1" si="13"/>
        <v>#NAME?</v>
      </c>
      <c r="AR42" t="e">
        <f t="shared" ca="1" si="14"/>
        <v>#NAME?</v>
      </c>
      <c r="AS42" t="e">
        <f t="shared" ca="1" si="15"/>
        <v>#NAME?</v>
      </c>
      <c r="AT42" t="e">
        <f t="shared" ca="1" si="16"/>
        <v>#NAME?</v>
      </c>
      <c r="AU42" t="e">
        <f t="shared" ca="1" si="17"/>
        <v>#NAME?</v>
      </c>
      <c r="AW42">
        <f t="shared" si="20"/>
        <v>13</v>
      </c>
      <c r="AX42">
        <f>B14</f>
        <v>230</v>
      </c>
    </row>
    <row r="43" spans="1:50" x14ac:dyDescent="0.3">
      <c r="A43" t="s">
        <v>17</v>
      </c>
      <c r="M43" s="1"/>
      <c r="N43" s="1"/>
      <c r="W43">
        <f t="shared" si="18"/>
        <v>14</v>
      </c>
      <c r="X43" t="e">
        <f ca="1">B17-2*B16+B15-AC$31</f>
        <v>#NAME?</v>
      </c>
      <c r="Y43" t="e">
        <f t="shared" ca="1" si="19"/>
        <v>#NAME?</v>
      </c>
      <c r="AB43" t="s">
        <v>50</v>
      </c>
      <c r="AC43" s="11">
        <f ca="1">COUNT(X31:X46)</f>
        <v>0</v>
      </c>
      <c r="AE43" s="10">
        <f t="shared" si="21"/>
        <v>4</v>
      </c>
      <c r="AF43" s="10" t="e">
        <f ca="1"/>
        <v>#NAME?</v>
      </c>
      <c r="AO43">
        <f t="shared" si="11"/>
        <v>14</v>
      </c>
      <c r="AP43" t="e">
        <f t="shared" ca="1" si="12"/>
        <v>#NAME?</v>
      </c>
      <c r="AQ43" t="e">
        <f t="shared" ca="1" si="13"/>
        <v>#NAME?</v>
      </c>
      <c r="AR43" t="e">
        <f t="shared" ca="1" si="14"/>
        <v>#NAME?</v>
      </c>
      <c r="AS43" t="e">
        <f t="shared" ca="1" si="15"/>
        <v>#NAME?</v>
      </c>
      <c r="AT43" t="e">
        <f t="shared" ca="1" si="16"/>
        <v>#NAME?</v>
      </c>
      <c r="AU43" t="e">
        <f t="shared" ca="1" si="17"/>
        <v>#NAME?</v>
      </c>
      <c r="AW43">
        <f t="shared" si="20"/>
        <v>14</v>
      </c>
      <c r="AX43">
        <f>B15</f>
        <v>245</v>
      </c>
    </row>
    <row r="44" spans="1:50" x14ac:dyDescent="0.3">
      <c r="M44" s="1"/>
      <c r="N44" s="1"/>
      <c r="W44">
        <f t="shared" si="18"/>
        <v>15</v>
      </c>
      <c r="X44" t="e">
        <f ca="1">B18-2*B17+B16-AC$31</f>
        <v>#NAME?</v>
      </c>
      <c r="Y44" t="e">
        <f t="shared" ca="1" si="19"/>
        <v>#NAME?</v>
      </c>
      <c r="AC44" s="13"/>
      <c r="AO44">
        <f t="shared" si="11"/>
        <v>15</v>
      </c>
      <c r="AP44" t="e">
        <f t="shared" ca="1" si="12"/>
        <v>#NAME?</v>
      </c>
      <c r="AQ44" t="e">
        <f t="shared" ca="1" si="13"/>
        <v>#NAME?</v>
      </c>
      <c r="AR44" t="e">
        <f t="shared" ca="1" si="14"/>
        <v>#NAME?</v>
      </c>
      <c r="AS44" t="e">
        <f t="shared" ca="1" si="15"/>
        <v>#NAME?</v>
      </c>
      <c r="AT44" t="e">
        <f t="shared" ca="1" si="16"/>
        <v>#NAME?</v>
      </c>
      <c r="AU44" t="e">
        <f t="shared" ca="1" si="17"/>
        <v>#NAME?</v>
      </c>
      <c r="AW44">
        <f t="shared" si="20"/>
        <v>15</v>
      </c>
      <c r="AX44">
        <f>B16</f>
        <v>247</v>
      </c>
    </row>
    <row r="45" spans="1:50" x14ac:dyDescent="0.3">
      <c r="M45" s="1"/>
      <c r="N45" s="1"/>
      <c r="W45">
        <f t="shared" si="18"/>
        <v>16</v>
      </c>
      <c r="X45" t="e">
        <f ca="1">B19-2*B18+B17-AC$31</f>
        <v>#NAME?</v>
      </c>
      <c r="Y45" t="e">
        <f t="shared" ca="1" si="19"/>
        <v>#NAME?</v>
      </c>
      <c r="AB45" t="s">
        <v>51</v>
      </c>
      <c r="AC45" s="12" t="e">
        <f ca="1">-(AC48-2*(AC35+AC36+1))/2</f>
        <v>#NAME?</v>
      </c>
      <c r="AO45">
        <f t="shared" si="11"/>
        <v>16</v>
      </c>
      <c r="AP45" t="e">
        <f t="shared" ca="1" si="12"/>
        <v>#NAME?</v>
      </c>
      <c r="AQ45" t="e">
        <f t="shared" ca="1" si="13"/>
        <v>#NAME?</v>
      </c>
      <c r="AR45" t="e">
        <f t="shared" ca="1" si="14"/>
        <v>#NAME?</v>
      </c>
      <c r="AS45" t="e">
        <f t="shared" ca="1" si="15"/>
        <v>#NAME?</v>
      </c>
      <c r="AT45" t="e">
        <f t="shared" ca="1" si="16"/>
        <v>#NAME?</v>
      </c>
      <c r="AU45" t="e">
        <f t="shared" ca="1" si="17"/>
        <v>#NAME?</v>
      </c>
      <c r="AW45">
        <f t="shared" si="20"/>
        <v>16</v>
      </c>
      <c r="AX45">
        <f>B17</f>
        <v>135</v>
      </c>
    </row>
    <row r="46" spans="1:50" x14ac:dyDescent="0.3">
      <c r="M46" s="1"/>
      <c r="N46" s="1"/>
      <c r="W46" s="10">
        <f t="shared" si="18"/>
        <v>17</v>
      </c>
      <c r="X46" s="10" t="e">
        <f ca="1">B20-2*B19+B18-AC$31</f>
        <v>#NAME?</v>
      </c>
      <c r="Y46" s="10" t="e">
        <f t="shared" ca="1" si="19"/>
        <v>#NAME?</v>
      </c>
      <c r="AB46" t="s">
        <v>52</v>
      </c>
      <c r="AC46" s="13" t="e">
        <f ca="1">AC43*LN(AC33/AC43)+2*(AC35+AC36+1)</f>
        <v>#NAME?</v>
      </c>
      <c r="AO46">
        <f t="shared" si="11"/>
        <v>17</v>
      </c>
      <c r="AP46" t="e">
        <f t="shared" ca="1" si="12"/>
        <v>#NAME?</v>
      </c>
      <c r="AQ46" t="e">
        <f t="shared" ca="1" si="13"/>
        <v>#NAME?</v>
      </c>
      <c r="AR46" t="e">
        <f t="shared" ca="1" si="14"/>
        <v>#NAME?</v>
      </c>
      <c r="AS46" t="e">
        <f t="shared" ca="1" si="15"/>
        <v>#NAME?</v>
      </c>
      <c r="AT46" t="e">
        <f t="shared" ca="1" si="16"/>
        <v>#NAME?</v>
      </c>
      <c r="AU46" t="e">
        <f t="shared" ca="1" si="17"/>
        <v>#NAME?</v>
      </c>
      <c r="AW46">
        <f t="shared" si="20"/>
        <v>17</v>
      </c>
      <c r="AX46">
        <f>B18</f>
        <v>34</v>
      </c>
    </row>
    <row r="47" spans="1:50" x14ac:dyDescent="0.3">
      <c r="M47" s="1"/>
      <c r="N47" s="1"/>
      <c r="AB47" t="s">
        <v>53</v>
      </c>
      <c r="AC47" s="14" t="e">
        <f ca="1">AC43*LN(AC33/AC43)+LN(AC43)*(AC35+AC36+1)</f>
        <v>#NAME?</v>
      </c>
      <c r="AO47">
        <f>AO46+1</f>
        <v>18</v>
      </c>
      <c r="AR47" t="e">
        <f ca="1">SUMPRODUCT(AP46,AB$30)</f>
        <v>#NAME?</v>
      </c>
      <c r="AS47" t="e">
        <f ca="1">AC$40*SQRT(SUMSQ(AF$39:AF39))</f>
        <v>#NAME?</v>
      </c>
      <c r="AT47" t="e">
        <f ca="1">AR47-_xlfn.NORM.S.INV(1-AS$28/2)*AS47</f>
        <v>#NAME?</v>
      </c>
      <c r="AU47" t="e">
        <f ca="1">AR47+_xlfn.NORM.S.INV(1-AS$28/2)*AS47</f>
        <v>#NAME?</v>
      </c>
      <c r="AW47">
        <f t="shared" si="20"/>
        <v>18</v>
      </c>
      <c r="AX47">
        <f>B19</f>
        <v>33</v>
      </c>
    </row>
    <row r="48" spans="1:50" x14ac:dyDescent="0.3">
      <c r="M48" s="1"/>
      <c r="N48" s="1"/>
      <c r="AB48" t="s">
        <v>54</v>
      </c>
      <c r="AC48" s="13" t="e">
        <f ca="1">AC43*(1+LN(2*PI()))+AC46</f>
        <v>#NAME?</v>
      </c>
      <c r="AO48">
        <f t="shared" ref="AO48:AO51" si="22">AO47+1</f>
        <v>19</v>
      </c>
      <c r="AR48" t="e">
        <f ca="1">SUMPRODUCT(AR47,AB30)</f>
        <v>#NAME?</v>
      </c>
      <c r="AS48" t="e">
        <f ca="1">AC$40*SQRT(SUMSQ(AF$39:AF40))</f>
        <v>#NAME?</v>
      </c>
      <c r="AT48" t="e">
        <f t="shared" ref="AT48:AT51" ca="1" si="23">AR48-_xlfn.NORM.S.INV(1-AS$28/2)*AS48</f>
        <v>#NAME?</v>
      </c>
      <c r="AU48" t="e">
        <f t="shared" ref="AU48:AU51" ca="1" si="24">AR48+_xlfn.NORM.S.INV(1-AS$28/2)*AS48</f>
        <v>#NAME?</v>
      </c>
      <c r="AW48" s="10">
        <f t="shared" si="20"/>
        <v>19</v>
      </c>
      <c r="AX48" s="10">
        <f>B20</f>
        <v>27</v>
      </c>
    </row>
    <row r="49" spans="1:50" x14ac:dyDescent="0.3">
      <c r="M49" s="1"/>
      <c r="N49" s="1"/>
      <c r="AB49" t="s">
        <v>55</v>
      </c>
      <c r="AC49" s="14" t="e">
        <f ca="1">AC43*(1+LN(2*PI()))+AC47</f>
        <v>#NAME?</v>
      </c>
      <c r="AO49">
        <f t="shared" si="22"/>
        <v>20</v>
      </c>
      <c r="AR49" t="e">
        <f ca="1">SUMPRODUCT(AR48,AB30)</f>
        <v>#NAME?</v>
      </c>
      <c r="AS49" t="e">
        <f ca="1">AC$40*SQRT(SUMSQ(AF$39:AF41))</f>
        <v>#NAME?</v>
      </c>
      <c r="AT49" t="e">
        <f t="shared" ca="1" si="23"/>
        <v>#NAME?</v>
      </c>
      <c r="AU49" t="e">
        <f t="shared" ca="1" si="24"/>
        <v>#NAME?</v>
      </c>
      <c r="AW49">
        <f t="shared" si="20"/>
        <v>20</v>
      </c>
      <c r="AX49" t="e">
        <f ca="1">AR47+2*AX48-AX47+AC$31</f>
        <v>#NAME?</v>
      </c>
    </row>
    <row r="50" spans="1:50" x14ac:dyDescent="0.3">
      <c r="M50" s="1"/>
      <c r="N50" s="1"/>
      <c r="AO50">
        <f t="shared" si="22"/>
        <v>21</v>
      </c>
      <c r="AR50" t="e">
        <f ca="1">SUMPRODUCT(AR49,AB30)</f>
        <v>#NAME?</v>
      </c>
      <c r="AS50" t="e">
        <f ca="1">AC$40*SQRT(SUMSQ(AF$39:AF42))</f>
        <v>#NAME?</v>
      </c>
      <c r="AT50" t="e">
        <f t="shared" ca="1" si="23"/>
        <v>#NAME?</v>
      </c>
      <c r="AU50" t="e">
        <f t="shared" ca="1" si="24"/>
        <v>#NAME?</v>
      </c>
      <c r="AW50">
        <f t="shared" si="20"/>
        <v>21</v>
      </c>
      <c r="AX50" t="e">
        <f t="shared" ref="AX50:AX53" ca="1" si="25">AR48+2*AX49-AX48+AC$31</f>
        <v>#NAME?</v>
      </c>
    </row>
    <row r="51" spans="1:50" x14ac:dyDescent="0.3">
      <c r="M51" s="1"/>
      <c r="N51" s="1"/>
      <c r="AO51" s="10">
        <f t="shared" si="22"/>
        <v>22</v>
      </c>
      <c r="AP51" s="10"/>
      <c r="AQ51" s="10"/>
      <c r="AR51" s="10" t="e">
        <f ca="1">SUMPRODUCT(AR50,AB30)</f>
        <v>#NAME?</v>
      </c>
      <c r="AS51" s="10" t="e">
        <f ca="1">AC$40*SQRT(SUMSQ(AF$39:AF43))</f>
        <v>#NAME?</v>
      </c>
      <c r="AT51" s="10" t="e">
        <f t="shared" ca="1" si="23"/>
        <v>#NAME?</v>
      </c>
      <c r="AU51" s="10" t="e">
        <f t="shared" ca="1" si="24"/>
        <v>#NAME?</v>
      </c>
      <c r="AW51">
        <f t="shared" si="20"/>
        <v>22</v>
      </c>
      <c r="AX51" t="e">
        <f t="shared" ca="1" si="25"/>
        <v>#NAME?</v>
      </c>
    </row>
    <row r="52" spans="1:50" x14ac:dyDescent="0.3">
      <c r="AW52">
        <f t="shared" si="20"/>
        <v>23</v>
      </c>
      <c r="AX52" t="e">
        <f t="shared" ca="1" si="25"/>
        <v>#NAME?</v>
      </c>
    </row>
    <row r="53" spans="1:50" x14ac:dyDescent="0.3">
      <c r="AW53" s="10">
        <f t="shared" si="20"/>
        <v>24</v>
      </c>
      <c r="AX53" s="10" t="e">
        <f t="shared" ca="1" si="25"/>
        <v>#NAME?</v>
      </c>
    </row>
    <row r="59" spans="1:50" x14ac:dyDescent="0.3">
      <c r="A59" t="s">
        <v>18</v>
      </c>
    </row>
    <row r="63" spans="1:50" x14ac:dyDescent="0.3">
      <c r="O63" t="s">
        <v>79</v>
      </c>
    </row>
    <row r="64" spans="1:50" ht="15" thickBot="1" x14ac:dyDescent="0.35">
      <c r="O64" s="2" t="s">
        <v>0</v>
      </c>
      <c r="P64" s="1" t="s">
        <v>3</v>
      </c>
      <c r="Q64" s="1" t="s">
        <v>4</v>
      </c>
      <c r="R64" s="1" t="s">
        <v>5</v>
      </c>
      <c r="S64" s="1" t="s">
        <v>6</v>
      </c>
      <c r="T64" s="1" t="s">
        <v>7</v>
      </c>
      <c r="U64" s="1" t="s">
        <v>8</v>
      </c>
      <c r="V64" s="1" t="s">
        <v>9</v>
      </c>
      <c r="W64" s="1" t="s">
        <v>10</v>
      </c>
      <c r="X64" s="1" t="s">
        <v>11</v>
      </c>
      <c r="Y64" s="1" t="s">
        <v>12</v>
      </c>
      <c r="Z64" s="1" t="s">
        <v>13</v>
      </c>
      <c r="AA64" s="1" t="s">
        <v>14</v>
      </c>
      <c r="AB64" s="1" t="s">
        <v>3</v>
      </c>
      <c r="AC64" s="1" t="s">
        <v>4</v>
      </c>
      <c r="AD64" s="1" t="s">
        <v>5</v>
      </c>
      <c r="AE64" s="1" t="s">
        <v>6</v>
      </c>
      <c r="AF64" s="1" t="s">
        <v>7</v>
      </c>
      <c r="AG64" s="1" t="s">
        <v>8</v>
      </c>
      <c r="AH64" s="1" t="s">
        <v>9</v>
      </c>
      <c r="AI64" s="1" t="s">
        <v>10</v>
      </c>
      <c r="AJ64" s="1" t="s">
        <v>11</v>
      </c>
      <c r="AK64" s="1" t="s">
        <v>12</v>
      </c>
      <c r="AL64" s="1" t="s">
        <v>13</v>
      </c>
      <c r="AM64" s="1" t="s">
        <v>14</v>
      </c>
    </row>
    <row r="65" spans="15:39" ht="15.6" thickTop="1" thickBot="1" x14ac:dyDescent="0.35">
      <c r="O65" s="2" t="s">
        <v>1</v>
      </c>
      <c r="P65" s="1">
        <v>244</v>
      </c>
      <c r="Q65" s="1">
        <v>228</v>
      </c>
      <c r="R65" s="1">
        <v>153</v>
      </c>
      <c r="S65" s="1">
        <v>140</v>
      </c>
      <c r="T65" s="1">
        <v>55</v>
      </c>
      <c r="U65" s="1">
        <v>34</v>
      </c>
      <c r="V65" s="1">
        <v>30</v>
      </c>
      <c r="W65" s="1">
        <v>28</v>
      </c>
      <c r="X65" s="1">
        <v>29</v>
      </c>
      <c r="Y65" s="1">
        <v>41</v>
      </c>
      <c r="Z65" s="1">
        <v>88</v>
      </c>
      <c r="AA65" s="1">
        <v>199</v>
      </c>
      <c r="AB65" s="1">
        <v>230</v>
      </c>
      <c r="AC65" s="1">
        <v>245</v>
      </c>
      <c r="AD65" s="1">
        <v>247</v>
      </c>
      <c r="AE65" s="1">
        <v>135</v>
      </c>
      <c r="AF65" s="1">
        <v>34</v>
      </c>
      <c r="AG65" s="1">
        <v>33</v>
      </c>
      <c r="AH65" s="1">
        <v>27</v>
      </c>
      <c r="AI65" s="1">
        <v>26</v>
      </c>
      <c r="AJ65" s="1">
        <v>28</v>
      </c>
      <c r="AK65" s="1">
        <v>39</v>
      </c>
      <c r="AL65" s="1">
        <v>86</v>
      </c>
      <c r="AM65" s="1">
        <v>188</v>
      </c>
    </row>
    <row r="66" spans="15:39" ht="15" thickTop="1" x14ac:dyDescent="0.3">
      <c r="O66" t="s">
        <v>80</v>
      </c>
      <c r="P66" t="e">
        <v>#N/A</v>
      </c>
      <c r="Q66">
        <f>P65</f>
        <v>244</v>
      </c>
      <c r="R66">
        <f t="shared" ref="R66:AM66" si="26">0.1*Q65+0.9*Q66</f>
        <v>242.4</v>
      </c>
      <c r="S66">
        <f t="shared" si="26"/>
        <v>233.46</v>
      </c>
      <c r="T66">
        <f t="shared" si="26"/>
        <v>224.114</v>
      </c>
      <c r="U66">
        <f t="shared" si="26"/>
        <v>207.20260000000002</v>
      </c>
      <c r="V66">
        <f t="shared" si="26"/>
        <v>189.88234000000003</v>
      </c>
      <c r="W66">
        <f t="shared" si="26"/>
        <v>173.89410600000002</v>
      </c>
      <c r="X66">
        <f t="shared" si="26"/>
        <v>159.30469540000004</v>
      </c>
      <c r="Y66">
        <f t="shared" si="26"/>
        <v>146.27422586000006</v>
      </c>
      <c r="Z66">
        <f t="shared" si="26"/>
        <v>135.74680327400006</v>
      </c>
      <c r="AA66">
        <f t="shared" si="26"/>
        <v>130.97212294660005</v>
      </c>
      <c r="AB66">
        <f t="shared" si="26"/>
        <v>137.77491065194005</v>
      </c>
      <c r="AC66">
        <f t="shared" si="26"/>
        <v>146.99741958674605</v>
      </c>
      <c r="AD66">
        <f t="shared" si="26"/>
        <v>156.79767762807145</v>
      </c>
      <c r="AE66">
        <f t="shared" si="26"/>
        <v>165.81790986526431</v>
      </c>
      <c r="AF66">
        <f t="shared" si="26"/>
        <v>162.7361188787379</v>
      </c>
      <c r="AG66">
        <f t="shared" si="26"/>
        <v>149.86250699086412</v>
      </c>
      <c r="AH66">
        <f t="shared" si="26"/>
        <v>138.17625629177772</v>
      </c>
      <c r="AI66">
        <f t="shared" si="26"/>
        <v>127.05863066259995</v>
      </c>
      <c r="AJ66">
        <f t="shared" si="26"/>
        <v>116.95276759633995</v>
      </c>
      <c r="AK66">
        <f t="shared" si="26"/>
        <v>108.05749083670595</v>
      </c>
      <c r="AL66">
        <f t="shared" si="26"/>
        <v>101.15174175303537</v>
      </c>
      <c r="AM66">
        <f t="shared" si="26"/>
        <v>99.636567577731824</v>
      </c>
    </row>
    <row r="67" spans="15:39" x14ac:dyDescent="0.3">
      <c r="O67" t="s">
        <v>81</v>
      </c>
      <c r="P67" t="e">
        <v>#N/A</v>
      </c>
      <c r="Q67">
        <f>P65</f>
        <v>244</v>
      </c>
      <c r="R67">
        <f t="shared" ref="R67:AM67" si="27">0.2*Q65+0.8*Q67</f>
        <v>240.8</v>
      </c>
      <c r="S67">
        <f>0.2*R65+0.8*R67</f>
        <v>223.24</v>
      </c>
      <c r="T67">
        <f t="shared" si="27"/>
        <v>206.59200000000001</v>
      </c>
      <c r="U67">
        <f t="shared" si="27"/>
        <v>176.27360000000002</v>
      </c>
      <c r="V67">
        <f t="shared" si="27"/>
        <v>147.81888000000004</v>
      </c>
      <c r="W67">
        <f t="shared" si="27"/>
        <v>124.25510400000003</v>
      </c>
      <c r="X67">
        <f t="shared" si="27"/>
        <v>105.00408320000003</v>
      </c>
      <c r="Y67">
        <f t="shared" si="27"/>
        <v>89.803266560000026</v>
      </c>
      <c r="Z67">
        <f t="shared" si="27"/>
        <v>80.042613248000023</v>
      </c>
      <c r="AA67">
        <f t="shared" si="27"/>
        <v>81.634090598400036</v>
      </c>
      <c r="AB67">
        <f t="shared" si="27"/>
        <v>105.10727247872003</v>
      </c>
      <c r="AC67">
        <f t="shared" si="27"/>
        <v>130.08581798297604</v>
      </c>
      <c r="AD67">
        <f t="shared" si="27"/>
        <v>153.06865438638084</v>
      </c>
      <c r="AE67">
        <f t="shared" si="27"/>
        <v>171.85492350910468</v>
      </c>
      <c r="AF67">
        <f t="shared" si="27"/>
        <v>164.48393880728375</v>
      </c>
      <c r="AG67">
        <f t="shared" si="27"/>
        <v>138.38715104582701</v>
      </c>
      <c r="AH67">
        <f t="shared" si="27"/>
        <v>117.30972083666161</v>
      </c>
      <c r="AI67">
        <f t="shared" si="27"/>
        <v>99.247776669329298</v>
      </c>
      <c r="AJ67">
        <f t="shared" si="27"/>
        <v>84.59822133546345</v>
      </c>
      <c r="AK67">
        <f t="shared" si="27"/>
        <v>73.278577068370751</v>
      </c>
      <c r="AL67">
        <f t="shared" si="27"/>
        <v>66.422861654696604</v>
      </c>
      <c r="AM67">
        <f t="shared" si="27"/>
        <v>70.33828932375728</v>
      </c>
    </row>
    <row r="68" spans="15:39" x14ac:dyDescent="0.3">
      <c r="O68" t="s">
        <v>82</v>
      </c>
      <c r="P68" t="e">
        <v>#N/A</v>
      </c>
      <c r="Q68">
        <f>P65</f>
        <v>244</v>
      </c>
      <c r="R68">
        <f t="shared" ref="R68:AM68" si="28">0.3*Q65+0.7*Q68</f>
        <v>239.2</v>
      </c>
      <c r="S68">
        <f t="shared" si="28"/>
        <v>213.33999999999997</v>
      </c>
      <c r="T68">
        <f t="shared" si="28"/>
        <v>191.33799999999997</v>
      </c>
      <c r="U68">
        <f t="shared" si="28"/>
        <v>150.43659999999997</v>
      </c>
      <c r="V68">
        <f t="shared" si="28"/>
        <v>115.50561999999998</v>
      </c>
      <c r="W68">
        <f t="shared" si="28"/>
        <v>89.853933999999981</v>
      </c>
      <c r="X68">
        <f t="shared" si="28"/>
        <v>71.297753799999981</v>
      </c>
      <c r="Y68">
        <f t="shared" si="28"/>
        <v>58.60842765999999</v>
      </c>
      <c r="Z68">
        <f t="shared" si="28"/>
        <v>53.325899361999987</v>
      </c>
      <c r="AA68">
        <f t="shared" si="28"/>
        <v>63.728129553399988</v>
      </c>
      <c r="AB68">
        <f t="shared" si="28"/>
        <v>104.30969068737998</v>
      </c>
      <c r="AC68">
        <f t="shared" si="28"/>
        <v>142.01678348116599</v>
      </c>
      <c r="AD68">
        <f t="shared" si="28"/>
        <v>172.9117484368162</v>
      </c>
      <c r="AE68">
        <f t="shared" si="28"/>
        <v>195.13822390577133</v>
      </c>
      <c r="AF68">
        <f t="shared" si="28"/>
        <v>177.09675673403993</v>
      </c>
      <c r="AG68">
        <f t="shared" si="28"/>
        <v>134.16772971382792</v>
      </c>
      <c r="AH68">
        <f t="shared" si="28"/>
        <v>103.81741079967955</v>
      </c>
      <c r="AI68">
        <f t="shared" si="28"/>
        <v>80.772187559775674</v>
      </c>
      <c r="AJ68">
        <f t="shared" si="28"/>
        <v>64.340531291842964</v>
      </c>
      <c r="AK68">
        <f t="shared" si="28"/>
        <v>53.438371904290072</v>
      </c>
      <c r="AL68">
        <f t="shared" si="28"/>
        <v>49.106860333003041</v>
      </c>
      <c r="AM68">
        <f t="shared" si="28"/>
        <v>60.174802233102128</v>
      </c>
    </row>
    <row r="69" spans="15:39" x14ac:dyDescent="0.3">
      <c r="O69" t="s">
        <v>83</v>
      </c>
      <c r="P69" t="e">
        <v>#N/A</v>
      </c>
      <c r="Q69">
        <f>P65</f>
        <v>244</v>
      </c>
      <c r="R69">
        <f t="shared" ref="R69:AM69" si="29">0.5*Q65+0.5*Q69</f>
        <v>236</v>
      </c>
      <c r="S69">
        <f t="shared" si="29"/>
        <v>194.5</v>
      </c>
      <c r="T69">
        <f t="shared" si="29"/>
        <v>167.25</v>
      </c>
      <c r="U69">
        <f t="shared" si="29"/>
        <v>111.125</v>
      </c>
      <c r="V69">
        <f t="shared" si="29"/>
        <v>72.5625</v>
      </c>
      <c r="W69">
        <f t="shared" si="29"/>
        <v>51.28125</v>
      </c>
      <c r="X69">
        <f t="shared" si="29"/>
        <v>39.640625</v>
      </c>
      <c r="Y69">
        <f t="shared" si="29"/>
        <v>34.3203125</v>
      </c>
      <c r="Z69">
        <f t="shared" si="29"/>
        <v>37.66015625</v>
      </c>
      <c r="AA69">
        <f t="shared" si="29"/>
        <v>62.830078125</v>
      </c>
      <c r="AB69">
        <f t="shared" si="29"/>
        <v>130.9150390625</v>
      </c>
      <c r="AC69">
        <f t="shared" si="29"/>
        <v>180.45751953125</v>
      </c>
      <c r="AD69">
        <f t="shared" si="29"/>
        <v>212.728759765625</v>
      </c>
      <c r="AE69">
        <f t="shared" si="29"/>
        <v>229.8643798828125</v>
      </c>
      <c r="AF69">
        <f t="shared" si="29"/>
        <v>182.43218994140625</v>
      </c>
      <c r="AG69">
        <f t="shared" si="29"/>
        <v>108.21609497070313</v>
      </c>
      <c r="AH69">
        <f t="shared" si="29"/>
        <v>70.608047485351563</v>
      </c>
      <c r="AI69">
        <f t="shared" si="29"/>
        <v>48.804023742675781</v>
      </c>
      <c r="AJ69">
        <f t="shared" si="29"/>
        <v>37.402011871337891</v>
      </c>
      <c r="AK69">
        <f t="shared" si="29"/>
        <v>32.701005935668945</v>
      </c>
      <c r="AL69">
        <f t="shared" si="29"/>
        <v>35.850502967834473</v>
      </c>
      <c r="AM69">
        <f t="shared" si="29"/>
        <v>60.925251483917236</v>
      </c>
    </row>
    <row r="70" spans="15:39" x14ac:dyDescent="0.3">
      <c r="O70" t="s">
        <v>89</v>
      </c>
      <c r="Q70">
        <f>ABS((Q65-Q66)/Q65)</f>
        <v>7.0175438596491224E-2</v>
      </c>
      <c r="R70">
        <f t="shared" ref="R70:AM70" si="30">ABS((R65-R66)/R65)</f>
        <v>0.58431372549019611</v>
      </c>
      <c r="S70">
        <f t="shared" si="30"/>
        <v>0.66757142857142859</v>
      </c>
      <c r="T70">
        <f t="shared" si="30"/>
        <v>3.0748000000000002</v>
      </c>
      <c r="U70">
        <f>ABS((U65-U66)/U65)</f>
        <v>5.0941941176470591</v>
      </c>
      <c r="V70">
        <f t="shared" si="30"/>
        <v>5.3294113333333346</v>
      </c>
      <c r="W70">
        <f t="shared" si="30"/>
        <v>5.2105037857142866</v>
      </c>
      <c r="X70">
        <f t="shared" si="30"/>
        <v>4.4932653586206914</v>
      </c>
      <c r="Y70">
        <f t="shared" si="30"/>
        <v>2.5676640453658552</v>
      </c>
      <c r="Z70">
        <f t="shared" si="30"/>
        <v>0.54257730993181885</v>
      </c>
      <c r="AA70">
        <f t="shared" si="30"/>
        <v>0.34184862840904495</v>
      </c>
      <c r="AB70">
        <f t="shared" si="30"/>
        <v>0.40097864933939109</v>
      </c>
      <c r="AC70">
        <f t="shared" si="30"/>
        <v>0.40001053229899575</v>
      </c>
      <c r="AD70">
        <f t="shared" si="30"/>
        <v>0.36519158855031802</v>
      </c>
      <c r="AE70">
        <f t="shared" si="30"/>
        <v>0.22828081381677268</v>
      </c>
      <c r="AF70">
        <f t="shared" si="30"/>
        <v>3.7863564376099381</v>
      </c>
      <c r="AG70">
        <f t="shared" si="30"/>
        <v>3.5412880906322459</v>
      </c>
      <c r="AH70">
        <f t="shared" si="30"/>
        <v>4.1176391219176933</v>
      </c>
      <c r="AI70">
        <f t="shared" si="30"/>
        <v>3.886870410099998</v>
      </c>
      <c r="AJ70">
        <f t="shared" si="30"/>
        <v>3.1768845570121411</v>
      </c>
      <c r="AK70">
        <f t="shared" si="30"/>
        <v>1.7707048932488705</v>
      </c>
      <c r="AL70">
        <f t="shared" si="30"/>
        <v>0.17618304363994614</v>
      </c>
      <c r="AM70">
        <f t="shared" si="30"/>
        <v>0.47001825756525623</v>
      </c>
    </row>
    <row r="71" spans="15:39" ht="18" x14ac:dyDescent="0.35">
      <c r="O71" t="s">
        <v>93</v>
      </c>
      <c r="Q71">
        <f>SUM(Q70:AM70)</f>
        <v>50.296731567411769</v>
      </c>
      <c r="S71" t="s">
        <v>94</v>
      </c>
      <c r="T71">
        <f>COUNT(Q70:AM70)</f>
        <v>23</v>
      </c>
      <c r="V71" s="21" t="s">
        <v>95</v>
      </c>
      <c r="W71" s="21">
        <f>Q71/T71</f>
        <v>2.1868144159744247</v>
      </c>
    </row>
    <row r="74" spans="15:39" x14ac:dyDescent="0.3">
      <c r="O74" s="1"/>
      <c r="P74" s="1"/>
    </row>
    <row r="75" spans="15:39" x14ac:dyDescent="0.3">
      <c r="O75" s="1"/>
      <c r="P7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1ACF-0A6D-4360-8927-040B166E9168}">
  <dimension ref="A1:BF75"/>
  <sheetViews>
    <sheetView tabSelected="1" topLeftCell="A6" zoomScaleNormal="100" workbookViewId="0">
      <selection activeCell="L17" sqref="L17"/>
    </sheetView>
  </sheetViews>
  <sheetFormatPr defaultRowHeight="14.4" x14ac:dyDescent="0.3"/>
  <cols>
    <col min="1" max="1" width="17.77734375" customWidth="1"/>
    <col min="6" max="6" width="18.6640625" customWidth="1"/>
    <col min="7" max="7" width="21.44140625" customWidth="1"/>
    <col min="8" max="8" width="19" customWidth="1"/>
    <col min="11" max="13" width="16.6640625" customWidth="1"/>
    <col min="14" max="14" width="15.88671875" customWidth="1"/>
    <col min="19" max="19" width="10.6640625" customWidth="1"/>
    <col min="20" max="20" width="13.44140625" customWidth="1"/>
    <col min="21" max="21" width="12.88671875" customWidth="1"/>
    <col min="23" max="23" width="15" customWidth="1"/>
    <col min="27" max="27" width="15.44140625" customWidth="1"/>
    <col min="28" max="28" width="11.109375" customWidth="1"/>
    <col min="31" max="31" width="13.6640625" customWidth="1"/>
    <col min="35" max="35" width="18.88671875" customWidth="1"/>
    <col min="41" max="41" width="12" customWidth="1"/>
  </cols>
  <sheetData>
    <row r="1" spans="1:58" ht="15" thickBot="1" x14ac:dyDescent="0.35">
      <c r="A1" s="2" t="s">
        <v>0</v>
      </c>
      <c r="B1" s="2" t="s">
        <v>2</v>
      </c>
      <c r="O1" s="2" t="s">
        <v>0</v>
      </c>
      <c r="P1" s="2" t="s">
        <v>2</v>
      </c>
      <c r="Q1" t="s">
        <v>19</v>
      </c>
      <c r="R1" t="s">
        <v>15</v>
      </c>
      <c r="S1" t="s">
        <v>16</v>
      </c>
      <c r="T1" t="s">
        <v>20</v>
      </c>
      <c r="U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E1" t="s">
        <v>32</v>
      </c>
      <c r="AI1" t="s">
        <v>36</v>
      </c>
      <c r="AM1" t="s">
        <v>63</v>
      </c>
      <c r="AQ1" t="s">
        <v>56</v>
      </c>
      <c r="AW1" t="s">
        <v>70</v>
      </c>
      <c r="BE1" t="s">
        <v>75</v>
      </c>
    </row>
    <row r="2" spans="1:58" ht="15.6" thickTop="1" thickBot="1" x14ac:dyDescent="0.35">
      <c r="A2" s="1" t="s">
        <v>3</v>
      </c>
      <c r="B2" s="1">
        <v>967</v>
      </c>
      <c r="H2" s="6"/>
      <c r="I2" s="6"/>
      <c r="J2" s="6"/>
      <c r="K2" s="6"/>
      <c r="L2" s="6"/>
      <c r="M2" s="6"/>
      <c r="N2" s="6"/>
      <c r="O2" s="1" t="s">
        <v>3</v>
      </c>
      <c r="P2" s="1">
        <v>967</v>
      </c>
      <c r="Q2">
        <f>(P2 - AVERAGE($P$2:$P$25))*(P2 - AVERAGE($P$2:$P$25))</f>
        <v>473.0625</v>
      </c>
      <c r="W2">
        <f>DEVSQ($P$2:$P$25)</f>
        <v>1169090.5</v>
      </c>
      <c r="X2">
        <f>SUM(Q2:Q25)</f>
        <v>1169090.5</v>
      </c>
      <c r="Y2">
        <f>X2/W2</f>
        <v>1</v>
      </c>
      <c r="AZ2" t="s">
        <v>71</v>
      </c>
      <c r="BA2">
        <v>0.05</v>
      </c>
    </row>
    <row r="3" spans="1:58" ht="15" thickTop="1" x14ac:dyDescent="0.3">
      <c r="A3" s="1" t="s">
        <v>4</v>
      </c>
      <c r="B3" s="1">
        <v>795</v>
      </c>
      <c r="C3" s="1"/>
      <c r="H3" s="1"/>
      <c r="I3" s="1"/>
      <c r="J3" s="1"/>
      <c r="K3" s="1"/>
      <c r="L3" s="1"/>
      <c r="M3" s="1"/>
      <c r="N3" s="1"/>
      <c r="O3" s="1" t="s">
        <v>4</v>
      </c>
      <c r="P3" s="1">
        <v>795</v>
      </c>
      <c r="Q3">
        <f t="shared" ref="Q3:Q25" si="0">(P3 - AVERAGE($P$2:$P$25))*(P3 - AVERAGE($P$2:$P$25))</f>
        <v>22575.0625</v>
      </c>
      <c r="R3">
        <f>(P3 - AVERAGE($P$2:$P$25))*(P2 - AVERAGE($P$2:$P$25))</f>
        <v>-3267.9375</v>
      </c>
      <c r="W3">
        <f>DEVSQ($P$2:$P$25)</f>
        <v>1169090.5</v>
      </c>
      <c r="X3">
        <f>SUM(R3:R25)</f>
        <v>632966.4375</v>
      </c>
      <c r="Y3">
        <f t="shared" ref="Y3:Y5" si="1">X3/W3</f>
        <v>0.54141782650701553</v>
      </c>
      <c r="Z3" s="4">
        <f>Y3</f>
        <v>0.54141782650701553</v>
      </c>
      <c r="AA3">
        <f t="array" ref="AA3:AA4">MMULT(MMULT(MINVERSE(MMULT(W9:X10,W9:X10)),W9:X10),Y3:Y4)</f>
        <v>0.74654765412092849</v>
      </c>
      <c r="AB3">
        <f t="array" ref="AB3:AB5">MMULT(MMULT(MINVERSE(MMULT(W9:Y11,W9:Y11)),W9:Y11),Y3:Y5)</f>
        <v>0.58511113904096201</v>
      </c>
      <c r="AC3">
        <f t="array" ref="AC3:AC6">MMULT(MMULT(MINVERSE(MMULT(W9:Z12,W9:Z12)),W9:Z12),Y3:Y6)</f>
        <v>0.68288610679891237</v>
      </c>
      <c r="AE3" s="7" t="s">
        <v>33</v>
      </c>
      <c r="AF3" s="7" t="s">
        <v>34</v>
      </c>
      <c r="AG3" s="7" t="s">
        <v>35</v>
      </c>
      <c r="AI3" s="7" t="s">
        <v>37</v>
      </c>
      <c r="AJ3" s="7" t="s">
        <v>38</v>
      </c>
      <c r="AK3" s="7" t="s">
        <v>39</v>
      </c>
      <c r="AM3" s="7" t="s">
        <v>64</v>
      </c>
      <c r="AN3" s="7" t="s">
        <v>65</v>
      </c>
      <c r="AO3" s="7" t="s">
        <v>66</v>
      </c>
      <c r="AQ3" s="7" t="s">
        <v>57</v>
      </c>
      <c r="AR3" s="7" t="s">
        <v>58</v>
      </c>
      <c r="AS3" s="7" t="s">
        <v>59</v>
      </c>
      <c r="AT3" s="7" t="s">
        <v>60</v>
      </c>
      <c r="AU3" s="7" t="s">
        <v>61</v>
      </c>
      <c r="AW3" s="7" t="s">
        <v>33</v>
      </c>
      <c r="AX3" s="7" t="s">
        <v>34</v>
      </c>
      <c r="AY3" s="7" t="s">
        <v>35</v>
      </c>
      <c r="AZ3" s="7" t="s">
        <v>72</v>
      </c>
      <c r="BA3" s="7" t="s">
        <v>59</v>
      </c>
      <c r="BB3" s="7" t="s">
        <v>73</v>
      </c>
      <c r="BC3" s="7" t="s">
        <v>74</v>
      </c>
      <c r="BE3" s="7" t="s">
        <v>33</v>
      </c>
      <c r="BF3" s="7" t="s">
        <v>76</v>
      </c>
    </row>
    <row r="4" spans="1:58" x14ac:dyDescent="0.3">
      <c r="A4" s="1" t="s">
        <v>5</v>
      </c>
      <c r="B4" s="1">
        <v>820</v>
      </c>
      <c r="C4" s="1"/>
      <c r="D4" s="1"/>
      <c r="H4" s="1"/>
      <c r="I4" s="1"/>
      <c r="J4" s="1"/>
      <c r="K4" s="1"/>
      <c r="L4" s="1"/>
      <c r="M4" s="1"/>
      <c r="N4" s="1"/>
      <c r="O4" s="1" t="s">
        <v>5</v>
      </c>
      <c r="P4" s="1">
        <v>820</v>
      </c>
      <c r="Q4">
        <f t="shared" si="0"/>
        <v>15687.5625</v>
      </c>
      <c r="R4">
        <f t="shared" ref="R4:R25" si="2">(P4 - AVERAGE($P$2:$P$25))*(P3 - AVERAGE($P$2:$P$25))</f>
        <v>18818.8125</v>
      </c>
      <c r="S4">
        <f>(P4 - AVERAGE($P$2:$P$25))*(P2 - AVERAGE($P$2:$P$25))</f>
        <v>-2724.1875</v>
      </c>
      <c r="W4">
        <f t="shared" ref="W4:W6" si="3">DEVSQ($P$2:$P$25)</f>
        <v>1169090.5</v>
      </c>
      <c r="X4">
        <f>SUM(S4:S25)</f>
        <v>29600.125</v>
      </c>
      <c r="Y4">
        <f t="shared" si="1"/>
        <v>2.5318933820777774E-2</v>
      </c>
      <c r="AA4" s="4">
        <v>-0.37887527445728658</v>
      </c>
      <c r="AB4">
        <v>-6.0775731553506795E-2</v>
      </c>
      <c r="AC4">
        <v>-4.682964466700399E-2</v>
      </c>
      <c r="AE4">
        <v>1</v>
      </c>
      <c r="AF4" t="e">
        <f ca="1">B2-AK$5</f>
        <v>#NAME?</v>
      </c>
      <c r="AG4">
        <v>0</v>
      </c>
      <c r="AI4" s="8">
        <v>1</v>
      </c>
      <c r="AJ4" t="e">
        <f ca="1">AR5</f>
        <v>#NAME?</v>
      </c>
      <c r="AK4" t="e">
        <f ca="1">AR6</f>
        <v>#NAME?</v>
      </c>
      <c r="AM4" s="15" t="e">
        <f t="array" aca="1" ref="AM4:AO4" ca="1">[1]!ARRoots(AJ4)</f>
        <v>#NAME?</v>
      </c>
      <c r="AN4" s="15" t="e">
        <f ca="1"/>
        <v>#NAME?</v>
      </c>
      <c r="AO4" s="15" t="e">
        <f ca="1"/>
        <v>#NAME?</v>
      </c>
      <c r="AQ4" t="s">
        <v>40</v>
      </c>
      <c r="AR4" t="e">
        <f t="array" aca="1" ref="AR4:AS6" ca="1">[1]!ARIMA_Coeff(B2:B20,1,1,0,TRUE)</f>
        <v>#NAME?</v>
      </c>
      <c r="AS4" t="e">
        <f ca="1"/>
        <v>#NAME?</v>
      </c>
      <c r="AT4" t="e">
        <f ca="1">AR4/AS4</f>
        <v>#NAME?</v>
      </c>
      <c r="AU4" t="e">
        <f ca="1">_xlfn.T.DIST.2T(ABS(AT4),AK$17-AK$9-AK$10-1)</f>
        <v>#NAME?</v>
      </c>
      <c r="AW4">
        <f>AE4</f>
        <v>1</v>
      </c>
      <c r="AX4" t="e">
        <f ca="1">AF4</f>
        <v>#NAME?</v>
      </c>
      <c r="AY4">
        <f>AG4</f>
        <v>0</v>
      </c>
      <c r="AZ4" t="e">
        <f ca="1">AX4-AY4</f>
        <v>#NAME?</v>
      </c>
      <c r="BA4" t="e">
        <f ca="1">AK$14</f>
        <v>#NAME?</v>
      </c>
      <c r="BB4" t="e">
        <f ca="1">AZ4-_xlfn.NORM.S.INV(1-BA$2/2)*BA4</f>
        <v>#NAME?</v>
      </c>
      <c r="BC4" t="e">
        <f ca="1">AZ4+_xlfn.NORM.S.INV(1-BA$2/2)*BA4</f>
        <v>#NAME?</v>
      </c>
      <c r="BE4">
        <v>1</v>
      </c>
      <c r="BF4">
        <f>B2</f>
        <v>967</v>
      </c>
    </row>
    <row r="5" spans="1:58" x14ac:dyDescent="0.3">
      <c r="A5" s="1" t="s">
        <v>6</v>
      </c>
      <c r="B5" s="1">
        <v>672</v>
      </c>
      <c r="C5" s="1"/>
      <c r="D5" s="1"/>
      <c r="E5" s="1"/>
      <c r="H5" s="1"/>
      <c r="I5" s="1"/>
      <c r="J5" s="1"/>
      <c r="K5" s="1"/>
      <c r="L5" s="1"/>
      <c r="M5" s="1"/>
      <c r="N5" s="1"/>
      <c r="O5" s="1" t="s">
        <v>6</v>
      </c>
      <c r="P5" s="1">
        <v>672</v>
      </c>
      <c r="Q5">
        <f t="shared" si="0"/>
        <v>74665.5625</v>
      </c>
      <c r="R5">
        <f t="shared" si="2"/>
        <v>34224.5625</v>
      </c>
      <c r="S5">
        <f t="shared" ref="S5:S25" si="4">(P5 - AVERAGE($P$2:$P$25))*(P3 - AVERAGE($P$2:$P$25))</f>
        <v>41055.8125</v>
      </c>
      <c r="T5">
        <f>(P5 - AVERAGE($P$2:$P$25))*(P2 - AVERAGE($P$2:$P$25))</f>
        <v>-5943.1875</v>
      </c>
      <c r="W5">
        <f t="shared" si="3"/>
        <v>1169090.5</v>
      </c>
      <c r="X5">
        <f>SUM(T5:T25)</f>
        <v>-519292.1875</v>
      </c>
      <c r="Y5">
        <f t="shared" si="1"/>
        <v>-0.44418476371162025</v>
      </c>
      <c r="AB5" s="4">
        <v>-0.42609408943672494</v>
      </c>
      <c r="AC5">
        <v>-0.5603583849827527</v>
      </c>
      <c r="AE5">
        <f>AE4+1</f>
        <v>2</v>
      </c>
      <c r="AF5" t="e">
        <f t="shared" ref="AF5:AF22" ca="1" si="5">B3-AK$5</f>
        <v>#NAME?</v>
      </c>
      <c r="AG5" t="e">
        <f ca="1">AF5-SUMPRODUCT(AF4,AJ$4)-SUMPRODUCT(AG4,AK$4)</f>
        <v>#NAME?</v>
      </c>
      <c r="AI5" s="9" t="s">
        <v>40</v>
      </c>
      <c r="AJ5" s="10" t="e">
        <f ca="1">AR4</f>
        <v>#NAME?</v>
      </c>
      <c r="AK5" s="10" t="e">
        <f ca="1">AJ5/(1-SUM(AJ4))</f>
        <v>#NAME?</v>
      </c>
      <c r="AQ5" t="s">
        <v>62</v>
      </c>
      <c r="AR5" t="e">
        <f ca="1"/>
        <v>#NAME?</v>
      </c>
      <c r="AS5" t="e">
        <f ca="1"/>
        <v>#NAME?</v>
      </c>
      <c r="AT5" t="e">
        <f t="shared" ref="AT5:AT6" ca="1" si="6">AR5/AS5</f>
        <v>#NAME?</v>
      </c>
      <c r="AU5" t="e">
        <f t="shared" ref="AU5:AU6" ca="1" si="7">_xlfn.T.DIST.2T(ABS(AT5),AK$17-AK$9-AK$10-1)</f>
        <v>#NAME?</v>
      </c>
      <c r="AW5">
        <f t="shared" ref="AW5:AW22" si="8">AE5</f>
        <v>2</v>
      </c>
      <c r="AX5" t="e">
        <f t="shared" ref="AX5:AX22" ca="1" si="9">AF5</f>
        <v>#NAME?</v>
      </c>
      <c r="AY5" t="e">
        <f ca="1">AG5</f>
        <v>#NAME?</v>
      </c>
      <c r="AZ5" t="e">
        <f t="shared" ref="AZ5:AZ22" ca="1" si="10">AX5-AY5</f>
        <v>#NAME?</v>
      </c>
      <c r="BA5" t="e">
        <f t="shared" ref="BA5:BA22" ca="1" si="11">AK$14</f>
        <v>#NAME?</v>
      </c>
      <c r="BB5" t="e">
        <f t="shared" ref="BB5:BB22" ca="1" si="12">AZ5-_xlfn.NORM.S.INV(1-BA$2/2)*BA5</f>
        <v>#NAME?</v>
      </c>
      <c r="BC5" t="e">
        <f t="shared" ref="BC5:BC22" ca="1" si="13">AZ5+_xlfn.NORM.S.INV(1-BA$2/2)*BA5</f>
        <v>#NAME?</v>
      </c>
      <c r="BE5">
        <f>BE4+1</f>
        <v>2</v>
      </c>
      <c r="BF5">
        <f>B3</f>
        <v>795</v>
      </c>
    </row>
    <row r="6" spans="1:58" x14ac:dyDescent="0.3">
      <c r="A6" s="1" t="s">
        <v>7</v>
      </c>
      <c r="B6" s="1">
        <v>722</v>
      </c>
      <c r="C6" s="1"/>
      <c r="D6" s="1"/>
      <c r="E6" s="1"/>
      <c r="H6" s="1"/>
      <c r="I6" s="1"/>
      <c r="J6" s="1"/>
      <c r="K6" s="1"/>
      <c r="L6" s="1"/>
      <c r="M6" s="1"/>
      <c r="N6" s="1"/>
      <c r="O6" s="1" t="s">
        <v>7</v>
      </c>
      <c r="P6" s="1">
        <v>722</v>
      </c>
      <c r="Q6">
        <f t="shared" si="0"/>
        <v>49840.5625</v>
      </c>
      <c r="R6">
        <f t="shared" si="2"/>
        <v>61003.0625</v>
      </c>
      <c r="S6">
        <f t="shared" si="4"/>
        <v>27962.0625</v>
      </c>
      <c r="T6">
        <f t="shared" ref="T6:T25" si="14">(P6 - AVERAGE($P$2:$P$25))*(P3 - AVERAGE($P$2:$P$25))</f>
        <v>33543.3125</v>
      </c>
      <c r="U6">
        <f>(P6- AVERAGE($P$2:$P$25))*(P2 - AVERAGE($P$2:$P$25))</f>
        <v>-4855.6875</v>
      </c>
      <c r="W6">
        <f t="shared" si="3"/>
        <v>1169090.5</v>
      </c>
      <c r="X6">
        <f>SUM(U6:U25)</f>
        <v>-442422.75</v>
      </c>
      <c r="Y6">
        <f>X6/W6</f>
        <v>-0.37843327783435071</v>
      </c>
      <c r="AC6" s="4">
        <v>0.22946802169258873</v>
      </c>
      <c r="AE6">
        <f t="shared" ref="AE6:AE22" si="15">AE5+1</f>
        <v>3</v>
      </c>
      <c r="AF6" t="e">
        <f t="shared" ca="1" si="5"/>
        <v>#NAME?</v>
      </c>
      <c r="AG6" t="e">
        <f t="shared" ref="AG6:AG22" ca="1" si="16">AF6-SUMPRODUCT(AF5,AJ$4)-SUMPRODUCT(AG5,AK$4)</f>
        <v>#NAME?</v>
      </c>
      <c r="AM6" t="s">
        <v>67</v>
      </c>
      <c r="AQ6" s="10" t="s">
        <v>78</v>
      </c>
      <c r="AR6" s="10" t="e">
        <f ca="1"/>
        <v>#NAME?</v>
      </c>
      <c r="AS6" s="10" t="e">
        <f ca="1"/>
        <v>#NAME?</v>
      </c>
      <c r="AT6" s="10" t="e">
        <f t="shared" ca="1" si="6"/>
        <v>#NAME?</v>
      </c>
      <c r="AU6" s="10" t="e">
        <f t="shared" ca="1" si="7"/>
        <v>#NAME?</v>
      </c>
      <c r="AW6">
        <f t="shared" si="8"/>
        <v>3</v>
      </c>
      <c r="AX6" t="e">
        <f t="shared" ca="1" si="9"/>
        <v>#NAME?</v>
      </c>
      <c r="AY6" t="e">
        <f t="shared" ref="AY6:AY22" ca="1" si="17">AG6</f>
        <v>#NAME?</v>
      </c>
      <c r="AZ6" t="e">
        <f t="shared" ca="1" si="10"/>
        <v>#NAME?</v>
      </c>
      <c r="BA6" t="e">
        <f t="shared" ca="1" si="11"/>
        <v>#NAME?</v>
      </c>
      <c r="BB6" t="e">
        <f t="shared" ca="1" si="12"/>
        <v>#NAME?</v>
      </c>
      <c r="BC6" t="e">
        <f t="shared" ca="1" si="13"/>
        <v>#NAME?</v>
      </c>
      <c r="BE6">
        <f t="shared" ref="BE6:BE27" si="18">BE5+1</f>
        <v>3</v>
      </c>
      <c r="BF6">
        <f t="shared" ref="BF6:BF22" si="19">B4</f>
        <v>820</v>
      </c>
    </row>
    <row r="7" spans="1:58" ht="15" thickBot="1" x14ac:dyDescent="0.35">
      <c r="A7" s="1" t="s">
        <v>8</v>
      </c>
      <c r="B7" s="1">
        <v>820</v>
      </c>
      <c r="C7" s="1"/>
      <c r="D7" s="1"/>
      <c r="E7" s="1"/>
      <c r="H7" s="1"/>
      <c r="I7" s="1"/>
      <c r="J7" s="1"/>
      <c r="K7" s="1"/>
      <c r="L7" s="1"/>
      <c r="M7" s="1"/>
      <c r="N7" s="1"/>
      <c r="O7" s="1" t="s">
        <v>8</v>
      </c>
      <c r="P7" s="1">
        <v>820</v>
      </c>
      <c r="Q7">
        <f t="shared" si="0"/>
        <v>15687.5625</v>
      </c>
      <c r="R7">
        <f t="shared" si="2"/>
        <v>27962.0625</v>
      </c>
      <c r="S7">
        <f t="shared" si="4"/>
        <v>34224.5625</v>
      </c>
      <c r="T7">
        <f t="shared" si="14"/>
        <v>15687.5625</v>
      </c>
      <c r="U7">
        <f t="shared" ref="U7:U25" si="20">(P7- AVERAGE($P$2:$P$25))*(P3 - AVERAGE($P$2:$P$25))</f>
        <v>18818.8125</v>
      </c>
      <c r="AE7">
        <f t="shared" si="15"/>
        <v>4</v>
      </c>
      <c r="AF7" t="e">
        <f t="shared" ca="1" si="5"/>
        <v>#NAME?</v>
      </c>
      <c r="AG7" t="e">
        <f t="shared" ca="1" si="16"/>
        <v>#NAME?</v>
      </c>
      <c r="AJ7" t="s">
        <v>41</v>
      </c>
      <c r="AK7" s="11" t="e">
        <f ca="1">SUMSQ(AG5:AG22)</f>
        <v>#NAME?</v>
      </c>
      <c r="AW7">
        <f t="shared" si="8"/>
        <v>4</v>
      </c>
      <c r="AX7" t="e">
        <f t="shared" ca="1" si="9"/>
        <v>#NAME?</v>
      </c>
      <c r="AY7" t="e">
        <f t="shared" ca="1" si="17"/>
        <v>#NAME?</v>
      </c>
      <c r="AZ7" t="e">
        <f t="shared" ca="1" si="10"/>
        <v>#NAME?</v>
      </c>
      <c r="BA7" t="e">
        <f t="shared" ca="1" si="11"/>
        <v>#NAME?</v>
      </c>
      <c r="BB7" t="e">
        <f t="shared" ca="1" si="12"/>
        <v>#NAME?</v>
      </c>
      <c r="BC7" t="e">
        <f t="shared" ca="1" si="13"/>
        <v>#NAME?</v>
      </c>
      <c r="BE7">
        <f t="shared" si="18"/>
        <v>4</v>
      </c>
      <c r="BF7">
        <f t="shared" si="19"/>
        <v>672</v>
      </c>
    </row>
    <row r="8" spans="1:58" ht="15" thickTop="1" x14ac:dyDescent="0.3">
      <c r="A8" s="1" t="s">
        <v>9</v>
      </c>
      <c r="B8" s="1">
        <v>1326</v>
      </c>
      <c r="C8" s="1"/>
      <c r="D8" s="1"/>
      <c r="E8" s="1"/>
      <c r="H8" s="1"/>
      <c r="I8" s="1"/>
      <c r="J8" s="1"/>
      <c r="K8" s="1"/>
      <c r="L8" s="1"/>
      <c r="M8" s="1"/>
      <c r="N8" s="1"/>
      <c r="O8" s="1" t="s">
        <v>9</v>
      </c>
      <c r="P8" s="1">
        <v>1326</v>
      </c>
      <c r="Q8">
        <f t="shared" si="0"/>
        <v>144970.5625</v>
      </c>
      <c r="R8">
        <f t="shared" si="2"/>
        <v>-47688.9375</v>
      </c>
      <c r="S8">
        <f t="shared" si="4"/>
        <v>-85002.4375</v>
      </c>
      <c r="T8">
        <f t="shared" si="14"/>
        <v>-104039.9375</v>
      </c>
      <c r="U8">
        <f t="shared" si="20"/>
        <v>-47688.9375</v>
      </c>
      <c r="AE8">
        <f t="shared" si="15"/>
        <v>5</v>
      </c>
      <c r="AF8" t="e">
        <f t="shared" ca="1" si="5"/>
        <v>#NAME?</v>
      </c>
      <c r="AG8" t="e">
        <f t="shared" ca="1" si="16"/>
        <v>#NAME?</v>
      </c>
      <c r="AM8" s="7" t="s">
        <v>64</v>
      </c>
      <c r="AN8" s="7" t="s">
        <v>65</v>
      </c>
      <c r="AO8" s="7" t="s">
        <v>66</v>
      </c>
      <c r="AW8">
        <f t="shared" si="8"/>
        <v>5</v>
      </c>
      <c r="AX8" t="e">
        <f t="shared" ca="1" si="9"/>
        <v>#NAME?</v>
      </c>
      <c r="AY8" t="e">
        <f t="shared" ca="1" si="17"/>
        <v>#NAME?</v>
      </c>
      <c r="AZ8" t="e">
        <f t="shared" ca="1" si="10"/>
        <v>#NAME?</v>
      </c>
      <c r="BA8" t="e">
        <f t="shared" ca="1" si="11"/>
        <v>#NAME?</v>
      </c>
      <c r="BB8" t="e">
        <f t="shared" ca="1" si="12"/>
        <v>#NAME?</v>
      </c>
      <c r="BC8" t="e">
        <f t="shared" ca="1" si="13"/>
        <v>#NAME?</v>
      </c>
      <c r="BE8">
        <f t="shared" si="18"/>
        <v>5</v>
      </c>
      <c r="BF8">
        <f t="shared" si="19"/>
        <v>722</v>
      </c>
    </row>
    <row r="9" spans="1:58" x14ac:dyDescent="0.3">
      <c r="A9" s="1" t="s">
        <v>10</v>
      </c>
      <c r="B9" s="1">
        <v>1262</v>
      </c>
      <c r="C9" s="1"/>
      <c r="D9" s="1"/>
      <c r="E9" s="1"/>
      <c r="H9" s="1"/>
      <c r="I9" s="1"/>
      <c r="J9" s="1"/>
      <c r="K9" s="1"/>
      <c r="L9" s="1"/>
      <c r="M9" s="1"/>
      <c r="N9" s="1"/>
      <c r="O9" s="1" t="s">
        <v>10</v>
      </c>
      <c r="P9" s="1">
        <v>1262</v>
      </c>
      <c r="Q9">
        <f t="shared" si="0"/>
        <v>100330.5625</v>
      </c>
      <c r="R9">
        <f t="shared" si="2"/>
        <v>120602.5625</v>
      </c>
      <c r="S9">
        <f t="shared" si="4"/>
        <v>-39672.9375</v>
      </c>
      <c r="T9">
        <f t="shared" si="14"/>
        <v>-70714.4375</v>
      </c>
      <c r="U9">
        <f t="shared" si="20"/>
        <v>-86551.9375</v>
      </c>
      <c r="W9" s="4">
        <f>Y2</f>
        <v>1</v>
      </c>
      <c r="X9" s="4">
        <f>W10</f>
        <v>0.54141782650701553</v>
      </c>
      <c r="Y9" s="4">
        <f>W11</f>
        <v>2.5318933820777774E-2</v>
      </c>
      <c r="Z9" s="4">
        <f>W12</f>
        <v>-0.44418476371162025</v>
      </c>
      <c r="AE9">
        <f t="shared" si="15"/>
        <v>6</v>
      </c>
      <c r="AF9" t="e">
        <f t="shared" ca="1" si="5"/>
        <v>#NAME?</v>
      </c>
      <c r="AG9" t="e">
        <f t="shared" ca="1" si="16"/>
        <v>#NAME?</v>
      </c>
      <c r="AJ9" t="s">
        <v>42</v>
      </c>
      <c r="AK9" s="12">
        <v>1</v>
      </c>
      <c r="AM9" s="15" t="e">
        <f t="array" aca="1" ref="AM9:AO9" ca="1">[1]!MARoots(AK4)</f>
        <v>#NAME?</v>
      </c>
      <c r="AN9" s="15" t="e">
        <f ca="1"/>
        <v>#NAME?</v>
      </c>
      <c r="AO9" s="15" t="e">
        <f ca="1"/>
        <v>#NAME?</v>
      </c>
      <c r="AW9">
        <f t="shared" si="8"/>
        <v>6</v>
      </c>
      <c r="AX9" t="e">
        <f t="shared" ca="1" si="9"/>
        <v>#NAME?</v>
      </c>
      <c r="AY9" t="e">
        <f t="shared" ca="1" si="17"/>
        <v>#NAME?</v>
      </c>
      <c r="AZ9" t="e">
        <f t="shared" ca="1" si="10"/>
        <v>#NAME?</v>
      </c>
      <c r="BA9" t="e">
        <f t="shared" ca="1" si="11"/>
        <v>#NAME?</v>
      </c>
      <c r="BB9" t="e">
        <f t="shared" ca="1" si="12"/>
        <v>#NAME?</v>
      </c>
      <c r="BC9" t="e">
        <f t="shared" ca="1" si="13"/>
        <v>#NAME?</v>
      </c>
      <c r="BE9">
        <f t="shared" si="18"/>
        <v>6</v>
      </c>
      <c r="BF9">
        <f t="shared" si="19"/>
        <v>820</v>
      </c>
    </row>
    <row r="10" spans="1:58" x14ac:dyDescent="0.3">
      <c r="A10" s="1" t="s">
        <v>11</v>
      </c>
      <c r="B10" s="1">
        <v>1126</v>
      </c>
      <c r="C10" s="1"/>
      <c r="D10" s="1"/>
      <c r="E10" s="1"/>
      <c r="H10" s="1"/>
      <c r="I10" s="1"/>
      <c r="J10" s="1"/>
      <c r="K10" s="1"/>
      <c r="L10" s="1"/>
      <c r="M10" s="1"/>
      <c r="N10" s="1"/>
      <c r="O10" s="1" t="s">
        <v>11</v>
      </c>
      <c r="P10" s="1">
        <v>1126</v>
      </c>
      <c r="Q10">
        <f t="shared" si="0"/>
        <v>32670.5625</v>
      </c>
      <c r="R10">
        <f t="shared" si="2"/>
        <v>57252.5625</v>
      </c>
      <c r="S10">
        <f t="shared" si="4"/>
        <v>68820.5625</v>
      </c>
      <c r="T10">
        <f t="shared" si="14"/>
        <v>-22638.9375</v>
      </c>
      <c r="U10">
        <f t="shared" si="20"/>
        <v>-40352.4375</v>
      </c>
      <c r="W10" s="4">
        <f>Y3</f>
        <v>0.54141782650701553</v>
      </c>
      <c r="X10" s="4">
        <f>W9</f>
        <v>1</v>
      </c>
      <c r="Y10" s="4">
        <f>X11</f>
        <v>0.54141782650701553</v>
      </c>
      <c r="Z10" s="4">
        <f>X12</f>
        <v>2.5318933820777774E-2</v>
      </c>
      <c r="AE10">
        <f t="shared" si="15"/>
        <v>7</v>
      </c>
      <c r="AF10" t="e">
        <f t="shared" ca="1" si="5"/>
        <v>#NAME?</v>
      </c>
      <c r="AG10" t="e">
        <f t="shared" ca="1" si="16"/>
        <v>#NAME?</v>
      </c>
      <c r="AJ10" t="s">
        <v>43</v>
      </c>
      <c r="AK10" s="13">
        <v>1</v>
      </c>
      <c r="AW10">
        <f t="shared" si="8"/>
        <v>7</v>
      </c>
      <c r="AX10" t="e">
        <f t="shared" ca="1" si="9"/>
        <v>#NAME?</v>
      </c>
      <c r="AY10" t="e">
        <f t="shared" ca="1" si="17"/>
        <v>#NAME?</v>
      </c>
      <c r="AZ10" t="e">
        <f t="shared" ca="1" si="10"/>
        <v>#NAME?</v>
      </c>
      <c r="BA10" t="e">
        <f t="shared" ca="1" si="11"/>
        <v>#NAME?</v>
      </c>
      <c r="BB10" t="e">
        <f t="shared" ca="1" si="12"/>
        <v>#NAME?</v>
      </c>
      <c r="BC10" t="e">
        <f t="shared" ca="1" si="13"/>
        <v>#NAME?</v>
      </c>
      <c r="BE10">
        <f t="shared" si="18"/>
        <v>7</v>
      </c>
      <c r="BF10">
        <f t="shared" si="19"/>
        <v>1326</v>
      </c>
    </row>
    <row r="11" spans="1:58" x14ac:dyDescent="0.3">
      <c r="A11" s="1" t="s">
        <v>12</v>
      </c>
      <c r="B11" s="1">
        <v>814</v>
      </c>
      <c r="C11" s="1"/>
      <c r="D11" s="1"/>
      <c r="E11" s="1"/>
      <c r="H11" s="1"/>
      <c r="I11" s="1"/>
      <c r="J11" s="1"/>
      <c r="K11" s="1"/>
      <c r="L11" s="1"/>
      <c r="M11" s="1"/>
      <c r="N11" s="1"/>
      <c r="O11" s="1" t="s">
        <v>12</v>
      </c>
      <c r="P11" s="1">
        <v>814</v>
      </c>
      <c r="Q11">
        <f t="shared" si="0"/>
        <v>17226.5625</v>
      </c>
      <c r="R11">
        <f t="shared" si="2"/>
        <v>-23723.4375</v>
      </c>
      <c r="S11">
        <f t="shared" si="4"/>
        <v>-41573.4375</v>
      </c>
      <c r="T11">
        <f t="shared" si="14"/>
        <v>-49973.4375</v>
      </c>
      <c r="U11">
        <f t="shared" si="20"/>
        <v>16439.0625</v>
      </c>
      <c r="W11" s="4">
        <f>Y4</f>
        <v>2.5318933820777774E-2</v>
      </c>
      <c r="X11" s="4">
        <f>Y3</f>
        <v>0.54141782650701553</v>
      </c>
      <c r="Y11" s="4">
        <f>X10</f>
        <v>1</v>
      </c>
      <c r="Z11" s="4">
        <f>Y12</f>
        <v>0.54141782650701553</v>
      </c>
      <c r="AE11">
        <f t="shared" si="15"/>
        <v>8</v>
      </c>
      <c r="AF11" t="e">
        <f ca="1">B9-AK$5</f>
        <v>#NAME?</v>
      </c>
      <c r="AG11" t="e">
        <f t="shared" ca="1" si="16"/>
        <v>#NAME?</v>
      </c>
      <c r="AJ11" t="s">
        <v>44</v>
      </c>
      <c r="AK11" s="13">
        <v>0</v>
      </c>
      <c r="AM11" t="s">
        <v>68</v>
      </c>
      <c r="AW11">
        <f t="shared" si="8"/>
        <v>8</v>
      </c>
      <c r="AX11" t="e">
        <f t="shared" ca="1" si="9"/>
        <v>#NAME?</v>
      </c>
      <c r="AY11" t="e">
        <f t="shared" ca="1" si="17"/>
        <v>#NAME?</v>
      </c>
      <c r="AZ11" t="e">
        <f t="shared" ca="1" si="10"/>
        <v>#NAME?</v>
      </c>
      <c r="BA11" t="e">
        <f t="shared" ca="1" si="11"/>
        <v>#NAME?</v>
      </c>
      <c r="BB11" t="e">
        <f t="shared" ca="1" si="12"/>
        <v>#NAME?</v>
      </c>
      <c r="BC11" t="e">
        <f t="shared" ca="1" si="13"/>
        <v>#NAME?</v>
      </c>
      <c r="BE11">
        <f t="shared" si="18"/>
        <v>8</v>
      </c>
      <c r="BF11">
        <f t="shared" si="19"/>
        <v>1262</v>
      </c>
    </row>
    <row r="12" spans="1:58" ht="15" thickBot="1" x14ac:dyDescent="0.35">
      <c r="A12" s="1" t="s">
        <v>13</v>
      </c>
      <c r="B12" s="1">
        <v>821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 t="s">
        <v>13</v>
      </c>
      <c r="P12" s="1">
        <v>821</v>
      </c>
      <c r="Q12">
        <f t="shared" si="0"/>
        <v>15438.0625</v>
      </c>
      <c r="R12">
        <f t="shared" si="2"/>
        <v>16307.8125</v>
      </c>
      <c r="S12">
        <f t="shared" si="4"/>
        <v>-22458.1875</v>
      </c>
      <c r="T12">
        <f t="shared" si="14"/>
        <v>-39356.1875</v>
      </c>
      <c r="U12">
        <f t="shared" si="20"/>
        <v>-47308.1875</v>
      </c>
      <c r="W12" s="4">
        <f>Y5</f>
        <v>-0.44418476371162025</v>
      </c>
      <c r="X12" s="4">
        <f>Y4</f>
        <v>2.5318933820777774E-2</v>
      </c>
      <c r="Y12" s="4">
        <f>Y3</f>
        <v>0.54141782650701553</v>
      </c>
      <c r="Z12" s="4">
        <f>Y11</f>
        <v>1</v>
      </c>
      <c r="AE12">
        <f t="shared" si="15"/>
        <v>9</v>
      </c>
      <c r="AF12" t="e">
        <f t="shared" ca="1" si="5"/>
        <v>#NAME?</v>
      </c>
      <c r="AG12" t="e">
        <f t="shared" ca="1" si="16"/>
        <v>#NAME?</v>
      </c>
      <c r="AJ12" t="s">
        <v>45</v>
      </c>
      <c r="AK12" s="13" t="e">
        <f ca="1">AVERAGE(AG5:AG22)</f>
        <v>#NAME?</v>
      </c>
      <c r="AW12">
        <f t="shared" si="8"/>
        <v>9</v>
      </c>
      <c r="AX12" t="e">
        <f t="shared" ca="1" si="9"/>
        <v>#NAME?</v>
      </c>
      <c r="AY12" t="e">
        <f t="shared" ca="1" si="17"/>
        <v>#NAME?</v>
      </c>
      <c r="AZ12" t="e">
        <f t="shared" ca="1" si="10"/>
        <v>#NAME?</v>
      </c>
      <c r="BA12" t="e">
        <f t="shared" ca="1" si="11"/>
        <v>#NAME?</v>
      </c>
      <c r="BB12" t="e">
        <f t="shared" ca="1" si="12"/>
        <v>#NAME?</v>
      </c>
      <c r="BC12" t="e">
        <f t="shared" ca="1" si="13"/>
        <v>#NAME?</v>
      </c>
      <c r="BE12">
        <f t="shared" si="18"/>
        <v>9</v>
      </c>
      <c r="BF12">
        <f t="shared" si="19"/>
        <v>1126</v>
      </c>
    </row>
    <row r="13" spans="1:58" ht="16.8" thickTop="1" x14ac:dyDescent="0.3">
      <c r="A13" s="1" t="s">
        <v>14</v>
      </c>
      <c r="B13" s="1">
        <v>918</v>
      </c>
      <c r="C13" s="1"/>
      <c r="D13" s="1"/>
      <c r="E13" s="1" t="s">
        <v>0</v>
      </c>
      <c r="F13" t="s">
        <v>84</v>
      </c>
      <c r="G13" t="s">
        <v>85</v>
      </c>
      <c r="H13" t="s">
        <v>89</v>
      </c>
      <c r="I13" t="s">
        <v>93</v>
      </c>
      <c r="J13" t="s">
        <v>95</v>
      </c>
      <c r="K13" s="22" t="s">
        <v>97</v>
      </c>
      <c r="L13" s="22" t="s">
        <v>96</v>
      </c>
      <c r="M13" s="22" t="s">
        <v>98</v>
      </c>
      <c r="O13" s="1" t="s">
        <v>14</v>
      </c>
      <c r="P13" s="1">
        <v>918</v>
      </c>
      <c r="Q13">
        <f t="shared" si="0"/>
        <v>742.5625</v>
      </c>
      <c r="R13">
        <f t="shared" si="2"/>
        <v>3385.8125</v>
      </c>
      <c r="S13">
        <f t="shared" si="4"/>
        <v>3576.5625</v>
      </c>
      <c r="T13">
        <f t="shared" si="14"/>
        <v>-4925.4375</v>
      </c>
      <c r="U13">
        <f t="shared" si="20"/>
        <v>-8631.4375</v>
      </c>
      <c r="AE13">
        <f t="shared" si="15"/>
        <v>10</v>
      </c>
      <c r="AF13" t="e">
        <f t="shared" ca="1" si="5"/>
        <v>#NAME?</v>
      </c>
      <c r="AG13" t="e">
        <f t="shared" ca="1" si="16"/>
        <v>#NAME?</v>
      </c>
      <c r="AJ13" t="s">
        <v>46</v>
      </c>
      <c r="AK13" s="13" t="e">
        <f ca="1">_xlfn.STDEV.S(AG5:AG22)</f>
        <v>#NAME?</v>
      </c>
      <c r="AM13" s="7" t="s">
        <v>37</v>
      </c>
      <c r="AN13" s="7" t="s">
        <v>69</v>
      </c>
      <c r="AW13">
        <f t="shared" si="8"/>
        <v>10</v>
      </c>
      <c r="AX13" t="e">
        <f t="shared" ca="1" si="9"/>
        <v>#NAME?</v>
      </c>
      <c r="AY13" t="e">
        <f t="shared" ca="1" si="17"/>
        <v>#NAME?</v>
      </c>
      <c r="AZ13" t="e">
        <f t="shared" ca="1" si="10"/>
        <v>#NAME?</v>
      </c>
      <c r="BA13" t="e">
        <f t="shared" ca="1" si="11"/>
        <v>#NAME?</v>
      </c>
      <c r="BB13" t="e">
        <f t="shared" ca="1" si="12"/>
        <v>#NAME?</v>
      </c>
      <c r="BC13" t="e">
        <f t="shared" ca="1" si="13"/>
        <v>#NAME?</v>
      </c>
      <c r="BE13">
        <f t="shared" si="18"/>
        <v>10</v>
      </c>
      <c r="BF13">
        <f t="shared" si="19"/>
        <v>814</v>
      </c>
    </row>
    <row r="14" spans="1:58" x14ac:dyDescent="0.3">
      <c r="A14" s="1" t="s">
        <v>3</v>
      </c>
      <c r="B14" s="1">
        <v>950</v>
      </c>
      <c r="C14" s="1"/>
      <c r="D14" s="1"/>
      <c r="E14" s="1" t="s">
        <v>10</v>
      </c>
      <c r="F14">
        <f>B21</f>
        <v>1357</v>
      </c>
      <c r="G14">
        <v>1258.3596377390456</v>
      </c>
      <c r="H14" s="1">
        <f>ABS((F14-G14)/F14)</f>
        <v>7.2690023773732029E-2</v>
      </c>
      <c r="I14" s="1">
        <f>SUM(H14:H18)</f>
        <v>0.48393207860619591</v>
      </c>
      <c r="J14" s="1">
        <f>I14/5</f>
        <v>9.678641572123918E-2</v>
      </c>
      <c r="K14" s="1">
        <f>(F14-G14)^2</f>
        <v>9729.9210669723088</v>
      </c>
      <c r="L14" s="1">
        <f>AVERAGE(K14:K18)</f>
        <v>16391.57641673875</v>
      </c>
      <c r="M14" s="1">
        <f>SQRT(L14)</f>
        <v>128.02959195724537</v>
      </c>
      <c r="N14" s="1"/>
      <c r="O14" s="1" t="s">
        <v>3</v>
      </c>
      <c r="P14" s="1">
        <v>950</v>
      </c>
      <c r="Q14">
        <f t="shared" si="0"/>
        <v>22.5625</v>
      </c>
      <c r="R14">
        <f t="shared" si="2"/>
        <v>-129.4375</v>
      </c>
      <c r="S14">
        <f t="shared" si="4"/>
        <v>-590.1875</v>
      </c>
      <c r="T14">
        <f t="shared" si="14"/>
        <v>-623.4375</v>
      </c>
      <c r="U14">
        <f t="shared" si="20"/>
        <v>858.5625</v>
      </c>
      <c r="W14" t="s">
        <v>29</v>
      </c>
      <c r="X14" t="s">
        <v>24</v>
      </c>
      <c r="Y14" t="s">
        <v>30</v>
      </c>
      <c r="AE14">
        <f t="shared" si="15"/>
        <v>11</v>
      </c>
      <c r="AF14" t="e">
        <f t="shared" ca="1" si="5"/>
        <v>#NAME?</v>
      </c>
      <c r="AG14" t="e">
        <f t="shared" ca="1" si="16"/>
        <v>#NAME?</v>
      </c>
      <c r="AJ14" t="s">
        <v>47</v>
      </c>
      <c r="AK14" s="13" t="e">
        <f ca="1">SQRT(AK7/AK17)</f>
        <v>#NAME?</v>
      </c>
      <c r="AM14" s="16">
        <v>0</v>
      </c>
      <c r="AN14" s="16" t="e">
        <f t="array" aca="1" ref="AN14:AN18" ca="1">[1]!PSICoeff(AJ4,AK4)</f>
        <v>#NAME?</v>
      </c>
      <c r="AW14">
        <f t="shared" si="8"/>
        <v>11</v>
      </c>
      <c r="AX14" t="e">
        <f t="shared" ca="1" si="9"/>
        <v>#NAME?</v>
      </c>
      <c r="AY14" t="e">
        <f t="shared" ca="1" si="17"/>
        <v>#NAME?</v>
      </c>
      <c r="AZ14" t="e">
        <f t="shared" ca="1" si="10"/>
        <v>#NAME?</v>
      </c>
      <c r="BA14" t="e">
        <f t="shared" ca="1" si="11"/>
        <v>#NAME?</v>
      </c>
      <c r="BB14" t="e">
        <f t="shared" ca="1" si="12"/>
        <v>#NAME?</v>
      </c>
      <c r="BC14" t="e">
        <f t="shared" ca="1" si="13"/>
        <v>#NAME?</v>
      </c>
      <c r="BE14">
        <f t="shared" si="18"/>
        <v>11</v>
      </c>
      <c r="BF14">
        <f t="shared" si="19"/>
        <v>821</v>
      </c>
    </row>
    <row r="15" spans="1:58" x14ac:dyDescent="0.3">
      <c r="A15" s="1" t="s">
        <v>4</v>
      </c>
      <c r="B15" s="1">
        <v>878</v>
      </c>
      <c r="C15" s="1"/>
      <c r="D15" s="1"/>
      <c r="E15" s="1" t="s">
        <v>11</v>
      </c>
      <c r="F15">
        <f t="shared" ref="F15:F18" si="21">B22</f>
        <v>1268</v>
      </c>
      <c r="G15">
        <v>1038.2077607917211</v>
      </c>
      <c r="H15" s="1">
        <f t="shared" ref="H15:H18" si="22">ABS((F15-G15)/F15)</f>
        <v>0.1812241634134692</v>
      </c>
      <c r="I15" s="1"/>
      <c r="J15" s="1"/>
      <c r="K15" s="1">
        <f t="shared" ref="K15:K18" si="23">(F15-G15)^2</f>
        <v>52804.473200354892</v>
      </c>
      <c r="L15" s="1"/>
      <c r="M15" s="1"/>
      <c r="N15" s="1"/>
      <c r="O15" s="1" t="s">
        <v>4</v>
      </c>
      <c r="P15" s="1">
        <v>878</v>
      </c>
      <c r="Q15">
        <f t="shared" si="0"/>
        <v>4522.5625</v>
      </c>
      <c r="R15">
        <f t="shared" si="2"/>
        <v>-319.4375</v>
      </c>
      <c r="S15">
        <f t="shared" si="4"/>
        <v>1832.5625</v>
      </c>
      <c r="T15">
        <f t="shared" si="14"/>
        <v>8355.8125</v>
      </c>
      <c r="U15">
        <f t="shared" si="20"/>
        <v>8826.5625</v>
      </c>
      <c r="W15">
        <v>0</v>
      </c>
      <c r="X15">
        <f>Y2</f>
        <v>1</v>
      </c>
      <c r="Y15">
        <f>Z3</f>
        <v>0.54141782650701553</v>
      </c>
      <c r="AE15">
        <f t="shared" si="15"/>
        <v>12</v>
      </c>
      <c r="AF15" t="e">
        <f t="shared" ca="1" si="5"/>
        <v>#NAME?</v>
      </c>
      <c r="AG15" t="e">
        <f t="shared" ca="1" si="16"/>
        <v>#NAME?</v>
      </c>
      <c r="AJ15" t="s">
        <v>48</v>
      </c>
      <c r="AK15" s="13" t="e">
        <f ca="1">AVERAGE(AF5:AF22)</f>
        <v>#NAME?</v>
      </c>
      <c r="AM15">
        <f>AM14+1</f>
        <v>1</v>
      </c>
      <c r="AN15" t="e">
        <f ca="1"/>
        <v>#NAME?</v>
      </c>
      <c r="AW15">
        <f t="shared" si="8"/>
        <v>12</v>
      </c>
      <c r="AX15" t="e">
        <f t="shared" ca="1" si="9"/>
        <v>#NAME?</v>
      </c>
      <c r="AY15" t="e">
        <f t="shared" ca="1" si="17"/>
        <v>#NAME?</v>
      </c>
      <c r="AZ15" t="e">
        <f t="shared" ca="1" si="10"/>
        <v>#NAME?</v>
      </c>
      <c r="BA15" t="e">
        <f t="shared" ca="1" si="11"/>
        <v>#NAME?</v>
      </c>
      <c r="BB15" t="e">
        <f t="shared" ca="1" si="12"/>
        <v>#NAME?</v>
      </c>
      <c r="BC15" t="e">
        <f t="shared" ca="1" si="13"/>
        <v>#NAME?</v>
      </c>
      <c r="BE15">
        <f t="shared" si="18"/>
        <v>12</v>
      </c>
      <c r="BF15">
        <f t="shared" si="19"/>
        <v>918</v>
      </c>
    </row>
    <row r="16" spans="1:58" x14ac:dyDescent="0.3">
      <c r="A16" s="1" t="s">
        <v>5</v>
      </c>
      <c r="B16" s="1">
        <v>785</v>
      </c>
      <c r="C16" s="1"/>
      <c r="D16" s="1"/>
      <c r="E16" s="1" t="s">
        <v>12</v>
      </c>
      <c r="F16">
        <f t="shared" si="21"/>
        <v>889</v>
      </c>
      <c r="G16">
        <v>967.64355526960776</v>
      </c>
      <c r="H16" s="1">
        <f t="shared" si="22"/>
        <v>8.846294181058241E-2</v>
      </c>
      <c r="I16" s="1"/>
      <c r="J16" s="1"/>
      <c r="K16" s="1">
        <f t="shared" si="23"/>
        <v>6184.80878544385</v>
      </c>
      <c r="L16" s="1"/>
      <c r="M16" s="1"/>
      <c r="N16" s="1"/>
      <c r="O16" s="1" t="s">
        <v>5</v>
      </c>
      <c r="P16" s="1">
        <v>785</v>
      </c>
      <c r="Q16">
        <f t="shared" si="0"/>
        <v>25680.0625</v>
      </c>
      <c r="R16">
        <f t="shared" si="2"/>
        <v>10776.8125</v>
      </c>
      <c r="S16">
        <f t="shared" si="4"/>
        <v>-761.1875</v>
      </c>
      <c r="T16">
        <f t="shared" si="14"/>
        <v>4366.8125</v>
      </c>
      <c r="U16">
        <f t="shared" si="20"/>
        <v>19911.0625</v>
      </c>
      <c r="W16">
        <v>1</v>
      </c>
      <c r="X16">
        <f t="shared" ref="X16:X19" si="24">Y3</f>
        <v>0.54141782650701553</v>
      </c>
      <c r="Y16">
        <f>AA4</f>
        <v>-0.37887527445728658</v>
      </c>
      <c r="AE16">
        <f t="shared" si="15"/>
        <v>13</v>
      </c>
      <c r="AF16" t="e">
        <f t="shared" ca="1" si="5"/>
        <v>#NAME?</v>
      </c>
      <c r="AG16" t="e">
        <f t="shared" ca="1" si="16"/>
        <v>#NAME?</v>
      </c>
      <c r="AJ16" t="s">
        <v>49</v>
      </c>
      <c r="AK16" s="13" t="e">
        <f ca="1">_xlfn.STDEV.S(AF5:AF22)</f>
        <v>#NAME?</v>
      </c>
      <c r="AM16">
        <f t="shared" ref="AM16:AM18" si="25">AM15+1</f>
        <v>2</v>
      </c>
      <c r="AN16" t="e">
        <f ca="1"/>
        <v>#NAME?</v>
      </c>
      <c r="AW16">
        <f t="shared" si="8"/>
        <v>13</v>
      </c>
      <c r="AX16" t="e">
        <f t="shared" ca="1" si="9"/>
        <v>#NAME?</v>
      </c>
      <c r="AY16" t="e">
        <f t="shared" ca="1" si="17"/>
        <v>#NAME?</v>
      </c>
      <c r="AZ16" t="e">
        <f t="shared" ca="1" si="10"/>
        <v>#NAME?</v>
      </c>
      <c r="BA16" t="e">
        <f t="shared" ca="1" si="11"/>
        <v>#NAME?</v>
      </c>
      <c r="BB16" t="e">
        <f t="shared" ca="1" si="12"/>
        <v>#NAME?</v>
      </c>
      <c r="BC16" t="e">
        <f t="shared" ca="1" si="13"/>
        <v>#NAME?</v>
      </c>
      <c r="BE16">
        <f t="shared" si="18"/>
        <v>13</v>
      </c>
      <c r="BF16">
        <f t="shared" si="19"/>
        <v>950</v>
      </c>
    </row>
    <row r="17" spans="1:58" x14ac:dyDescent="0.3">
      <c r="A17" s="1" t="s">
        <v>6</v>
      </c>
      <c r="B17" s="1">
        <v>690</v>
      </c>
      <c r="C17" s="1"/>
      <c r="D17" s="1"/>
      <c r="E17" s="1" t="s">
        <v>13</v>
      </c>
      <c r="F17">
        <f t="shared" si="21"/>
        <v>830</v>
      </c>
      <c r="G17">
        <v>945.02595522907563</v>
      </c>
      <c r="H17" s="1">
        <f t="shared" si="22"/>
        <v>0.13858548822780198</v>
      </c>
      <c r="I17" s="1"/>
      <c r="J17" s="1"/>
      <c r="K17" s="1">
        <f t="shared" si="23"/>
        <v>13230.970376361312</v>
      </c>
      <c r="L17" s="1"/>
      <c r="M17" s="1"/>
      <c r="N17" s="1"/>
      <c r="O17" s="1" t="s">
        <v>6</v>
      </c>
      <c r="P17" s="1">
        <v>690</v>
      </c>
      <c r="Q17">
        <f t="shared" si="0"/>
        <v>65152.5625</v>
      </c>
      <c r="R17">
        <f t="shared" si="2"/>
        <v>40903.8125</v>
      </c>
      <c r="S17">
        <f t="shared" si="4"/>
        <v>17165.5625</v>
      </c>
      <c r="T17">
        <f t="shared" si="14"/>
        <v>-1212.4375</v>
      </c>
      <c r="U17">
        <f t="shared" si="20"/>
        <v>6955.5625</v>
      </c>
      <c r="W17">
        <v>2</v>
      </c>
      <c r="X17">
        <f t="shared" si="24"/>
        <v>2.5318933820777774E-2</v>
      </c>
      <c r="Y17">
        <f>AB5</f>
        <v>-0.42609408943672494</v>
      </c>
      <c r="AE17">
        <f t="shared" si="15"/>
        <v>14</v>
      </c>
      <c r="AF17" t="e">
        <f t="shared" ca="1" si="5"/>
        <v>#NAME?</v>
      </c>
      <c r="AG17" t="e">
        <f t="shared" ca="1" si="16"/>
        <v>#NAME?</v>
      </c>
      <c r="AJ17" t="s">
        <v>50</v>
      </c>
      <c r="AK17" s="14">
        <f ca="1">COUNT(AF5:AF22)</f>
        <v>0</v>
      </c>
      <c r="AM17">
        <f t="shared" si="25"/>
        <v>3</v>
      </c>
      <c r="AN17" t="e">
        <f ca="1"/>
        <v>#NAME?</v>
      </c>
      <c r="AW17">
        <f t="shared" si="8"/>
        <v>14</v>
      </c>
      <c r="AX17" t="e">
        <f t="shared" ca="1" si="9"/>
        <v>#NAME?</v>
      </c>
      <c r="AY17" t="e">
        <f t="shared" ca="1" si="17"/>
        <v>#NAME?</v>
      </c>
      <c r="AZ17" t="e">
        <f t="shared" ca="1" si="10"/>
        <v>#NAME?</v>
      </c>
      <c r="BA17" t="e">
        <f t="shared" ca="1" si="11"/>
        <v>#NAME?</v>
      </c>
      <c r="BB17" t="e">
        <f t="shared" ca="1" si="12"/>
        <v>#NAME?</v>
      </c>
      <c r="BC17" t="e">
        <f t="shared" ca="1" si="13"/>
        <v>#NAME?</v>
      </c>
      <c r="BE17">
        <f t="shared" si="18"/>
        <v>14</v>
      </c>
      <c r="BF17">
        <f t="shared" si="19"/>
        <v>878</v>
      </c>
    </row>
    <row r="18" spans="1:58" x14ac:dyDescent="0.3">
      <c r="A18" s="1" t="s">
        <v>7</v>
      </c>
      <c r="B18" s="1">
        <v>794</v>
      </c>
      <c r="C18" s="1"/>
      <c r="D18" s="1"/>
      <c r="E18" s="1" t="s">
        <v>14</v>
      </c>
      <c r="F18">
        <f t="shared" si="21"/>
        <v>935</v>
      </c>
      <c r="G18">
        <v>937.77644639087066</v>
      </c>
      <c r="H18" s="1">
        <f t="shared" si="22"/>
        <v>2.9694613806103319E-3</v>
      </c>
      <c r="I18" s="1"/>
      <c r="J18" s="1"/>
      <c r="K18" s="1">
        <f t="shared" si="23"/>
        <v>7.7086545613787152</v>
      </c>
      <c r="L18" s="1"/>
      <c r="M18" s="1"/>
      <c r="N18" s="1"/>
      <c r="O18" s="1" t="s">
        <v>7</v>
      </c>
      <c r="P18" s="1">
        <v>794</v>
      </c>
      <c r="Q18">
        <f t="shared" si="0"/>
        <v>22876.5625</v>
      </c>
      <c r="R18">
        <f t="shared" si="2"/>
        <v>38606.5625</v>
      </c>
      <c r="S18">
        <f t="shared" si="4"/>
        <v>24237.8125</v>
      </c>
      <c r="T18">
        <f t="shared" si="14"/>
        <v>10171.5625</v>
      </c>
      <c r="U18">
        <f t="shared" si="20"/>
        <v>-718.4375</v>
      </c>
      <c r="W18">
        <v>3</v>
      </c>
      <c r="X18">
        <f t="shared" si="24"/>
        <v>-0.44418476371162025</v>
      </c>
      <c r="Y18">
        <f>AC6</f>
        <v>0.22946802169258873</v>
      </c>
      <c r="AE18">
        <f t="shared" si="15"/>
        <v>15</v>
      </c>
      <c r="AF18" t="e">
        <f t="shared" ca="1" si="5"/>
        <v>#NAME?</v>
      </c>
      <c r="AG18" t="e">
        <f t="shared" ca="1" si="16"/>
        <v>#NAME?</v>
      </c>
      <c r="AM18" s="10">
        <f t="shared" si="25"/>
        <v>4</v>
      </c>
      <c r="AN18" s="10" t="e">
        <f ca="1"/>
        <v>#NAME?</v>
      </c>
      <c r="AW18">
        <f t="shared" si="8"/>
        <v>15</v>
      </c>
      <c r="AX18" t="e">
        <f t="shared" ca="1" si="9"/>
        <v>#NAME?</v>
      </c>
      <c r="AY18" t="e">
        <f t="shared" ca="1" si="17"/>
        <v>#NAME?</v>
      </c>
      <c r="AZ18" t="e">
        <f t="shared" ca="1" si="10"/>
        <v>#NAME?</v>
      </c>
      <c r="BA18" t="e">
        <f t="shared" ca="1" si="11"/>
        <v>#NAME?</v>
      </c>
      <c r="BB18" t="e">
        <f t="shared" ca="1" si="12"/>
        <v>#NAME?</v>
      </c>
      <c r="BC18" t="e">
        <f t="shared" ca="1" si="13"/>
        <v>#NAME?</v>
      </c>
      <c r="BE18">
        <f t="shared" si="18"/>
        <v>15</v>
      </c>
      <c r="BF18">
        <f t="shared" si="19"/>
        <v>785</v>
      </c>
    </row>
    <row r="19" spans="1:58" x14ac:dyDescent="0.3">
      <c r="A19" s="1" t="s">
        <v>8</v>
      </c>
      <c r="B19" s="1">
        <v>802</v>
      </c>
      <c r="C19" s="1"/>
      <c r="D19" s="1"/>
      <c r="E19" s="1"/>
      <c r="H19" s="1"/>
      <c r="I19" s="1"/>
      <c r="J19" s="1"/>
      <c r="K19" s="1"/>
      <c r="L19" s="1"/>
      <c r="M19" s="1"/>
      <c r="N19" s="1"/>
      <c r="O19" s="1" t="s">
        <v>8</v>
      </c>
      <c r="P19" s="1">
        <v>802</v>
      </c>
      <c r="Q19">
        <f t="shared" si="0"/>
        <v>20520.5625</v>
      </c>
      <c r="R19">
        <f t="shared" si="2"/>
        <v>21666.5625</v>
      </c>
      <c r="S19">
        <f t="shared" si="4"/>
        <v>36564.5625</v>
      </c>
      <c r="T19">
        <f t="shared" si="14"/>
        <v>22955.8125</v>
      </c>
      <c r="U19">
        <f t="shared" si="20"/>
        <v>9633.5625</v>
      </c>
      <c r="W19">
        <v>4</v>
      </c>
      <c r="X19">
        <f t="shared" si="24"/>
        <v>-0.37843327783435071</v>
      </c>
      <c r="AE19">
        <f t="shared" si="15"/>
        <v>16</v>
      </c>
      <c r="AF19" t="e">
        <f t="shared" ca="1" si="5"/>
        <v>#NAME?</v>
      </c>
      <c r="AG19" t="e">
        <f t="shared" ca="1" si="16"/>
        <v>#NAME?</v>
      </c>
      <c r="AJ19" t="s">
        <v>51</v>
      </c>
      <c r="AK19" s="12" t="e">
        <f ca="1">-(AK22-2*(AK9+AK10+2))/2</f>
        <v>#NAME?</v>
      </c>
      <c r="AW19">
        <f t="shared" si="8"/>
        <v>16</v>
      </c>
      <c r="AX19" t="e">
        <f t="shared" ca="1" si="9"/>
        <v>#NAME?</v>
      </c>
      <c r="AY19" t="e">
        <f t="shared" ca="1" si="17"/>
        <v>#NAME?</v>
      </c>
      <c r="AZ19" t="e">
        <f t="shared" ca="1" si="10"/>
        <v>#NAME?</v>
      </c>
      <c r="BA19" t="e">
        <f t="shared" ca="1" si="11"/>
        <v>#NAME?</v>
      </c>
      <c r="BB19" t="e">
        <f t="shared" ca="1" si="12"/>
        <v>#NAME?</v>
      </c>
      <c r="BC19" t="e">
        <f t="shared" ca="1" si="13"/>
        <v>#NAME?</v>
      </c>
      <c r="BE19">
        <f t="shared" si="18"/>
        <v>16</v>
      </c>
      <c r="BF19">
        <f t="shared" si="19"/>
        <v>690</v>
      </c>
    </row>
    <row r="20" spans="1:58" x14ac:dyDescent="0.3">
      <c r="A20" s="1" t="s">
        <v>9</v>
      </c>
      <c r="B20" s="1">
        <v>1445</v>
      </c>
      <c r="C20" s="1"/>
      <c r="D20" s="1"/>
      <c r="H20" s="1"/>
      <c r="I20" s="1"/>
      <c r="J20" s="1"/>
      <c r="K20" s="1"/>
      <c r="L20" s="1"/>
      <c r="M20" s="1"/>
      <c r="N20" s="1"/>
      <c r="O20" s="1" t="s">
        <v>9</v>
      </c>
      <c r="P20" s="1">
        <v>1445</v>
      </c>
      <c r="Q20">
        <f t="shared" si="0"/>
        <v>249750.0625</v>
      </c>
      <c r="R20">
        <f t="shared" si="2"/>
        <v>-71589.1875</v>
      </c>
      <c r="S20">
        <f t="shared" si="4"/>
        <v>-75587.1875</v>
      </c>
      <c r="T20">
        <f t="shared" si="14"/>
        <v>-127561.1875</v>
      </c>
      <c r="U20">
        <f t="shared" si="20"/>
        <v>-80084.9375</v>
      </c>
      <c r="AE20">
        <f t="shared" si="15"/>
        <v>17</v>
      </c>
      <c r="AF20" t="e">
        <f t="shared" ca="1" si="5"/>
        <v>#NAME?</v>
      </c>
      <c r="AG20" t="e">
        <f t="shared" ca="1" si="16"/>
        <v>#NAME?</v>
      </c>
      <c r="AJ20" t="s">
        <v>52</v>
      </c>
      <c r="AK20" s="13" t="e">
        <f ca="1">AK17*LN(AK7/AK17)+2*(AK9+AK10+2)</f>
        <v>#NAME?</v>
      </c>
      <c r="AW20">
        <f t="shared" si="8"/>
        <v>17</v>
      </c>
      <c r="AX20" t="e">
        <f t="shared" ca="1" si="9"/>
        <v>#NAME?</v>
      </c>
      <c r="AY20" t="e">
        <f t="shared" ca="1" si="17"/>
        <v>#NAME?</v>
      </c>
      <c r="AZ20" t="e">
        <f t="shared" ca="1" si="10"/>
        <v>#NAME?</v>
      </c>
      <c r="BA20" t="e">
        <f t="shared" ca="1" si="11"/>
        <v>#NAME?</v>
      </c>
      <c r="BB20" t="e">
        <f t="shared" ca="1" si="12"/>
        <v>#NAME?</v>
      </c>
      <c r="BC20" t="e">
        <f t="shared" ca="1" si="13"/>
        <v>#NAME?</v>
      </c>
      <c r="BE20">
        <f t="shared" si="18"/>
        <v>17</v>
      </c>
      <c r="BF20">
        <f t="shared" si="19"/>
        <v>794</v>
      </c>
    </row>
    <row r="21" spans="1:58" x14ac:dyDescent="0.3">
      <c r="A21" s="1" t="s">
        <v>10</v>
      </c>
      <c r="B21" s="1">
        <v>1357</v>
      </c>
      <c r="C21" s="1"/>
      <c r="D21" s="1"/>
      <c r="E21" s="1"/>
      <c r="H21" s="1"/>
      <c r="I21" s="1"/>
      <c r="J21" s="1"/>
      <c r="K21" s="1"/>
      <c r="L21" s="1"/>
      <c r="M21" s="1"/>
      <c r="N21" s="1"/>
      <c r="O21" s="1" t="s">
        <v>10</v>
      </c>
      <c r="P21" s="1">
        <v>1357</v>
      </c>
      <c r="Q21">
        <f t="shared" si="0"/>
        <v>169538.0625</v>
      </c>
      <c r="R21">
        <f t="shared" si="2"/>
        <v>205772.0625</v>
      </c>
      <c r="S21">
        <f t="shared" si="4"/>
        <v>-58983.1875</v>
      </c>
      <c r="T21">
        <f t="shared" si="14"/>
        <v>-62277.1875</v>
      </c>
      <c r="U21">
        <f t="shared" si="20"/>
        <v>-105099.1875</v>
      </c>
      <c r="W21" t="s">
        <v>77</v>
      </c>
      <c r="AE21">
        <f t="shared" si="15"/>
        <v>18</v>
      </c>
      <c r="AF21" t="e">
        <f t="shared" ca="1" si="5"/>
        <v>#NAME?</v>
      </c>
      <c r="AG21" t="e">
        <f t="shared" ca="1" si="16"/>
        <v>#NAME?</v>
      </c>
      <c r="AJ21" t="s">
        <v>53</v>
      </c>
      <c r="AK21" s="13" t="e">
        <f ca="1">AK17*LN(AK7/AK17)+LN(AK17)*(AK9+AK10+2)</f>
        <v>#NAME?</v>
      </c>
      <c r="AW21">
        <f t="shared" si="8"/>
        <v>18</v>
      </c>
      <c r="AX21" t="e">
        <f t="shared" ca="1" si="9"/>
        <v>#NAME?</v>
      </c>
      <c r="AY21" t="e">
        <f t="shared" ca="1" si="17"/>
        <v>#NAME?</v>
      </c>
      <c r="AZ21" t="e">
        <f t="shared" ca="1" si="10"/>
        <v>#NAME?</v>
      </c>
      <c r="BA21" t="e">
        <f t="shared" ca="1" si="11"/>
        <v>#NAME?</v>
      </c>
      <c r="BB21" t="e">
        <f t="shared" ca="1" si="12"/>
        <v>#NAME?</v>
      </c>
      <c r="BC21" t="e">
        <f t="shared" ca="1" si="13"/>
        <v>#NAME?</v>
      </c>
      <c r="BE21">
        <f t="shared" si="18"/>
        <v>18</v>
      </c>
      <c r="BF21">
        <f t="shared" si="19"/>
        <v>802</v>
      </c>
    </row>
    <row r="22" spans="1:58" x14ac:dyDescent="0.3">
      <c r="A22" s="1" t="s">
        <v>11</v>
      </c>
      <c r="B22" s="1">
        <v>1268</v>
      </c>
      <c r="C22" s="1"/>
      <c r="D22" s="1"/>
      <c r="E22" s="1"/>
      <c r="H22" s="1"/>
      <c r="I22" s="1"/>
      <c r="J22" s="1"/>
      <c r="K22" s="1"/>
      <c r="L22" s="1"/>
      <c r="M22" s="1"/>
      <c r="N22" s="1"/>
      <c r="O22" s="1" t="s">
        <v>11</v>
      </c>
      <c r="P22" s="1">
        <v>1268</v>
      </c>
      <c r="Q22">
        <f t="shared" si="0"/>
        <v>104167.5625</v>
      </c>
      <c r="R22">
        <f t="shared" si="2"/>
        <v>132892.3125</v>
      </c>
      <c r="S22">
        <f t="shared" si="4"/>
        <v>161294.3125</v>
      </c>
      <c r="T22">
        <f t="shared" si="14"/>
        <v>-46233.9375</v>
      </c>
      <c r="U22">
        <f t="shared" si="20"/>
        <v>-48815.9375</v>
      </c>
      <c r="AE22" s="10">
        <f t="shared" si="15"/>
        <v>19</v>
      </c>
      <c r="AF22" s="10" t="e">
        <f t="shared" ca="1" si="5"/>
        <v>#NAME?</v>
      </c>
      <c r="AG22" s="10" t="e">
        <f t="shared" ca="1" si="16"/>
        <v>#NAME?</v>
      </c>
      <c r="AJ22" t="s">
        <v>54</v>
      </c>
      <c r="AK22" s="13" t="e">
        <f ca="1">AK17*(1+LN(2*PI()))+AK20</f>
        <v>#NAME?</v>
      </c>
      <c r="AW22">
        <f t="shared" si="8"/>
        <v>19</v>
      </c>
      <c r="AX22" t="e">
        <f t="shared" ca="1" si="9"/>
        <v>#NAME?</v>
      </c>
      <c r="AY22" t="e">
        <f t="shared" ca="1" si="17"/>
        <v>#NAME?</v>
      </c>
      <c r="AZ22" t="e">
        <f t="shared" ca="1" si="10"/>
        <v>#NAME?</v>
      </c>
      <c r="BA22" t="e">
        <f t="shared" ca="1" si="11"/>
        <v>#NAME?</v>
      </c>
      <c r="BB22" t="e">
        <f t="shared" ca="1" si="12"/>
        <v>#NAME?</v>
      </c>
      <c r="BC22" t="e">
        <f t="shared" ca="1" si="13"/>
        <v>#NAME?</v>
      </c>
      <c r="BE22" s="10">
        <f t="shared" si="18"/>
        <v>19</v>
      </c>
      <c r="BF22" s="10">
        <f t="shared" si="19"/>
        <v>1445</v>
      </c>
    </row>
    <row r="23" spans="1:58" x14ac:dyDescent="0.3">
      <c r="A23" s="1" t="s">
        <v>12</v>
      </c>
      <c r="B23" s="1">
        <v>889</v>
      </c>
      <c r="C23" s="1"/>
      <c r="D23" s="1"/>
      <c r="E23" s="1"/>
      <c r="H23" s="1"/>
      <c r="I23" s="1"/>
      <c r="J23" s="1"/>
      <c r="K23" s="1"/>
      <c r="L23" s="1"/>
      <c r="M23" s="1"/>
      <c r="N23" s="1"/>
      <c r="O23" s="1" t="s">
        <v>12</v>
      </c>
      <c r="P23" s="1">
        <v>889</v>
      </c>
      <c r="Q23">
        <f t="shared" si="0"/>
        <v>3164.0625</v>
      </c>
      <c r="R23">
        <f t="shared" si="2"/>
        <v>-18154.6875</v>
      </c>
      <c r="S23">
        <f t="shared" si="4"/>
        <v>-23160.9375</v>
      </c>
      <c r="T23">
        <f t="shared" si="14"/>
        <v>-28110.9375</v>
      </c>
      <c r="U23">
        <f t="shared" si="20"/>
        <v>8057.8125</v>
      </c>
      <c r="AJ23" t="s">
        <v>55</v>
      </c>
      <c r="AK23" s="14" t="e">
        <f ca="1">AK17*(1+LN(2*PI()))+AK21</f>
        <v>#NAME?</v>
      </c>
      <c r="AW23">
        <f>AW22+1</f>
        <v>20</v>
      </c>
      <c r="AZ23" t="e">
        <f ca="1">SUMPRODUCT(AX22,AJ$4)+SUMPRODUCT(AY22,AK$4)</f>
        <v>#NAME?</v>
      </c>
      <c r="BA23" t="e">
        <f ca="1">AK$14*SQRT(SUMSQ(AN$14:AN14))</f>
        <v>#NAME?</v>
      </c>
      <c r="BB23" t="e">
        <f ca="1">AZ23-_xlfn.NORM.S.INV(1-BA$2/2)*BA23</f>
        <v>#NAME?</v>
      </c>
      <c r="BC23" t="e">
        <f ca="1">AZ23+_xlfn.NORM.S.INV(1-BA$2/2)*BA23</f>
        <v>#NAME?</v>
      </c>
      <c r="BE23">
        <f t="shared" si="18"/>
        <v>20</v>
      </c>
      <c r="BF23" t="e">
        <f ca="1">AZ23+AK$5</f>
        <v>#NAME?</v>
      </c>
    </row>
    <row r="24" spans="1:58" x14ac:dyDescent="0.3">
      <c r="A24" s="1" t="s">
        <v>13</v>
      </c>
      <c r="B24" s="1">
        <v>830</v>
      </c>
      <c r="C24" s="1"/>
      <c r="D24" s="1"/>
      <c r="E24" s="1"/>
      <c r="O24" s="1" t="s">
        <v>13</v>
      </c>
      <c r="P24" s="1">
        <v>830</v>
      </c>
      <c r="Q24">
        <f t="shared" si="0"/>
        <v>13282.5625</v>
      </c>
      <c r="R24">
        <f t="shared" si="2"/>
        <v>6482.8125</v>
      </c>
      <c r="S24">
        <f t="shared" si="4"/>
        <v>-37196.9375</v>
      </c>
      <c r="T24">
        <f t="shared" si="14"/>
        <v>-47454.1875</v>
      </c>
      <c r="U24">
        <f t="shared" si="20"/>
        <v>-57596.1875</v>
      </c>
      <c r="AW24">
        <f t="shared" ref="AW24:AW27" si="26">AW23+1</f>
        <v>21</v>
      </c>
      <c r="AZ24" t="e">
        <f ca="1">SUMPRODUCT(AZ23,AJ4)</f>
        <v>#NAME?</v>
      </c>
      <c r="BA24" t="e">
        <f ca="1">AK$14*SQRT(SUMSQ(AN$14:AN15))</f>
        <v>#NAME?</v>
      </c>
      <c r="BB24" t="e">
        <f t="shared" ref="BB24:BB27" ca="1" si="27">AZ24-_xlfn.NORM.S.INV(1-BA$2/2)*BA24</f>
        <v>#NAME?</v>
      </c>
      <c r="BC24" t="e">
        <f t="shared" ref="BC24:BC27" ca="1" si="28">AZ24+_xlfn.NORM.S.INV(1-BA$2/2)*BA24</f>
        <v>#NAME?</v>
      </c>
      <c r="BE24">
        <f t="shared" si="18"/>
        <v>21</v>
      </c>
      <c r="BF24" t="e">
        <f t="shared" ref="BF24:BF27" ca="1" si="29">AZ24+AK$5</f>
        <v>#NAME?</v>
      </c>
    </row>
    <row r="25" spans="1:58" x14ac:dyDescent="0.3">
      <c r="A25" s="1" t="s">
        <v>14</v>
      </c>
      <c r="B25" s="1">
        <v>935</v>
      </c>
      <c r="C25" s="1"/>
      <c r="D25" s="1"/>
      <c r="E25" s="1"/>
      <c r="O25" s="1" t="s">
        <v>14</v>
      </c>
      <c r="P25" s="1">
        <v>935</v>
      </c>
      <c r="Q25">
        <f t="shared" si="0"/>
        <v>105.0625</v>
      </c>
      <c r="R25">
        <f t="shared" si="2"/>
        <v>1181.3125</v>
      </c>
      <c r="S25">
        <f t="shared" si="4"/>
        <v>576.5625</v>
      </c>
      <c r="T25">
        <f t="shared" si="14"/>
        <v>-3308.1875</v>
      </c>
      <c r="U25">
        <f t="shared" si="20"/>
        <v>-4220.4375</v>
      </c>
      <c r="AW25">
        <f t="shared" si="26"/>
        <v>22</v>
      </c>
      <c r="AZ25" t="e">
        <f ca="1">SUMPRODUCT(AZ24,AJ4)</f>
        <v>#NAME?</v>
      </c>
      <c r="BA25" t="e">
        <f ca="1">AK$14*SQRT(SUMSQ(AN$14:AN16))</f>
        <v>#NAME?</v>
      </c>
      <c r="BB25" t="e">
        <f t="shared" ca="1" si="27"/>
        <v>#NAME?</v>
      </c>
      <c r="BC25" t="e">
        <f t="shared" ca="1" si="28"/>
        <v>#NAME?</v>
      </c>
      <c r="BE25">
        <f t="shared" si="18"/>
        <v>22</v>
      </c>
      <c r="BF25" t="e">
        <f t="shared" ca="1" si="29"/>
        <v>#NAME?</v>
      </c>
    </row>
    <row r="26" spans="1:58" x14ac:dyDescent="0.3">
      <c r="C26" s="1"/>
      <c r="D26" s="1"/>
      <c r="E26" s="1"/>
      <c r="AW26">
        <f t="shared" si="26"/>
        <v>23</v>
      </c>
      <c r="AZ26" t="e">
        <f ca="1">SUMPRODUCT(AZ25,AJ4)</f>
        <v>#NAME?</v>
      </c>
      <c r="BA26" t="e">
        <f ca="1">AK$14*SQRT(SUMSQ(AN$14:AN17))</f>
        <v>#NAME?</v>
      </c>
      <c r="BB26" t="e">
        <f t="shared" ca="1" si="27"/>
        <v>#NAME?</v>
      </c>
      <c r="BC26" t="e">
        <f t="shared" ca="1" si="28"/>
        <v>#NAME?</v>
      </c>
      <c r="BE26">
        <f t="shared" si="18"/>
        <v>23</v>
      </c>
      <c r="BF26" t="e">
        <f t="shared" ca="1" si="29"/>
        <v>#NAME?</v>
      </c>
    </row>
    <row r="27" spans="1:58" x14ac:dyDescent="0.3">
      <c r="D27" s="1"/>
      <c r="E27" s="1"/>
      <c r="W27" s="5"/>
      <c r="X27" s="5"/>
      <c r="Y27" s="5"/>
      <c r="AA27" s="5"/>
      <c r="AB27" s="5"/>
      <c r="AC27" s="5"/>
      <c r="AE27" s="5"/>
      <c r="AF27" s="5"/>
      <c r="AG27" s="5"/>
      <c r="AI27" s="5"/>
      <c r="AJ27" s="5"/>
      <c r="AK27" s="5"/>
      <c r="AL27" s="5"/>
      <c r="AM27" s="5"/>
      <c r="AO27" s="5"/>
      <c r="AP27" s="5"/>
      <c r="AQ27" s="5"/>
      <c r="AR27" s="5"/>
      <c r="AS27" s="5"/>
      <c r="AT27" s="5"/>
      <c r="AU27" s="5"/>
      <c r="AW27" s="18">
        <f t="shared" si="26"/>
        <v>24</v>
      </c>
      <c r="AX27" s="20"/>
      <c r="AY27" s="18"/>
      <c r="AZ27" s="18" t="e">
        <f ca="1">SUMPRODUCT(AZ26,AJ4)</f>
        <v>#NAME?</v>
      </c>
      <c r="BA27" s="18" t="e">
        <f ca="1">AK$14*SQRT(SUMSQ(AN$14:AN18))</f>
        <v>#NAME?</v>
      </c>
      <c r="BB27" s="18" t="e">
        <f t="shared" ca="1" si="27"/>
        <v>#NAME?</v>
      </c>
      <c r="BC27" s="18" t="e">
        <f t="shared" ca="1" si="28"/>
        <v>#NAME?</v>
      </c>
      <c r="BE27" s="10">
        <f t="shared" si="18"/>
        <v>24</v>
      </c>
      <c r="BF27" s="10" t="e">
        <f t="shared" ca="1" si="29"/>
        <v>#NAME?</v>
      </c>
    </row>
    <row r="28" spans="1:58" x14ac:dyDescent="0.3">
      <c r="E28" s="1"/>
      <c r="N28" s="3"/>
      <c r="O28" s="3"/>
      <c r="AA28" s="8"/>
    </row>
    <row r="29" spans="1:58" x14ac:dyDescent="0.3">
      <c r="N29" s="1"/>
      <c r="W29" s="5"/>
      <c r="X29" s="5"/>
      <c r="Y29" s="5"/>
      <c r="AA29" s="5"/>
      <c r="AB29" s="5"/>
      <c r="AC29" s="5"/>
      <c r="AE29" s="5"/>
      <c r="AF29" s="5"/>
      <c r="AG29" s="5"/>
      <c r="AI29" s="5"/>
      <c r="AJ29" s="5"/>
      <c r="AK29" s="5"/>
      <c r="AL29" s="5"/>
      <c r="AM29" s="5"/>
      <c r="AO29" s="5"/>
      <c r="AP29" s="5"/>
      <c r="AQ29" s="5"/>
      <c r="AR29" s="5"/>
      <c r="AS29" s="5"/>
      <c r="AT29" s="5"/>
      <c r="AU29" s="5"/>
      <c r="AW29" s="5"/>
      <c r="AX29" s="5"/>
    </row>
    <row r="30" spans="1:58" x14ac:dyDescent="0.3">
      <c r="N30" s="1"/>
      <c r="AA30" s="8"/>
    </row>
    <row r="31" spans="1:58" x14ac:dyDescent="0.3">
      <c r="N31" s="1"/>
      <c r="AA31" s="8"/>
    </row>
    <row r="32" spans="1:58" x14ac:dyDescent="0.3">
      <c r="N32" s="1"/>
      <c r="AE32" s="5"/>
      <c r="AF32" s="5"/>
      <c r="AG32" s="5"/>
    </row>
    <row r="33" spans="14:33" x14ac:dyDescent="0.3">
      <c r="N33" s="1"/>
    </row>
    <row r="34" spans="14:33" x14ac:dyDescent="0.3">
      <c r="N34" s="1"/>
      <c r="AE34" s="5"/>
      <c r="AF34" s="5"/>
      <c r="AG34" s="5"/>
    </row>
    <row r="35" spans="14:33" x14ac:dyDescent="0.3">
      <c r="N35" s="1"/>
    </row>
    <row r="36" spans="14:33" x14ac:dyDescent="0.3">
      <c r="N36" s="1"/>
      <c r="AE36" s="5"/>
      <c r="AF36" s="5"/>
    </row>
    <row r="37" spans="14:33" x14ac:dyDescent="0.3">
      <c r="N37" s="1"/>
    </row>
    <row r="38" spans="14:33" x14ac:dyDescent="0.3">
      <c r="N38" s="1"/>
      <c r="AE38" s="5"/>
      <c r="AF38" s="5"/>
    </row>
    <row r="39" spans="14:33" x14ac:dyDescent="0.3">
      <c r="N39" s="1"/>
      <c r="AE39" s="5"/>
      <c r="AF39" s="5"/>
    </row>
    <row r="40" spans="14:33" x14ac:dyDescent="0.3">
      <c r="N40" s="1"/>
    </row>
    <row r="41" spans="14:33" x14ac:dyDescent="0.3">
      <c r="N41" s="1"/>
    </row>
    <row r="42" spans="14:33" x14ac:dyDescent="0.3">
      <c r="N42" s="1"/>
    </row>
    <row r="43" spans="14:33" x14ac:dyDescent="0.3">
      <c r="N43" s="1"/>
    </row>
    <row r="44" spans="14:33" x14ac:dyDescent="0.3">
      <c r="N44" s="1"/>
    </row>
    <row r="45" spans="14:33" x14ac:dyDescent="0.3">
      <c r="N45" s="1"/>
    </row>
    <row r="46" spans="14:33" x14ac:dyDescent="0.3">
      <c r="N46" s="1"/>
    </row>
    <row r="47" spans="14:33" x14ac:dyDescent="0.3">
      <c r="N47" s="1"/>
    </row>
    <row r="48" spans="14:33" x14ac:dyDescent="0.3">
      <c r="N48" s="1"/>
    </row>
    <row r="49" spans="1:30" x14ac:dyDescent="0.3">
      <c r="N49" s="1"/>
    </row>
    <row r="50" spans="1:30" x14ac:dyDescent="0.3">
      <c r="N50" s="1"/>
    </row>
    <row r="51" spans="1:30" x14ac:dyDescent="0.3">
      <c r="N51" s="1"/>
    </row>
    <row r="60" spans="1:30" x14ac:dyDescent="0.3">
      <c r="A60" t="s">
        <v>79</v>
      </c>
    </row>
    <row r="61" spans="1:30" ht="15" thickBot="1" x14ac:dyDescent="0.35">
      <c r="A61" s="2" t="s">
        <v>0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9</v>
      </c>
      <c r="I61" s="1"/>
      <c r="J61" s="1"/>
      <c r="K61" s="1"/>
      <c r="L61" s="1"/>
      <c r="M61" s="1"/>
      <c r="N61" s="1" t="s">
        <v>10</v>
      </c>
      <c r="O61" s="1" t="s">
        <v>11</v>
      </c>
      <c r="P61" s="1" t="s">
        <v>12</v>
      </c>
      <c r="Q61" s="1" t="s">
        <v>13</v>
      </c>
      <c r="R61" s="1" t="s">
        <v>14</v>
      </c>
      <c r="S61" s="1" t="s">
        <v>3</v>
      </c>
      <c r="T61" s="1" t="s">
        <v>4</v>
      </c>
      <c r="U61" s="1" t="s">
        <v>5</v>
      </c>
      <c r="V61" s="1" t="s">
        <v>6</v>
      </c>
      <c r="W61" s="1" t="s">
        <v>7</v>
      </c>
      <c r="X61" s="1" t="s">
        <v>8</v>
      </c>
      <c r="Y61" s="1" t="s">
        <v>9</v>
      </c>
      <c r="Z61" s="1" t="s">
        <v>10</v>
      </c>
      <c r="AA61" s="1" t="s">
        <v>11</v>
      </c>
      <c r="AB61" s="1" t="s">
        <v>12</v>
      </c>
      <c r="AC61" s="1" t="s">
        <v>13</v>
      </c>
      <c r="AD61" s="1" t="s">
        <v>14</v>
      </c>
    </row>
    <row r="62" spans="1:30" ht="15.6" thickTop="1" thickBot="1" x14ac:dyDescent="0.35">
      <c r="A62" s="2" t="s">
        <v>2</v>
      </c>
      <c r="B62" s="1">
        <v>967</v>
      </c>
      <c r="C62" s="1">
        <v>795</v>
      </c>
      <c r="D62" s="1">
        <v>820</v>
      </c>
      <c r="E62" s="1">
        <v>672</v>
      </c>
      <c r="F62" s="1">
        <v>722</v>
      </c>
      <c r="G62" s="1">
        <v>820</v>
      </c>
      <c r="H62" s="1">
        <v>1326</v>
      </c>
      <c r="I62" s="1"/>
      <c r="J62" s="1"/>
      <c r="K62" s="1"/>
      <c r="L62" s="1"/>
      <c r="M62" s="1"/>
      <c r="N62" s="1">
        <v>1262</v>
      </c>
      <c r="O62" s="1">
        <v>1126</v>
      </c>
      <c r="P62" s="1">
        <v>814</v>
      </c>
      <c r="Q62" s="1">
        <v>821</v>
      </c>
      <c r="R62" s="1">
        <v>918</v>
      </c>
      <c r="S62" s="1">
        <v>950</v>
      </c>
      <c r="T62" s="1">
        <v>878</v>
      </c>
      <c r="U62" s="1">
        <v>785</v>
      </c>
      <c r="V62" s="1">
        <v>690</v>
      </c>
      <c r="W62" s="1">
        <v>794</v>
      </c>
      <c r="X62" s="1">
        <v>802</v>
      </c>
      <c r="Y62" s="1">
        <v>1445</v>
      </c>
      <c r="Z62" s="1">
        <v>1357</v>
      </c>
      <c r="AA62" s="1">
        <v>1268</v>
      </c>
      <c r="AB62" s="1">
        <v>889</v>
      </c>
      <c r="AC62" s="1">
        <v>830</v>
      </c>
      <c r="AD62" s="1">
        <v>935</v>
      </c>
    </row>
    <row r="63" spans="1:30" ht="15" thickTop="1" x14ac:dyDescent="0.3">
      <c r="A63" t="s">
        <v>80</v>
      </c>
      <c r="B63" t="e">
        <v>#N/A</v>
      </c>
      <c r="C63">
        <f>B62</f>
        <v>967</v>
      </c>
      <c r="D63">
        <f t="shared" ref="D63:AD63" si="30">0.1*C62+0.9*C63</f>
        <v>949.80000000000007</v>
      </c>
      <c r="E63">
        <f t="shared" si="30"/>
        <v>936.82</v>
      </c>
      <c r="F63">
        <f t="shared" si="30"/>
        <v>910.33800000000008</v>
      </c>
      <c r="G63">
        <f t="shared" si="30"/>
        <v>891.50420000000008</v>
      </c>
      <c r="H63">
        <f t="shared" si="30"/>
        <v>884.35378000000014</v>
      </c>
      <c r="N63">
        <f>0.1*H62+0.9*H63</f>
        <v>928.51840200000015</v>
      </c>
      <c r="O63">
        <f t="shared" si="30"/>
        <v>961.86656180000023</v>
      </c>
      <c r="P63">
        <f t="shared" si="30"/>
        <v>978.27990562000025</v>
      </c>
      <c r="Q63">
        <f t="shared" si="30"/>
        <v>961.85191505800026</v>
      </c>
      <c r="R63">
        <f t="shared" si="30"/>
        <v>947.76672355220023</v>
      </c>
      <c r="S63">
        <f t="shared" si="30"/>
        <v>944.79005119698013</v>
      </c>
      <c r="T63">
        <f t="shared" si="30"/>
        <v>945.31104607728219</v>
      </c>
      <c r="U63">
        <f t="shared" si="30"/>
        <v>938.57994146955389</v>
      </c>
      <c r="V63">
        <f t="shared" si="30"/>
        <v>923.22194732259857</v>
      </c>
      <c r="W63">
        <f t="shared" si="30"/>
        <v>899.89975259033872</v>
      </c>
      <c r="X63">
        <f t="shared" si="30"/>
        <v>889.30977733130487</v>
      </c>
      <c r="Y63">
        <f t="shared" si="30"/>
        <v>880.57879959817444</v>
      </c>
      <c r="Z63">
        <f t="shared" si="30"/>
        <v>937.02091963835699</v>
      </c>
      <c r="AA63">
        <f t="shared" si="30"/>
        <v>979.01882767452139</v>
      </c>
      <c r="AB63">
        <f t="shared" si="30"/>
        <v>1007.9169449070694</v>
      </c>
      <c r="AC63">
        <f t="shared" si="30"/>
        <v>996.02525041636238</v>
      </c>
      <c r="AD63">
        <f t="shared" si="30"/>
        <v>979.42272537472616</v>
      </c>
    </row>
    <row r="64" spans="1:30" x14ac:dyDescent="0.3">
      <c r="A64" t="s">
        <v>81</v>
      </c>
      <c r="B64" t="e">
        <v>#N/A</v>
      </c>
      <c r="C64">
        <f>B62</f>
        <v>967</v>
      </c>
      <c r="D64">
        <f t="shared" ref="D64:AD64" si="31">0.2*C62+0.8*C64</f>
        <v>932.6</v>
      </c>
      <c r="E64">
        <f>0.2*D62+0.8*D64</f>
        <v>910.08</v>
      </c>
      <c r="F64">
        <f t="shared" si="31"/>
        <v>862.46400000000006</v>
      </c>
      <c r="G64">
        <f t="shared" si="31"/>
        <v>834.37120000000004</v>
      </c>
      <c r="H64">
        <f t="shared" si="31"/>
        <v>831.49696000000006</v>
      </c>
      <c r="N64">
        <f>0.2*H62+0.8*H64</f>
        <v>930.39756800000009</v>
      </c>
      <c r="O64">
        <f t="shared" si="31"/>
        <v>996.71805440000014</v>
      </c>
      <c r="P64">
        <f t="shared" si="31"/>
        <v>1022.5744435200002</v>
      </c>
      <c r="Q64">
        <f t="shared" si="31"/>
        <v>980.85955481600013</v>
      </c>
      <c r="R64">
        <f t="shared" si="31"/>
        <v>948.88764385280024</v>
      </c>
      <c r="S64">
        <f t="shared" si="31"/>
        <v>942.71011508224024</v>
      </c>
      <c r="T64">
        <f t="shared" si="31"/>
        <v>944.16809206579228</v>
      </c>
      <c r="U64">
        <f t="shared" si="31"/>
        <v>930.93447365263387</v>
      </c>
      <c r="V64">
        <f t="shared" si="31"/>
        <v>901.7475789221071</v>
      </c>
      <c r="W64">
        <f t="shared" si="31"/>
        <v>859.39806313768577</v>
      </c>
      <c r="X64">
        <f t="shared" si="31"/>
        <v>846.31845051014875</v>
      </c>
      <c r="Y64">
        <f t="shared" si="31"/>
        <v>837.454760408119</v>
      </c>
      <c r="Z64">
        <f t="shared" si="31"/>
        <v>958.96380832649527</v>
      </c>
      <c r="AA64">
        <f t="shared" si="31"/>
        <v>1038.5710466611963</v>
      </c>
      <c r="AB64">
        <f t="shared" si="31"/>
        <v>1084.4568373289571</v>
      </c>
      <c r="AC64">
        <f t="shared" si="31"/>
        <v>1045.3654698631658</v>
      </c>
      <c r="AD64">
        <f t="shared" si="31"/>
        <v>1002.2923758905326</v>
      </c>
    </row>
    <row r="65" spans="1:30" x14ac:dyDescent="0.3">
      <c r="A65" t="s">
        <v>82</v>
      </c>
      <c r="B65" t="e">
        <v>#N/A</v>
      </c>
      <c r="C65">
        <f>B62</f>
        <v>967</v>
      </c>
      <c r="D65">
        <f t="shared" ref="D65:AD65" si="32">0.3*C62+0.7*C65</f>
        <v>915.4</v>
      </c>
      <c r="E65">
        <f t="shared" si="32"/>
        <v>886.78</v>
      </c>
      <c r="F65">
        <f t="shared" si="32"/>
        <v>822.346</v>
      </c>
      <c r="G65">
        <f t="shared" si="32"/>
        <v>792.24220000000003</v>
      </c>
      <c r="H65">
        <f t="shared" si="32"/>
        <v>800.56953999999996</v>
      </c>
      <c r="N65">
        <f>0.3*H62+0.7*H65</f>
        <v>958.19867799999997</v>
      </c>
      <c r="O65">
        <f t="shared" si="32"/>
        <v>1049.3390746</v>
      </c>
      <c r="P65">
        <f t="shared" si="32"/>
        <v>1072.33735222</v>
      </c>
      <c r="Q65">
        <f t="shared" si="32"/>
        <v>994.83614655399992</v>
      </c>
      <c r="R65">
        <f t="shared" si="32"/>
        <v>942.68530258779981</v>
      </c>
      <c r="S65">
        <f t="shared" si="32"/>
        <v>935.27971181145983</v>
      </c>
      <c r="T65">
        <f t="shared" si="32"/>
        <v>939.6957982680218</v>
      </c>
      <c r="U65">
        <f t="shared" si="32"/>
        <v>921.18705878761523</v>
      </c>
      <c r="V65">
        <f t="shared" si="32"/>
        <v>880.33094115133065</v>
      </c>
      <c r="W65">
        <f t="shared" si="32"/>
        <v>823.23165880593137</v>
      </c>
      <c r="X65">
        <f t="shared" si="32"/>
        <v>814.46216116415189</v>
      </c>
      <c r="Y65">
        <f t="shared" si="32"/>
        <v>810.72351281490626</v>
      </c>
      <c r="Z65">
        <f t="shared" si="32"/>
        <v>1001.0064589704343</v>
      </c>
      <c r="AA65">
        <f t="shared" si="32"/>
        <v>1107.804521279304</v>
      </c>
      <c r="AB65">
        <f t="shared" si="32"/>
        <v>1155.8631648955129</v>
      </c>
      <c r="AC65">
        <f t="shared" si="32"/>
        <v>1075.8042154268589</v>
      </c>
      <c r="AD65">
        <f t="shared" si="32"/>
        <v>1002.0629507988012</v>
      </c>
    </row>
    <row r="66" spans="1:30" x14ac:dyDescent="0.3">
      <c r="A66" t="s">
        <v>83</v>
      </c>
      <c r="B66" t="e">
        <v>#N/A</v>
      </c>
      <c r="C66">
        <f>B62</f>
        <v>967</v>
      </c>
      <c r="D66">
        <f t="shared" ref="D66:AD66" si="33">0.5*C62+0.5*C66</f>
        <v>881</v>
      </c>
      <c r="E66">
        <f t="shared" si="33"/>
        <v>850.5</v>
      </c>
      <c r="F66">
        <f t="shared" si="33"/>
        <v>761.25</v>
      </c>
      <c r="G66">
        <f t="shared" si="33"/>
        <v>741.625</v>
      </c>
      <c r="H66">
        <f t="shared" si="33"/>
        <v>780.8125</v>
      </c>
      <c r="N66">
        <f>0.5*H62+0.5*H66</f>
        <v>1053.40625</v>
      </c>
      <c r="O66">
        <f t="shared" si="33"/>
        <v>1157.703125</v>
      </c>
      <c r="P66">
        <f t="shared" si="33"/>
        <v>1141.8515625</v>
      </c>
      <c r="Q66">
        <f t="shared" si="33"/>
        <v>977.92578125</v>
      </c>
      <c r="R66">
        <f t="shared" si="33"/>
        <v>899.462890625</v>
      </c>
      <c r="S66">
        <f t="shared" si="33"/>
        <v>908.7314453125</v>
      </c>
      <c r="T66">
        <f t="shared" si="33"/>
        <v>929.36572265625</v>
      </c>
      <c r="U66">
        <f t="shared" si="33"/>
        <v>903.682861328125</v>
      </c>
      <c r="V66">
        <f t="shared" si="33"/>
        <v>844.3414306640625</v>
      </c>
      <c r="W66">
        <f t="shared" si="33"/>
        <v>767.17071533203125</v>
      </c>
      <c r="X66">
        <f t="shared" si="33"/>
        <v>780.58535766601563</v>
      </c>
      <c r="Y66">
        <f t="shared" si="33"/>
        <v>791.29267883300781</v>
      </c>
      <c r="Z66">
        <f t="shared" si="33"/>
        <v>1118.1463394165039</v>
      </c>
      <c r="AA66">
        <f t="shared" si="33"/>
        <v>1237.573169708252</v>
      </c>
      <c r="AB66">
        <f t="shared" si="33"/>
        <v>1252.786584854126</v>
      </c>
      <c r="AC66">
        <f t="shared" si="33"/>
        <v>1070.893292427063</v>
      </c>
      <c r="AD66">
        <f t="shared" si="33"/>
        <v>950.44664621353149</v>
      </c>
    </row>
    <row r="67" spans="1:30" x14ac:dyDescent="0.3">
      <c r="A67" t="s">
        <v>89</v>
      </c>
      <c r="C67">
        <f>ABS((C62-C63)/C62)</f>
        <v>0.21635220125786164</v>
      </c>
      <c r="D67">
        <f>ABS((D62-D63)/D62)</f>
        <v>0.15829268292682935</v>
      </c>
      <c r="E67">
        <f t="shared" ref="E67:AD67" si="34">ABS((E62-E63)/E62)</f>
        <v>0.39407738095238104</v>
      </c>
      <c r="F67">
        <f t="shared" si="34"/>
        <v>0.26085595567867048</v>
      </c>
      <c r="G67">
        <f t="shared" si="34"/>
        <v>8.720024390243912E-2</v>
      </c>
      <c r="H67">
        <f t="shared" si="34"/>
        <v>0.33306653092006022</v>
      </c>
      <c r="N67">
        <f t="shared" si="34"/>
        <v>0.26424849286846264</v>
      </c>
      <c r="O67">
        <f t="shared" si="34"/>
        <v>0.1457668190053284</v>
      </c>
      <c r="P67">
        <f t="shared" si="34"/>
        <v>0.20181806587223619</v>
      </c>
      <c r="Q67">
        <f t="shared" si="34"/>
        <v>0.17156140689159594</v>
      </c>
      <c r="R67">
        <f t="shared" si="34"/>
        <v>3.2425624784531842E-2</v>
      </c>
      <c r="S67">
        <f t="shared" si="34"/>
        <v>5.4841566347577581E-3</v>
      </c>
      <c r="T67">
        <f t="shared" si="34"/>
        <v>7.6664061591437571E-2</v>
      </c>
      <c r="U67">
        <f t="shared" si="34"/>
        <v>0.19564323754083299</v>
      </c>
      <c r="V67">
        <f t="shared" si="34"/>
        <v>0.33800282220666461</v>
      </c>
      <c r="W67">
        <f t="shared" si="34"/>
        <v>0.13337500326239132</v>
      </c>
      <c r="X67">
        <f t="shared" si="34"/>
        <v>0.10886505901658962</v>
      </c>
      <c r="Y67">
        <f t="shared" si="34"/>
        <v>0.39060290685247445</v>
      </c>
      <c r="Z67">
        <f t="shared" si="34"/>
        <v>0.30949084772412899</v>
      </c>
      <c r="AA67">
        <f t="shared" si="34"/>
        <v>0.22790313274880017</v>
      </c>
      <c r="AB67">
        <f t="shared" si="34"/>
        <v>0.13376484241515113</v>
      </c>
      <c r="AC67">
        <f t="shared" si="34"/>
        <v>0.2000304221883884</v>
      </c>
      <c r="AD67">
        <f t="shared" si="34"/>
        <v>4.751093622965364E-2</v>
      </c>
    </row>
    <row r="68" spans="1:30" ht="18" x14ac:dyDescent="0.35">
      <c r="A68" t="s">
        <v>90</v>
      </c>
      <c r="C68">
        <f>SUM(C67:AD67)</f>
        <v>4.4330028334716669</v>
      </c>
      <c r="E68" t="s">
        <v>91</v>
      </c>
      <c r="F68">
        <f>COUNT(C67:AD67)</f>
        <v>23</v>
      </c>
      <c r="H68" s="21" t="s">
        <v>92</v>
      </c>
      <c r="I68" s="21"/>
      <c r="J68" s="21"/>
      <c r="K68" s="21"/>
      <c r="L68" s="21"/>
      <c r="M68" s="21"/>
      <c r="N68" s="21">
        <f>C68/F68</f>
        <v>0.19273925362920291</v>
      </c>
    </row>
    <row r="74" spans="1:30" x14ac:dyDescent="0.3">
      <c r="O74" s="1"/>
      <c r="P74" s="1"/>
    </row>
    <row r="75" spans="1:30" x14ac:dyDescent="0.3">
      <c r="O75" s="1"/>
      <c r="P7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Gas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Đăng Khoa</dc:creator>
  <cp:lastModifiedBy>Nguyễn Trần Gia Kiệt</cp:lastModifiedBy>
  <dcterms:created xsi:type="dcterms:W3CDTF">2024-04-29T03:35:08Z</dcterms:created>
  <dcterms:modified xsi:type="dcterms:W3CDTF">2024-05-04T04:41:13Z</dcterms:modified>
</cp:coreProperties>
</file>