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G:\ORA\ACTIVITIES\Business Group Support\Financial Difficulty Model\"/>
    </mc:Choice>
  </mc:AlternateContent>
  <xr:revisionPtr revIDLastSave="0" documentId="13_ncr:1_{1DC4C0EE-521F-4854-9B26-EC08DB8F7227}" xr6:coauthVersionLast="44" xr6:coauthVersionMax="44" xr10:uidLastSave="{00000000-0000-0000-0000-000000000000}"/>
  <workbookProtection workbookAlgorithmName="SHA-512" workbookHashValue="SpfBa3iGMKSMkDyz9KeGkdnDRS60QzCWIMd/cqpTNKjzOPOIvCMblLDWLFrJPCHUdRXPKWAbDK/tG3X0t7fr4g==" workbookSaltValue="95QdveWtJRzO3fWpKdTPrw==" workbookSpinCount="100000" lockStructure="1"/>
  <bookViews>
    <workbookView xWindow="28680" yWindow="-120" windowWidth="29040" windowHeight="15840" firstSheet="2" activeTab="2" xr2:uid="{DC3990BC-DFCC-49F3-820B-2EE888423175}"/>
  </bookViews>
  <sheets>
    <sheet name="Welcome" sheetId="6" state="veryHidden" r:id="rId1"/>
    <sheet name="Documentation" sheetId="5" state="veryHidden" r:id="rId2"/>
    <sheet name="SME Wizard" sheetId="7" r:id="rId3"/>
    <sheet name="Financial Difficulty Tests" sheetId="2" r:id="rId4"/>
    <sheet name="Calculations" sheetId="4" state="veryHidden" r:id="rId5"/>
    <sheet name="DDL" sheetId="3" state="veryHidden" r:id="rId6"/>
  </sheets>
  <definedNames>
    <definedName name="Calc_3YrInc">'Financial Difficulty Tests'!$D$12</definedName>
    <definedName name="Calc_DebtRatio1">'Financial Difficulty Tests'!$C$31</definedName>
    <definedName name="Calc_DebtRatio1_Parent">'Financial Difficulty Tests'!$G$31</definedName>
    <definedName name="Calc_DebtRatio2">'Financial Difficulty Tests'!$D$31</definedName>
    <definedName name="Calc_DebtRatio2_Parent">'Financial Difficulty Tests'!$H$31</definedName>
    <definedName name="Calc_DebtTest">'Financial Difficulty Tests'!$C$35</definedName>
    <definedName name="Calc_DebtTest_Parent">'Financial Difficulty Tests'!$G$35</definedName>
    <definedName name="Calc_EBITDARatio1">'Financial Difficulty Tests'!$C$30</definedName>
    <definedName name="Calc_EBITDARatio1_Parent">'Financial Difficulty Tests'!$G$30</definedName>
    <definedName name="Calc_EBITDARatio2">'Financial Difficulty Tests'!$D$30</definedName>
    <definedName name="Calc_EBITDARatio2_Parent">'Financial Difficulty Tests'!$H$30</definedName>
    <definedName name="Calc_EBITDATest">'Financial Difficulty Tests'!$C$34</definedName>
    <definedName name="Calc_EBITDATest_Parent">'Financial Difficulty Tests'!$G$34</definedName>
    <definedName name="Calc_FundsRatio">'Financial Difficulty Tests'!$C$18</definedName>
    <definedName name="Calc_FundsRatio_Parent">'Financial Difficulty Tests'!$G$18</definedName>
    <definedName name="Calc_LossResNeg">'Financial Difficulty Tests'!$D$14</definedName>
    <definedName name="Calc_ShareholderFunds">'Financial Difficulty Tests'!$C$19</definedName>
    <definedName name="Calc_ShareholderFunds_Parent">'Financial Difficulty Tests'!$G$19</definedName>
    <definedName name="Calc_SMEStatus">Calculations!$D$60</definedName>
    <definedName name="Calc_SMEStatus_Parent">Calculations!$D$48</definedName>
    <definedName name="Calc_SMEType">Calculations!$D$61</definedName>
    <definedName name="Calc_SMEType_Parent">Calculations!$D$49</definedName>
    <definedName name="In_3YrInc">'Financial Difficulty Tests'!$C$12</definedName>
    <definedName name="In_3YrInc_Parent">'Financial Difficulty Tests'!$G$12</definedName>
    <definedName name="In_Capital">'Financial Difficulty Tests'!$C$16</definedName>
    <definedName name="In_Capital_Parent">'Financial Difficulty Tests'!$G$16</definedName>
    <definedName name="In_Date1">'Financial Difficulty Tests'!$C$24</definedName>
    <definedName name="In_Date1_Parent">'Financial Difficulty Tests'!$G$24</definedName>
    <definedName name="In_Date2">'Financial Difficulty Tests'!$D$24</definedName>
    <definedName name="In_Date2_Parent">'Financial Difficulty Tests'!$H$24</definedName>
    <definedName name="In_Debt1">'Financial Difficulty Tests'!$C$27</definedName>
    <definedName name="In_Debt1_Parent">'Financial Difficulty Tests'!$G$27</definedName>
    <definedName name="In_Debt2">'Financial Difficulty Tests'!$D$27</definedName>
    <definedName name="In_Debt2_Parent">'Financial Difficulty Tests'!$H$27</definedName>
    <definedName name="In_EBITDA1">'Financial Difficulty Tests'!$C$25</definedName>
    <definedName name="In_EBITDA1_Parent">'Financial Difficulty Tests'!$G$25</definedName>
    <definedName name="In_EBITDA2">'Financial Difficulty Tests'!$D$25</definedName>
    <definedName name="In_EBITDA2_Parent">'Financial Difficulty Tests'!$H$25</definedName>
    <definedName name="In_Employees">'SME Wizard'!$C$10</definedName>
    <definedName name="In_Employees_Parent">'SME Wizard'!$L$10</definedName>
    <definedName name="In_Funds1">'Financial Difficulty Tests'!$C$28</definedName>
    <definedName name="In_Funds1_Parent">'Financial Difficulty Tests'!$G$28</definedName>
    <definedName name="In_Funds2">'Financial Difficulty Tests'!$D$28</definedName>
    <definedName name="In_Funds2_Parent">'Financial Difficulty Tests'!$H$28</definedName>
    <definedName name="In_FXDate">'SME Wizard'!$C$7</definedName>
    <definedName name="In_FXDate_Parent">'SME Wizard'!$L$7</definedName>
    <definedName name="In_FXSpot">'SME Wizard'!$C$6</definedName>
    <definedName name="In_FXSpot_Parent">'SME Wizard'!$L$6</definedName>
    <definedName name="In_GrossAssets">'SME Wizard'!$C$12</definedName>
    <definedName name="In_GrossAssets_Parent">'SME Wizard'!$L$12</definedName>
    <definedName name="In_Interest1">'Financial Difficulty Tests'!$C$26</definedName>
    <definedName name="In_Interest1_Parent">'Financial Difficulty Tests'!$G$26</definedName>
    <definedName name="In_Interest2">'Financial Difficulty Tests'!$D$26</definedName>
    <definedName name="In_Interest2_Parent">'Financial Difficulty Tests'!$H$26</definedName>
    <definedName name="In_LossResNeg">'Financial Difficulty Tests'!$C$14</definedName>
    <definedName name="In_LossResNeg_Parent">'Financial Difficulty Tests'!$G$14</definedName>
    <definedName name="In_ObligorName">'SME Wizard'!$C$4</definedName>
    <definedName name="In_ObligorSME">'Financial Difficulty Tests'!$C$6</definedName>
    <definedName name="In_ObligorSME_Parent">'Financial Difficulty Tests'!$C$7</definedName>
    <definedName name="In_ObligorSub">'Financial Difficulty Tests'!$C$5</definedName>
    <definedName name="In_Profit">'Financial Difficulty Tests'!$C$17</definedName>
    <definedName name="In_Profit_Parent">'Financial Difficulty Tests'!$G$17</definedName>
    <definedName name="In_SMECurrency">'SME Wizard'!$C$5</definedName>
    <definedName name="In_SMECurrency_Parent">'SME Wizard'!$L$5</definedName>
    <definedName name="In_Turnover">'SME Wizard'!$C$11</definedName>
    <definedName name="In_Turnover_Parent">'SME Wizard'!$L$11</definedName>
    <definedName name="Lkp_Currency">DDL!$B$1:$B$4</definedName>
    <definedName name="Lkp_VersionNumber">Welcome!$C$11</definedName>
    <definedName name="Lkp_YesNo">DDL!$A$1:$A$2</definedName>
    <definedName name="Msg">Calculations!$I$15</definedName>
    <definedName name="Msg_Parent">Calculations!$I$29</definedName>
    <definedName name="Msg_SMEWiz">Calculations!$H$58</definedName>
    <definedName name="Msg_SMEWiz_Parent">Calculations!$H$46</definedName>
    <definedName name="PassFail">Calculations!$D$33</definedName>
    <definedName name="PassFail_Overall">Calculations!$D$35</definedName>
    <definedName name="PassFail_Parent">Calculations!$D$34</definedName>
    <definedName name="_xlnm.Print_Area" localSheetId="3">'Financial Difficulty Tests'!$A$1:$I$38</definedName>
    <definedName name="_xlnm.Print_Area" localSheetId="2">'SME Wizard'!$A$1:$S$23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0" i="7" l="1"/>
  <c r="H2" i="2"/>
  <c r="B12" i="2"/>
  <c r="B9" i="2"/>
  <c r="K11" i="7" l="1"/>
  <c r="B11" i="7"/>
  <c r="F21" i="4" l="1"/>
  <c r="F20" i="4"/>
  <c r="F7" i="4"/>
  <c r="F6" i="4"/>
  <c r="D57" i="4" l="1"/>
  <c r="E57" i="4" s="1"/>
  <c r="D56" i="4"/>
  <c r="E56" i="4" s="1"/>
  <c r="D45" i="4" l="1"/>
  <c r="E45" i="4" s="1"/>
  <c r="D44" i="4" l="1"/>
  <c r="E44" i="4" s="1"/>
  <c r="D43" i="4"/>
  <c r="D42" i="4"/>
  <c r="D41" i="4"/>
  <c r="D40" i="4"/>
  <c r="K12" i="7"/>
  <c r="E41" i="4" l="1"/>
  <c r="G41" i="4"/>
  <c r="E42" i="4"/>
  <c r="G42" i="4" s="1"/>
  <c r="E40" i="4"/>
  <c r="G40" i="4" s="1"/>
  <c r="F44" i="4"/>
  <c r="F45" i="4"/>
  <c r="E43" i="4"/>
  <c r="F43" i="4" s="1"/>
  <c r="C4" i="2"/>
  <c r="G43" i="4" l="1"/>
  <c r="D39" i="4"/>
  <c r="D51" i="4"/>
  <c r="G51" i="4" l="1"/>
  <c r="H51" i="4" s="1"/>
  <c r="G39" i="4"/>
  <c r="H39" i="4" s="1"/>
  <c r="B12" i="7"/>
  <c r="D55" i="4"/>
  <c r="D54" i="4"/>
  <c r="D53" i="4"/>
  <c r="D52" i="4"/>
  <c r="F57" i="4" l="1"/>
  <c r="G57" i="4" s="1"/>
  <c r="F56" i="4"/>
  <c r="E52" i="4"/>
  <c r="G52" i="4" s="1"/>
  <c r="E55" i="4"/>
  <c r="F55" i="4" s="1"/>
  <c r="E53" i="4"/>
  <c r="G53" i="4" s="1"/>
  <c r="E54" i="4"/>
  <c r="G54" i="4" s="1"/>
  <c r="D58" i="4"/>
  <c r="H52" i="4" l="1"/>
  <c r="H53" i="4" s="1"/>
  <c r="H54" i="4" s="1"/>
  <c r="G55" i="4"/>
  <c r="D60" i="4"/>
  <c r="D61" i="4" s="1"/>
  <c r="G56" i="4"/>
  <c r="E58" i="4"/>
  <c r="D8" i="4"/>
  <c r="D7" i="4"/>
  <c r="H55" i="4" l="1"/>
  <c r="H56" i="4" s="1"/>
  <c r="H57" i="4" s="1"/>
  <c r="E8" i="4"/>
  <c r="C20" i="7"/>
  <c r="F58" i="4"/>
  <c r="G58" i="4" s="1"/>
  <c r="D22" i="4"/>
  <c r="D21" i="4"/>
  <c r="D19" i="4"/>
  <c r="D23" i="4"/>
  <c r="D27" i="4"/>
  <c r="D26" i="4"/>
  <c r="D25" i="4"/>
  <c r="D24" i="4"/>
  <c r="D13" i="4"/>
  <c r="D12" i="4"/>
  <c r="D11" i="4"/>
  <c r="D10" i="4"/>
  <c r="D9" i="4"/>
  <c r="E26" i="4" l="1"/>
  <c r="E12" i="4"/>
  <c r="E22" i="4"/>
  <c r="H58" i="4"/>
  <c r="E4" i="7" s="1"/>
  <c r="D14" i="4"/>
  <c r="F5" i="4"/>
  <c r="F19" i="4"/>
  <c r="G19" i="4" l="1"/>
  <c r="D46" i="4" l="1"/>
  <c r="H40" i="4"/>
  <c r="C34" i="4"/>
  <c r="G45" i="4" l="1"/>
  <c r="E46" i="4"/>
  <c r="C33" i="4"/>
  <c r="D3" i="4"/>
  <c r="H3" i="4" l="1"/>
  <c r="G44" i="4"/>
  <c r="D48" i="4"/>
  <c r="F46" i="4"/>
  <c r="G46" i="4" s="1"/>
  <c r="H41" i="4"/>
  <c r="D20" i="4"/>
  <c r="D49" i="4" l="1"/>
  <c r="L20" i="7" s="1"/>
  <c r="E20" i="4"/>
  <c r="H42" i="4"/>
  <c r="H43" i="4" s="1"/>
  <c r="H44" i="4" s="1"/>
  <c r="H45" i="4" s="1"/>
  <c r="D6" i="4"/>
  <c r="D4" i="4"/>
  <c r="D5" i="4"/>
  <c r="E4" i="4" l="1"/>
  <c r="H46" i="4"/>
  <c r="N4" i="7" s="1"/>
  <c r="E5" i="4"/>
  <c r="E6" i="4"/>
  <c r="I3" i="4"/>
  <c r="G6" i="4" l="1"/>
  <c r="E19" i="4"/>
  <c r="H5" i="4"/>
  <c r="H4" i="4"/>
  <c r="I4" i="4" s="1"/>
  <c r="E21" i="4"/>
  <c r="E7" i="4"/>
  <c r="G7" i="4" l="1"/>
  <c r="H6" i="4"/>
  <c r="G20" i="4"/>
  <c r="H19" i="4"/>
  <c r="I5" i="4"/>
  <c r="H7" i="4" l="1"/>
  <c r="G21" i="4"/>
  <c r="H20" i="4"/>
  <c r="G8" i="4"/>
  <c r="C18" i="2" l="1"/>
  <c r="C19" i="2" s="1"/>
  <c r="I19" i="4"/>
  <c r="F8" i="4" l="1"/>
  <c r="I20" i="4"/>
  <c r="G22" i="4"/>
  <c r="H22" i="4" s="1"/>
  <c r="G18" i="2" l="1"/>
  <c r="G9" i="4"/>
  <c r="E9" i="4"/>
  <c r="G10" i="4" l="1"/>
  <c r="H8" i="4"/>
  <c r="D30" i="2"/>
  <c r="C30" i="2"/>
  <c r="G19" i="2"/>
  <c r="F22" i="4"/>
  <c r="G23" i="4" s="1"/>
  <c r="H9" i="4"/>
  <c r="F9" i="4"/>
  <c r="C34" i="2" l="1"/>
  <c r="G24" i="4"/>
  <c r="E23" i="4"/>
  <c r="E24" i="4"/>
  <c r="I6" i="4"/>
  <c r="E25" i="4"/>
  <c r="E27" i="4"/>
  <c r="H30" i="2" l="1"/>
  <c r="G30" i="2"/>
  <c r="F23" i="4"/>
  <c r="D28" i="4"/>
  <c r="E28" i="4"/>
  <c r="I7" i="4"/>
  <c r="I8" i="4" s="1"/>
  <c r="I9" i="4" s="1"/>
  <c r="H23" i="4"/>
  <c r="G34" i="2" l="1"/>
  <c r="H21" i="4"/>
  <c r="I21" i="4" s="1"/>
  <c r="I22" i="4" s="1"/>
  <c r="I23" i="4" s="1"/>
  <c r="F24" i="4"/>
  <c r="F25" i="4"/>
  <c r="H24" i="4"/>
  <c r="G25" i="4"/>
  <c r="G26" i="4" s="1"/>
  <c r="G27" i="4" l="1"/>
  <c r="H26" i="4"/>
  <c r="I24" i="4"/>
  <c r="H25" i="4"/>
  <c r="E13" i="4"/>
  <c r="E11" i="4"/>
  <c r="E10" i="4"/>
  <c r="F11" i="4" l="1"/>
  <c r="F10" i="4"/>
  <c r="G28" i="4"/>
  <c r="H31" i="2"/>
  <c r="G31" i="2"/>
  <c r="H27" i="4"/>
  <c r="I25" i="4"/>
  <c r="I26" i="4" s="1"/>
  <c r="E14" i="4"/>
  <c r="G11" i="4"/>
  <c r="G35" i="2" l="1"/>
  <c r="F26" i="4"/>
  <c r="F27" i="4"/>
  <c r="I27" i="4"/>
  <c r="H11" i="4"/>
  <c r="H10" i="4"/>
  <c r="I10" i="4" s="1"/>
  <c r="G12" i="4"/>
  <c r="H12" i="4" s="1"/>
  <c r="F28" i="4" l="1"/>
  <c r="I11" i="4"/>
  <c r="G13" i="4"/>
  <c r="D34" i="4" l="1"/>
  <c r="H28" i="4"/>
  <c r="I28" i="4" s="1"/>
  <c r="C31" i="2"/>
  <c r="D31" i="2"/>
  <c r="H13" i="4"/>
  <c r="G14" i="4"/>
  <c r="H14" i="4" s="1"/>
  <c r="C35" i="2" l="1"/>
  <c r="F13" i="4"/>
  <c r="F12" i="4"/>
  <c r="I12" i="4"/>
  <c r="I13" i="4" s="1"/>
  <c r="F14" i="4" l="1"/>
  <c r="D33" i="4" l="1"/>
  <c r="I14" i="4"/>
  <c r="I15" i="4" l="1"/>
  <c r="I29" i="4"/>
  <c r="D35" i="4"/>
  <c r="C2" i="2" s="1"/>
  <c r="F36" i="2" l="1"/>
  <c r="B36" i="2"/>
  <c r="F20" i="2"/>
  <c r="F13" i="2"/>
  <c r="F15" i="2"/>
  <c r="B20" i="2"/>
  <c r="B13" i="2"/>
  <c r="B15" i="2"/>
  <c r="F5" i="2"/>
</calcChain>
</file>

<file path=xl/sharedStrings.xml><?xml version="1.0" encoding="utf-8"?>
<sst xmlns="http://schemas.openxmlformats.org/spreadsheetml/2006/main" count="566" uniqueCount="440">
  <si>
    <t xml:space="preserve">Result </t>
  </si>
  <si>
    <t>Description</t>
  </si>
  <si>
    <t>EBITDA</t>
  </si>
  <si>
    <t>ADDITIONAL NON-SME TESTS</t>
  </si>
  <si>
    <t>Yes</t>
  </si>
  <si>
    <t>No</t>
  </si>
  <si>
    <t>Input</t>
  </si>
  <si>
    <t>Name</t>
  </si>
  <si>
    <t>Question 1</t>
  </si>
  <si>
    <t>Question 2</t>
  </si>
  <si>
    <t>Question 3</t>
  </si>
  <si>
    <t>Obligor SME</t>
  </si>
  <si>
    <t>Obligor Subsidiary</t>
  </si>
  <si>
    <t>Question Completed?</t>
  </si>
  <si>
    <t>Test Passed?</t>
  </si>
  <si>
    <t>Show Question</t>
  </si>
  <si>
    <t>Non-SME Questions</t>
  </si>
  <si>
    <t>Message</t>
  </si>
  <si>
    <t>Cumulative Message</t>
  </si>
  <si>
    <t>Non-SME Tests</t>
  </si>
  <si>
    <t>Pass/Fail Status</t>
  </si>
  <si>
    <t>Current Status</t>
  </si>
  <si>
    <t>Total</t>
  </si>
  <si>
    <t>Overall Result</t>
  </si>
  <si>
    <t>Instructions</t>
  </si>
  <si>
    <t>Technical Documentation</t>
  </si>
  <si>
    <t>Excel Calculations</t>
  </si>
  <si>
    <t>Cells</t>
  </si>
  <si>
    <t>Worksheets</t>
  </si>
  <si>
    <t>Calculation</t>
  </si>
  <si>
    <t>Purpose</t>
  </si>
  <si>
    <t>Location</t>
  </si>
  <si>
    <t>Named Ranges</t>
  </si>
  <si>
    <t>Range</t>
  </si>
  <si>
    <t>Lkp_YesNo</t>
  </si>
  <si>
    <t>=IF(PassFail_Overall&lt;&gt;"Incomplete","Overall result: "&amp;PassFail_Overall,"")</t>
  </si>
  <si>
    <t>C2</t>
  </si>
  <si>
    <t>Returns the overall pass/fail result based on the inputs.</t>
  </si>
  <si>
    <t>Returns a pass message at parent/sub level (if applicable) if the first question is passed.</t>
  </si>
  <si>
    <t>Returns a pass message at parent/sub level (if applicable) if the second question is passed.</t>
  </si>
  <si>
    <t>Returns a pass/fail message based on the Funds ratio, and whether or not the entity is an SME. Will also stay blank if additional answers are needed.</t>
  </si>
  <si>
    <t>Calculations</t>
  </si>
  <si>
    <t>=IF(In_ObligorName="",FALSE,TRUE)</t>
  </si>
  <si>
    <t>Indicates if input fields have been completed.</t>
  </si>
  <si>
    <t>Calc_3YrInc</t>
  </si>
  <si>
    <t>Calc_DebtRatio1</t>
  </si>
  <si>
    <t>Calc_DebtRatio2</t>
  </si>
  <si>
    <t>Calc_DebtTest</t>
  </si>
  <si>
    <t>Calc_EBITDARatio1</t>
  </si>
  <si>
    <t>Calc_EBITDARatio2</t>
  </si>
  <si>
    <t>Calc_EBITDATest</t>
  </si>
  <si>
    <t>Calc_FundsRatio</t>
  </si>
  <si>
    <t>Calc_LossResNeg</t>
  </si>
  <si>
    <t>Calc_ShareholderFunds</t>
  </si>
  <si>
    <t>In_3YrInc</t>
  </si>
  <si>
    <t>In_Capital</t>
  </si>
  <si>
    <t>In_Date1</t>
  </si>
  <si>
    <t>In_Date2</t>
  </si>
  <si>
    <t>In_Debt1</t>
  </si>
  <si>
    <t>In_Debt2</t>
  </si>
  <si>
    <t>In_EBITDA1</t>
  </si>
  <si>
    <t>In_EBITDA2</t>
  </si>
  <si>
    <t>In_Funds1</t>
  </si>
  <si>
    <t>In_Funds2</t>
  </si>
  <si>
    <t>In_Interest1</t>
  </si>
  <si>
    <t>In_Interest2</t>
  </si>
  <si>
    <t>In_LossResNeg</t>
  </si>
  <si>
    <t>In_ObligorName</t>
  </si>
  <si>
    <t>In_ObligorSME</t>
  </si>
  <si>
    <t>In_ObligorSub</t>
  </si>
  <si>
    <t>In_Profit</t>
  </si>
  <si>
    <t>=DDL!$A$1:$A$2</t>
  </si>
  <si>
    <t>Msg_Parent</t>
  </si>
  <si>
    <t>PassFail_Overall</t>
  </si>
  <si>
    <t>PassFail_Parent</t>
  </si>
  <si>
    <t>Application</t>
  </si>
  <si>
    <t xml:space="preserve">   Name</t>
  </si>
  <si>
    <t>Location and filename</t>
  </si>
  <si>
    <t>Owner</t>
  </si>
  <si>
    <t>Developer</t>
  </si>
  <si>
    <t>Shadowed owner</t>
  </si>
  <si>
    <t>Version numbering structure</t>
  </si>
  <si>
    <t>v.0.0.0</t>
  </si>
  <si>
    <t>Location of version number</t>
  </si>
  <si>
    <t>Documentation</t>
  </si>
  <si>
    <t>Scope</t>
  </si>
  <si>
    <t>Legends and standards</t>
  </si>
  <si>
    <t>Input cells</t>
  </si>
  <si>
    <t>To type in</t>
  </si>
  <si>
    <t>Range names</t>
  </si>
  <si>
    <t>Formulae</t>
  </si>
  <si>
    <t>Protection</t>
  </si>
  <si>
    <t>Visual Basic</t>
  </si>
  <si>
    <t>Add-ins</t>
  </si>
  <si>
    <t>NONE</t>
  </si>
  <si>
    <t>Notes</t>
  </si>
  <si>
    <t>Type</t>
  </si>
  <si>
    <t>Welcome</t>
  </si>
  <si>
    <t>Basic Documentation</t>
  </si>
  <si>
    <t>Admin</t>
  </si>
  <si>
    <t>User interface</t>
  </si>
  <si>
    <t>Outputs</t>
  </si>
  <si>
    <t>Version History</t>
  </si>
  <si>
    <t>Version</t>
  </si>
  <si>
    <t>Detail</t>
  </si>
  <si>
    <t>Editor</t>
  </si>
  <si>
    <t>Date</t>
  </si>
  <si>
    <t>Reason</t>
  </si>
  <si>
    <t>Parameter Update</t>
  </si>
  <si>
    <t>v0.10</t>
  </si>
  <si>
    <t>Will Gaines</t>
  </si>
  <si>
    <t>WARNING: This sheet is for internal use only and should be hidden before external circulation.</t>
  </si>
  <si>
    <t>Financial Difficulty Test Model</t>
  </si>
  <si>
    <t>Circulated by Short Term to banks and customers as an initial check to see if they may be eligbile for UKEF support.</t>
  </si>
  <si>
    <t>G:\ORA\ACTIVITIES\Business Group Support\Financial Difficulty Model</t>
  </si>
  <si>
    <t>William Grey</t>
  </si>
  <si>
    <t>"Documentation" worksheet</t>
  </si>
  <si>
    <t>Technical</t>
  </si>
  <si>
    <t>No fill - Red Text</t>
  </si>
  <si>
    <t>None</t>
  </si>
  <si>
    <t>Main user interface for inputs and results of Financial Difficulty test</t>
  </si>
  <si>
    <t>Calculates the results of the tests, as well as what questions should be visible to the user when.</t>
  </si>
  <si>
    <t>As this model is intended for external use, there is no VBA used, as many companies view this as a security risk. All hiding/revealing of inputs is therefore done via conditional formatting</t>
  </si>
  <si>
    <t>Draft Version for review, based on initial request from STB.</t>
  </si>
  <si>
    <t>Initial request email saved in folder: E:\CEX\Development\E-mails_audit\Other models\Financial Difficulty Model_20180924</t>
  </si>
  <si>
    <t>Financial Difficulty Model</t>
  </si>
  <si>
    <t>DDL</t>
  </si>
  <si>
    <t>Dropdown lists</t>
  </si>
  <si>
    <t>Valid Input</t>
  </si>
  <si>
    <t>=IF(Calc_ShareholderFunds="Yes","Obligor is in financial difficulty and ineligibile for UKEF support.",IF(AND(Calculations!G8=TRUE,In_ObligorSME="Yes",Calc_ShareholderFunds="No"),"There are no further questions to answer. The obligor is not in financial difficulty.",""))</t>
  </si>
  <si>
    <t>Returns the instructions to the user from the calculations sheet.</t>
  </si>
  <si>
    <t>=IF(COUNTIF(D9:D13,TRUE)=5,TRUE,FALSE)</t>
  </si>
  <si>
    <t>=IF(COUNTIF(D3:E5,TRUE)=6,TRUE,FALSE)</t>
  </si>
  <si>
    <t>=I3&amp;IF(H4="","",IF(I3="",H4,CHAR(10)&amp;H4))</t>
  </si>
  <si>
    <t>Calculates the total result for each entity (parent and subsidiary)</t>
  </si>
  <si>
    <t>Generates the total pass/fail result based on the individual results of the parent and subsidiary entities.</t>
  </si>
  <si>
    <t>=Calculations!$I$15</t>
  </si>
  <si>
    <t>=Calculations!$D$34</t>
  </si>
  <si>
    <t>=Calculations!$D$33</t>
  </si>
  <si>
    <t>=Calculations!$G$6=FALSE</t>
  </si>
  <si>
    <t>Comments</t>
  </si>
  <si>
    <t>White fill, white text, no borders.</t>
  </si>
  <si>
    <t>Used to block out questions based on results of other questions. The 'show questions' fields in the calculations tab is used to control these (see above for details).</t>
  </si>
  <si>
    <t>Black text, bold, no border</t>
  </si>
  <si>
    <t>Gives an answer when either parent or subsidiary entities pass one of the first 3 questions.</t>
  </si>
  <si>
    <t>Gives an answer when either parent or subsidiary entities fail one of the first 3 questions.</t>
  </si>
  <si>
    <t>=AND(In_3YrInc="No",Calculations!$G$6=TRUE)</t>
  </si>
  <si>
    <t>=Calc_ShareholderFunds="Yes"</t>
  </si>
  <si>
    <t>Bank Customer Name</t>
  </si>
  <si>
    <t>Please provide figures as evidenced by the last two accounting periods in accordance with statutory accounts.</t>
  </si>
  <si>
    <t>At least one test must pass to be considered not in financial difficulty.</t>
  </si>
  <si>
    <t>Turnover</t>
  </si>
  <si>
    <t>GBP</t>
  </si>
  <si>
    <t>EUR</t>
  </si>
  <si>
    <t>USD</t>
  </si>
  <si>
    <t>JPY</t>
  </si>
  <si>
    <t>FX spot rate (Curr/EUR)</t>
  </si>
  <si>
    <t>SME criteria</t>
  </si>
  <si>
    <t>SME Wizard Calculations</t>
  </si>
  <si>
    <t>Employees</t>
  </si>
  <si>
    <t>Complete</t>
  </si>
  <si>
    <t>Passed</t>
  </si>
  <si>
    <t>Currency</t>
  </si>
  <si>
    <t>Spot FX</t>
  </si>
  <si>
    <t>SME Status</t>
  </si>
  <si>
    <t>Subsidiary SME Status</t>
  </si>
  <si>
    <t>No of Employees</t>
  </si>
  <si>
    <t>Latest Accounting Period</t>
  </si>
  <si>
    <t>Prior Accounting Period</t>
  </si>
  <si>
    <t>Financial Conditions</t>
  </si>
  <si>
    <t>Q.3 Is the ratio of b) to a) less than -50%?</t>
  </si>
  <si>
    <t>C7, B9:C11, B13:C13, B15:D18, B21:D35, G9:H11, G13:H13, G15:I18, G21:H35</t>
  </si>
  <si>
    <t>B12:C12, G12:H12, B14:C14, G14:H14, B19:D19, G19:I19</t>
  </si>
  <si>
    <t xml:space="preserve"> B19:C19, G19:H19</t>
  </si>
  <si>
    <t>Lkp_Currency</t>
  </si>
  <si>
    <t>=DDL!$B$1:$B$4</t>
  </si>
  <si>
    <t>=Calculations!$I$29</t>
  </si>
  <si>
    <t>=Calculations!$D$35</t>
  </si>
  <si>
    <t>=IF(AND(Calculations!G6=TRUE,In_3YrInc="No",$C$2&lt;&gt;"",In_ObligorSME="Yes"),"There are no further questions to answer. Eligibile Person.","")</t>
  </si>
  <si>
    <t>=IF(AND(Calculations!G7=TRUE,In_LossResNeg="No",$C$2&lt;&gt;"",In_ObligorSME="Yes"),"There are no further questions to answer. Eligibile Person.","")</t>
  </si>
  <si>
    <t>D8:D13, D22:D27</t>
  </si>
  <si>
    <t>=IF(OR(In_Capital="",In_Profit=""),FALSE,TRUE)</t>
  </si>
  <si>
    <t>Indicates if input fields have been completed where a question needs 2 inputs</t>
  </si>
  <si>
    <t>=IF(D4,OR(In_ObligorSub="Yes",In_ObligorSub="No"),TRUE)</t>
  </si>
  <si>
    <t>Checks if inputs are valid (conditions vary between questions, but the logic is basically the same).</t>
  </si>
  <si>
    <t>checks if the full set of non-SME questions have been completed/are valid/have passed.</t>
  </si>
  <si>
    <t>Checks if tests are passed (conditions vary between questions, but the logic is basically the same).</t>
  </si>
  <si>
    <t>G6:G14, G19:G28</t>
  </si>
  <si>
    <t>Used to indicate if a question should be shown based on responses to previous questions. This is the key calculation on this sheet, as its used to control conditional formatting, and what messages are shown.</t>
  </si>
  <si>
    <t>Generates the message for each individual input (missing, invalid etc).</t>
  </si>
  <si>
    <t>Calculates the cumulative message for the user.</t>
  </si>
  <si>
    <t>Calculates the final cumulative message, including distinguishing between Parent and Subsidiary entities where appropriate.</t>
  </si>
  <si>
    <t>=IF(COUNTIF($D$43:$D$48,FALSE)&gt;0,"Incomplete",IF(AND(F46,OR(F47,F48)),"Pass","Fail"))</t>
  </si>
  <si>
    <t>Determines if an entity is an SME or not.</t>
  </si>
  <si>
    <t>SME Wizard</t>
  </si>
  <si>
    <t>Adjusts the input message to match the currency selected.</t>
  </si>
  <si>
    <t>Returns the final SME status</t>
  </si>
  <si>
    <t>Returns messages and errors for the SME wizard.</t>
  </si>
  <si>
    <t>Sheet for use to determine whether an entity qualifies as an SME or not.</t>
  </si>
  <si>
    <t>Date (dd/mm/yyyy)</t>
  </si>
  <si>
    <t>Please provide figures below as evidenced by the latest statutory accounts.</t>
  </si>
  <si>
    <t>EUR 50,000,000</t>
  </si>
  <si>
    <t>EUR 43,000,000</t>
  </si>
  <si>
    <t>£</t>
  </si>
  <si>
    <t>€</t>
  </si>
  <si>
    <t>$</t>
  </si>
  <si>
    <t>¥</t>
  </si>
  <si>
    <r>
      <t xml:space="preserve">(a) No. of employees </t>
    </r>
    <r>
      <rPr>
        <b/>
        <sz val="11"/>
        <color indexed="8"/>
        <rFont val="Calibri"/>
        <family val="2"/>
      </rPr>
      <t>less than</t>
    </r>
  </si>
  <si>
    <r>
      <t xml:space="preserve">(b) Turnover </t>
    </r>
    <r>
      <rPr>
        <b/>
        <sz val="11"/>
        <color indexed="8"/>
        <rFont val="Calibri"/>
        <family val="2"/>
      </rPr>
      <t>less than or equal to</t>
    </r>
  </si>
  <si>
    <t>250</t>
  </si>
  <si>
    <r>
      <t>(c) Balance Sheet total</t>
    </r>
    <r>
      <rPr>
        <b/>
        <sz val="11"/>
        <color indexed="8"/>
        <rFont val="Calibri"/>
        <family val="2"/>
      </rPr>
      <t xml:space="preserve"> less than or equal to</t>
    </r>
  </si>
  <si>
    <t>Balance Sheet total</t>
  </si>
  <si>
    <t>Parent Obligor Inputs</t>
  </si>
  <si>
    <t>Bank Customer Inputs</t>
  </si>
  <si>
    <t>Parent Obligor</t>
  </si>
  <si>
    <t>Bank Customer</t>
  </si>
  <si>
    <t>Parent Obligor Instructions</t>
  </si>
  <si>
    <t>Bank Customer Instructions</t>
  </si>
  <si>
    <t>Bank Customer SME Status</t>
  </si>
  <si>
    <t>Parent Obligor SME Status</t>
  </si>
  <si>
    <t>B11, B12, K11, K12</t>
  </si>
  <si>
    <t>D20, L20</t>
  </si>
  <si>
    <t>E4:I9, N4:R9</t>
  </si>
  <si>
    <t>='SME Wizard'!$L$10</t>
  </si>
  <si>
    <t>='SME Wizard'!$C$10</t>
  </si>
  <si>
    <t>='SME Wizard'!$L$7</t>
  </si>
  <si>
    <t>='SME Wizard'!$C$7</t>
  </si>
  <si>
    <t>='SME Wizard'!$L$6</t>
  </si>
  <si>
    <t>='SME Wizard'!$C$6</t>
  </si>
  <si>
    <t>='SME Wizard'!$L$12</t>
  </si>
  <si>
    <t>='SME Wizard'!$C$12</t>
  </si>
  <si>
    <t>='SME Wizard'!$L$5</t>
  </si>
  <si>
    <t>='SME Wizard'!$C$5</t>
  </si>
  <si>
    <t>='SME Wizard'!$L$11</t>
  </si>
  <si>
    <t>='SME Wizard'!$C$11</t>
  </si>
  <si>
    <t>SME Type</t>
  </si>
  <si>
    <t>Parent Obligor Name</t>
  </si>
  <si>
    <t>Output/message cells</t>
  </si>
  <si>
    <t>Plain black text</t>
  </si>
  <si>
    <t>=Calculations!$D$48</t>
  </si>
  <si>
    <t>=Calculations!$D$60</t>
  </si>
  <si>
    <t>Calc_SMEType</t>
  </si>
  <si>
    <t>=Calculations!$D$49</t>
  </si>
  <si>
    <t>=Calculations!$D$61</t>
  </si>
  <si>
    <t>=Calculations!$H$46</t>
  </si>
  <si>
    <t>=Calculations!$H$58</t>
  </si>
  <si>
    <t>Formatting</t>
  </si>
  <si>
    <t>D48, D60</t>
  </si>
  <si>
    <t>D49, D61</t>
  </si>
  <si>
    <t>Determines if an SME entity is medium, small or micro sized</t>
  </si>
  <si>
    <t>D35</t>
  </si>
  <si>
    <t>D33, D34</t>
  </si>
  <si>
    <t>Tests</t>
  </si>
  <si>
    <t>Current: Nick Bate; Original: Will Gaines</t>
  </si>
  <si>
    <t>For support, please contact STB.Underwriting@ukexportfinance.gov.uk</t>
  </si>
  <si>
    <t xml:space="preserve">Please note that the covenants tested in this model are referenced in Schedule 3 of the MGA ("Financial covenants definition"). </t>
  </si>
  <si>
    <t>v1.0.0</t>
  </si>
  <si>
    <t>Version provided to banks for testing</t>
  </si>
  <si>
    <t>v1.1.0</t>
  </si>
  <si>
    <t>Version updated in response to feedback from banks.</t>
  </si>
  <si>
    <t>Nick Bate</t>
  </si>
  <si>
    <t>=IF(In_ObligorName="","",In_ObligorName)</t>
  </si>
  <si>
    <t>Copies the Bank Customer name over from the 'SME Wizard' worksheet. An error message is displayed if no Bank Customer name is provided on that sheet.</t>
  </si>
  <si>
    <t>=IF(In_ObligorSub="Yes","BANK CUSTOMER (consolidated, if available)","BANK CUSTOMER")</t>
  </si>
  <si>
    <t>Edits the message to show 'Bank Customer' or 'Bank Customer (consolidated, if available)' depending on whether the Bank Customer is a subsidiary of a Parent Obligor or not.</t>
  </si>
  <si>
    <t>C19, G19</t>
  </si>
  <si>
    <t>C31, D31, G31, H31</t>
  </si>
  <si>
    <t>C35, G35</t>
  </si>
  <si>
    <t>=IF($C$2="","",IF(OR(Calc_DebtTest="",Calc_EBITDATest="",In_Date1="",In_Date2=""),"",IF(OR(Calc_DebtTest="Pass",Calc_EBITDATest="Pass"),"ELIGIBLE PERSON.","NON ELIGIBLE PERSON.")))</t>
  </si>
  <si>
    <t>Returns a pass/fail message based on the non-SME tests (EBITDA ratio and Debt ratio), by passing at least one of the two tests. Will stay blank if additional answers are needed.</t>
  </si>
  <si>
    <t>=IF(G6,IF(D6,IF(E6,IF(F6,IF(F5,C6&amp;" passed. "&amp;C2&amp;" is an ELIGIBLE PERSON.",C6&amp;" passed."&amp;IF(D14,""," Please now complete non-SME tests.")),""),"Invalid answer to "&amp;C6),"Please complete "&amp;C6&amp;"."),"")</t>
  </si>
  <si>
    <t>I15, I29</t>
  </si>
  <si>
    <t>D3:D7, D19:D21, D39:D45, D51:D57</t>
  </si>
  <si>
    <t>D14:F14, D28:F28, D46, D58</t>
  </si>
  <si>
    <t>E4:E13, E19:E27, E40:E46, E52:E58</t>
  </si>
  <si>
    <t>H3:H13, H19:H27, G39:G46, G51:G58</t>
  </si>
  <si>
    <t>I4:I14, I19:I28, H39:H46, H51:H58</t>
  </si>
  <si>
    <t>In_FXSpot_Parent</t>
  </si>
  <si>
    <t>In_SMECurrency_Parent</t>
  </si>
  <si>
    <t>In_FXDate_Parent</t>
  </si>
  <si>
    <t>In_Employees_Parent</t>
  </si>
  <si>
    <t>In_Turnover_Parent</t>
  </si>
  <si>
    <t>In_GrossAssets_Parent</t>
  </si>
  <si>
    <t>Msg_SMEWiz_Parent</t>
  </si>
  <si>
    <t>=Msg_SMEWiz_Parent</t>
  </si>
  <si>
    <t>Calc_SMEStatus_Parent</t>
  </si>
  <si>
    <t>=IF(Calc_SMEStatus_Parent="Pass",IF(AND(In_Employees_Parent&lt;10,OR(In_Turnover_Parent&lt;=2000000/In_FXSpot_Parent,In_GrossAssets_Parent&lt;=2000000/In_FXSpot_Parent)),"Micro",IF(AND(In_Employees_Parent&lt;50,OR(In_Turnover_Parent&lt;=10000000/In_FXSpot_Parent,In_GrossAssets_Parent&lt;=10000000/In_FXSpot_Parent)),"Small",IF(AND(In_Employees_Parent&lt;250,OR(In_Turnover_Parent&lt;=50000000/In_FXSpot_Parent,In_GrossAssets_Parent&lt;=43000000/In_FXSpot_Parent)),"Medium-sized","Fail"))),Calc_SMEStatus_Parent)</t>
  </si>
  <si>
    <t>=IF(Calc_SMEStatus_Parent="Incomplete","Incomplete",IF(Calc_SMEStatus_Parent="Pass","SME","Non-SME"))</t>
  </si>
  <si>
    <t>In_Turnover</t>
  </si>
  <si>
    <t>In_GrossAssets</t>
  </si>
  <si>
    <t>Calc_DebtRatio1_Parent</t>
  </si>
  <si>
    <t>Calc_DebtRatio2_Parent</t>
  </si>
  <si>
    <t>Calc_DebtTest_Parent</t>
  </si>
  <si>
    <t>Calc_EBITDARatio1_Parent</t>
  </si>
  <si>
    <t>Calc_EBITDARatio2_Parent</t>
  </si>
  <si>
    <t>Calc_EBITDATest_Parent</t>
  </si>
  <si>
    <t>Calc_FundsRatio_Parent</t>
  </si>
  <si>
    <t>Calc_ShareholderFunds_Parent</t>
  </si>
  <si>
    <t>Calc_SMEStatus</t>
  </si>
  <si>
    <t>Calc_SMEType_Parent</t>
  </si>
  <si>
    <t>In_3YrInc_Parent</t>
  </si>
  <si>
    <t>In_Capital_Parent</t>
  </si>
  <si>
    <t>In_Date1_Parent</t>
  </si>
  <si>
    <t>In_Date2_Parent</t>
  </si>
  <si>
    <t>In_Debt1_Parent</t>
  </si>
  <si>
    <t>In_Debt2_Parent</t>
  </si>
  <si>
    <t>In_EBITDA1_Parent</t>
  </si>
  <si>
    <t>In_EBITDA2_Parent</t>
  </si>
  <si>
    <t>In_Employees</t>
  </si>
  <si>
    <t>In_Funds1_Parent</t>
  </si>
  <si>
    <t>In_Funds2_Parent</t>
  </si>
  <si>
    <t>In_FXDate</t>
  </si>
  <si>
    <t>In_FXSpot</t>
  </si>
  <si>
    <t>In_Interest1_Parent</t>
  </si>
  <si>
    <t>In_Interest2_Parent</t>
  </si>
  <si>
    <t>In_LossResNeg_Parent</t>
  </si>
  <si>
    <t>='SME Wizard'!$C$4</t>
  </si>
  <si>
    <t>In_ObligorSME_Parent</t>
  </si>
  <si>
    <t>In_Profit_Parent</t>
  </si>
  <si>
    <t>In_SMECurrency</t>
  </si>
  <si>
    <t>Msg</t>
  </si>
  <si>
    <t>Msg_SMEWiz</t>
  </si>
  <si>
    <t>PassFail</t>
  </si>
  <si>
    <t>=IF(In_ObligorSub="No",Msg,Msg&amp;CHAR(10)&amp;Msg_Parent)</t>
  </si>
  <si>
    <t>=IF(AND(PassFail="Incomplete",PassFail_Parent="Fail"),"BANK CUSTOMER: "&amp;CHAR(10)&amp;"PARENT OBLIGOR Failed. No more answers required.",IF(AND(In_ObligorSub="Yes",D3,E5,E3),"BANK CUSTOMER: "&amp;CHAR(10),"")&amp;I14&amp;IF(H15="","",IF(I14="",H15,CHAR(10)&amp;H15)))</t>
  </si>
  <si>
    <t>=IF(In_ObligorSub="No",PassFail,IF(AND(PassFail_Parent="Pass",PassFail="Pass"),"Pass",IF(OR(PassFail_Parent="Fail",PassFail="Fail"),"Fail","Incomplete")))</t>
  </si>
  <si>
    <t>=IF(COUNTIF(E3:E13,FALSE)&gt;0,"Incomplete",IF(NOT(AND(D3,D4,D5)),"Incomplete",IF(OR(AND(F6,G6),AND(F7,G7),AND(F8,G8)),IF(F5,"Pass",IF(AND(D14,G14),IF(F14,"Pass","Fail"),"Incomplete")),IF(AND(D8,G8),"Fail","Incomplete"))))</t>
  </si>
  <si>
    <t>=In_ObligorSME="Yes"</t>
  </si>
  <si>
    <t>F5:F14, F19:F28, F43:F46, F55:F58</t>
  </si>
  <si>
    <t>C18, G18</t>
  </si>
  <si>
    <t>C4</t>
  </si>
  <si>
    <t>B9</t>
  </si>
  <si>
    <t>B13:C13, F13:G13</t>
  </si>
  <si>
    <t>B15:C15, F15:G15</t>
  </si>
  <si>
    <t>B20:C20, F20:G20</t>
  </si>
  <si>
    <t>C30, D30, G30, H30</t>
  </si>
  <si>
    <t>C34, G34</t>
  </si>
  <si>
    <t>F5:F7</t>
  </si>
  <si>
    <t>=IF(Calc_FundsRatio="","",IF(OR(In_Capital="",In_Profit=""),"",IF(OR(Calc_FundsRatio&lt;-50%,In_Capital&lt;0),"Yes","No")))</t>
  </si>
  <si>
    <t>Returns a yes/no response to question 3 based on the calulcated change in funds ratio. The answer is "Yes" if Share Capital is negative.</t>
  </si>
  <si>
    <t>Calculates the Debt to Funds ratios. If Equity is negative reports an error. NOTE THAT DEBT MUST BE A NEGATIVE NUMBER.</t>
  </si>
  <si>
    <t>v1.1.1</t>
  </si>
  <si>
    <t>Changes made to handling of ratios in Q3 and Non-SME tests, based on feedback.</t>
  </si>
  <si>
    <t>Email requests saved in folder: E:\CEX\Development\E-mails_audit\Other models\Financial Difficulty Model_20190805 and E:\CEX\Development\E-mails_audit\Other models\Financial Difficulty Model_20191007</t>
  </si>
  <si>
    <t>Email requests saved in folder: E:\CEX\Development\E-mails_audit\Other models\Financial Difficulty Model_20191008</t>
  </si>
  <si>
    <t>=IF(AND(Calculations!G8,Calculations!E8),IF(Calculations!D8,IF(In_Capital&lt;0,"Share capital negative",IF(In_Capital=0,IF(In_Profit=0,0,"Share capital zero"),-In_Profit/In_Capital)),""),"")</t>
  </si>
  <si>
    <t>Calculates the Overall Shareholders Funds at both parent and sub level (if applicable). If Share Capital is negative, reports an error ("Share capital negative") rather than a number. If Share Capital is zero, reports an error ("Share capital zero") rather than a number (exception: if Accumulated Losses are also zero, in which case 0 is returned).</t>
  </si>
  <si>
    <t>=IF(AND(Calculations!E12,Calculations!G13),IF(AND(ISNUMBER(In_Debt1),ISNUMBER(In_Funds1)),IF(In_Funds1&lt;0,"Equity negative",IF(In_Funds1=0,0,ABS(In_Debt1)/In_Funds1)),""),"")</t>
  </si>
  <si>
    <t>Returns a Pass/Fail message indicating if the entity has passed the Debt to Funds ratio test. Accounts for 0 values in the Net Interest field, which would cause errors in the Debt-to-Funds ratio.</t>
  </si>
  <si>
    <t>B36:D36, F36:H36</t>
  </si>
  <si>
    <t>* If both EBITDA and Net Interest are positive, the test is passed.</t>
  </si>
  <si>
    <t>=IF(Calculations!G10,IF(AND(ISNUMBER(In_EBITDA1),ISNUMBER(In_Interest1)),IF(In_EBITDA1&lt;=0,"EBITDA negative or zero",IF(In_Interest1&gt;=0,"Both positive*",In_EBITDA1/ABS(In_Interest1))),""),"")</t>
  </si>
  <si>
    <t>Calculates the EBITDA to Net Interest ratios. If EBITDA is negative, reports an error. If Both EBITDA and Net Interest are positive, reports "Both positive*", which is a pass. This is to avoid rare false fails, when Net Interest and EBITDA are both positive, but Net Interest exceeds EBITDA. In this situation, a company has positive earnings and is receiving (not paying) interest, and so is not in financial difficulty.</t>
  </si>
  <si>
    <t>Returns a Pass/Fail message indicating if the entity has passed the EBITDA to Interest ratio test. Accounts correctly for 0 values in Equity and Debt fields, which would otherwise cause errors in the EBITDA-to-Interest ratio.</t>
  </si>
  <si>
    <t>All sheets password protected, only SME Wizard and Financial Difficulty Tests sheets should be shown upon external circulation.</t>
  </si>
  <si>
    <t>Financial Difficulty Tests</t>
  </si>
  <si>
    <t>='Financial Difficulty Tests'!$D$12</t>
  </si>
  <si>
    <t>='Financial Difficulty Tests'!$C$31</t>
  </si>
  <si>
    <t>='Financial Difficulty Tests'!$G$31</t>
  </si>
  <si>
    <t>='Financial Difficulty Tests'!$D$31</t>
  </si>
  <si>
    <t>='Financial Difficulty Tests'!$H$31</t>
  </si>
  <si>
    <t>='Financial Difficulty Tests'!$C$35</t>
  </si>
  <si>
    <t>='Financial Difficulty Tests'!$G$35</t>
  </si>
  <si>
    <t>='Financial Difficulty Tests'!$C$30</t>
  </si>
  <si>
    <t>='Financial Difficulty Tests'!$G$30</t>
  </si>
  <si>
    <t>='Financial Difficulty Tests'!$D$30</t>
  </si>
  <si>
    <t>='Financial Difficulty Tests'!$H$30</t>
  </si>
  <si>
    <t>='Financial Difficulty Tests'!$C$34</t>
  </si>
  <si>
    <t>='Financial Difficulty Tests'!$G$34</t>
  </si>
  <si>
    <t>='Financial Difficulty Tests'!$C$18</t>
  </si>
  <si>
    <t>='Financial Difficulty Tests'!$G$18</t>
  </si>
  <si>
    <t>='Financial Difficulty Tests'!$D$14</t>
  </si>
  <si>
    <t>='Financial Difficulty Tests'!$C$19</t>
  </si>
  <si>
    <t>='Financial Difficulty Tests'!$G$19</t>
  </si>
  <si>
    <t>='Financial Difficulty Tests'!$C$12</t>
  </si>
  <si>
    <t>='Financial Difficulty Tests'!$G$12</t>
  </si>
  <si>
    <t>='Financial Difficulty Tests'!$C$16</t>
  </si>
  <si>
    <t>='Financial Difficulty Tests'!$G$16</t>
  </si>
  <si>
    <t>='Financial Difficulty Tests'!$C$24</t>
  </si>
  <si>
    <t>='Financial Difficulty Tests'!$G$24</t>
  </si>
  <si>
    <t>='Financial Difficulty Tests'!$D$24</t>
  </si>
  <si>
    <t>='Financial Difficulty Tests'!$H$24</t>
  </si>
  <si>
    <t>='Financial Difficulty Tests'!$C$27</t>
  </si>
  <si>
    <t>='Financial Difficulty Tests'!$G$27</t>
  </si>
  <si>
    <t>='Financial Difficulty Tests'!$D$27</t>
  </si>
  <si>
    <t>='Financial Difficulty Tests'!$H$27</t>
  </si>
  <si>
    <t>='Financial Difficulty Tests'!$C$25</t>
  </si>
  <si>
    <t>='Financial Difficulty Tests'!$G$25</t>
  </si>
  <si>
    <t>='Financial Difficulty Tests'!$D$25</t>
  </si>
  <si>
    <t>='Financial Difficulty Tests'!$H$25</t>
  </si>
  <si>
    <t>='Financial Difficulty Tests'!$C$28</t>
  </si>
  <si>
    <t>='Financial Difficulty Tests'!$G$28</t>
  </si>
  <si>
    <t>='Financial Difficulty Tests'!$D$28</t>
  </si>
  <si>
    <t>='Financial Difficulty Tests'!$H$28</t>
  </si>
  <si>
    <t>='Financial Difficulty Tests'!$C$26</t>
  </si>
  <si>
    <t>='Financial Difficulty Tests'!$G$26</t>
  </si>
  <si>
    <t>='Financial Difficulty Tests'!$D$26</t>
  </si>
  <si>
    <t>='Financial Difficulty Tests'!$H$26</t>
  </si>
  <si>
    <t>='Financial Difficulty Tests'!$C$14</t>
  </si>
  <si>
    <t>='Financial Difficulty Tests'!$G$14</t>
  </si>
  <si>
    <t>='Financial Difficulty Tests'!$C$6</t>
  </si>
  <si>
    <t>='Financial Difficulty Tests'!$C$7</t>
  </si>
  <si>
    <t>='Financial Difficulty Tests'!$C$5</t>
  </si>
  <si>
    <t>='Financial Difficulty Tests'!$C$17</t>
  </si>
  <si>
    <t>='Financial Difficulty Tests'!$G$17</t>
  </si>
  <si>
    <t>Currency per latest statutory accounts</t>
  </si>
  <si>
    <t>="Turnover"&amp;IF(In_SMECurrency="",""," ("&amp;In_SMECurrency&amp;")")&amp;"*"</t>
  </si>
  <si>
    <t>* If Turnover figure is not available within latest statutory accounts, please insert Turnover as advised by Bank Customer.</t>
  </si>
  <si>
    <t>Bank Customer must pass (a) and either (b) or (c) to qualify as an SME per EU Guidelines</t>
  </si>
  <si>
    <t>Parent Obligor must pass (a) and either (b) or (c) to qualify as an SME per EU Guidelines</t>
  </si>
  <si>
    <t>INPUT IF BANK CUSTOMER IS NON-SME PER EU GUIDELINES</t>
  </si>
  <si>
    <t>INPUT IF PARENT OBLIGOR IS NON-SME PER EU GUIDELINES</t>
  </si>
  <si>
    <t>Is the Bank Customer a subsidiary with a Parent Obligor?</t>
  </si>
  <si>
    <t>Is Bank Customer an SME per EU Guidelines?</t>
  </si>
  <si>
    <t>Is Parent Obligor an SME per EU Guidelines?</t>
  </si>
  <si>
    <t>Q.2. Has the sum of Accumulated Losses in aggregate been negative?</t>
  </si>
  <si>
    <t>a) Fully Paid Up Share Capital</t>
  </si>
  <si>
    <t>b) Accumulated Losses</t>
  </si>
  <si>
    <t>Net Interest</t>
  </si>
  <si>
    <t>Book Debt</t>
  </si>
  <si>
    <t>Equity</t>
  </si>
  <si>
    <t>During at least one of the last two accounting periods, was Interest Cover (EBITDA to Net Interest ratio) not less than 1.0?</t>
  </si>
  <si>
    <t>Interest Cover (EBITDA / Net Interest ratio)</t>
  </si>
  <si>
    <t>Gearing (Book Debt / Equity ratio)</t>
  </si>
  <si>
    <t>During at least one of the last two accounting periods, was Gearing (Book Debt to Equity ratio) not greater than 7.5?</t>
  </si>
  <si>
    <t>Q.1. Has the Parent Obligor been incorporated for more than 3 years?</t>
  </si>
  <si>
    <t>=IF(OR(Calc_EBITDARatio1="",Calc_EBITDARatio2="",In_Date1="",In_Date2=""),"",IF(OR(AND(In_EBITDA1&gt;0,In_Interest1&gt;=0),AND(ISNUMBER(Calc_EBITDARatio1),Calc_EBITDARatio1&gt;=1),AND(In_EBITDA2&gt;0,In_Interest2&gt;=0),AND(ISNUMBER(Calc_EBITDARatio2),Calc_EBITDARatio2&gt;=1)),"Pass","Fail"))</t>
  </si>
  <si>
    <t>=IF(OR(Calc_DebtRatio1="",Calc_DebtRatio2="",In_Date1="",In_Date2=""),"",IF(OR(AND(ISNUMBER(Calc_DebtRatio1),OR(AND(Calc_DebtRatio1&lt;=7.5,In_Funds1&lt;&gt;0),AND(In_Debt1=0,In_Funds1=0))),AND(ISNUMBER(Calc_DebtRatio2),OR(AND(Calc_DebtRatio2&lt;=7.5,In_Funds2&lt;&gt;0),AND(In_Debt2=0,In_Funds2=0)))),"Pass","Fail"))</t>
  </si>
  <si>
    <t>Current version number</t>
  </si>
  <si>
    <t>1.2.0</t>
  </si>
  <si>
    <t>Above, and displayed on SME Wizard and Financial Difficulty Tests sheets. As this model is for external use, the version number will not be included in the filename.</t>
  </si>
  <si>
    <t>v1.2.0</t>
  </si>
  <si>
    <t>Email request saved in folder: E:\CEX\Development\E-mails_audit\Other models\Financial Difficulty Model_20200120</t>
  </si>
  <si>
    <t>Changes made in response to feedback from banks. Various cosmetic changes. Changed how EBITDA/Net Interest ratio was handled to correctly account for both negative and positive Net Interest cases. Changed Turnover to allow for negative values. Version number is now displayed on the SME Wizard and Financial Difficulty Tests sheets.</t>
  </si>
  <si>
    <t>="Version Number "&amp;Lkp_VersionNumber</t>
  </si>
  <si>
    <t>Displays the current version number.</t>
  </si>
  <si>
    <t>O20</t>
  </si>
  <si>
    <t>H2</t>
  </si>
  <si>
    <t>Lkp_VersionNumber</t>
  </si>
  <si>
    <t>=Welcome!$C$11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</si>
</sst>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_ ;[Red]\-#,##0.00\ "/>
    <numFmt numFmtId="165" formatCode="0.0%"/>
    <numFmt numFmtId="166" formatCode="#,##0.0000;[Red]\-#,##0.0000"/>
    <numFmt numFmtId="167" formatCode="#,##0.0;[Red]\-#,##0.0"/>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1"/>
      <color rgb="FFFF0000"/>
      <name val="Calibri"/>
      <family val="2"/>
      <scheme val="minor"/>
    </font>
    <font>
      <sz val="11"/>
      <name val="Calibri"/>
      <family val="2"/>
      <scheme val="minor"/>
    </font>
    <font>
      <b/>
      <i/>
      <sz val="11"/>
      <color theme="1"/>
      <name val="Calibri"/>
      <family val="2"/>
      <scheme val="minor"/>
    </font>
    <font>
      <b/>
      <sz val="11"/>
      <color rgb="FF0070C0"/>
      <name val="Calibri"/>
      <family val="2"/>
      <scheme val="minor"/>
    </font>
    <font>
      <sz val="11"/>
      <color rgb="FFFF0000"/>
      <name val="Calibri"/>
      <family val="2"/>
      <scheme val="minor"/>
    </font>
    <font>
      <b/>
      <sz val="14"/>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sz val="16"/>
      <name val="Arial"/>
      <family val="2"/>
    </font>
    <font>
      <sz val="12"/>
      <name val="Arial"/>
      <family val="2"/>
    </font>
    <font>
      <b/>
      <sz val="10"/>
      <name val="Arial"/>
      <family val="2"/>
    </font>
    <font>
      <sz val="10"/>
      <name val="Arial"/>
      <family val="2"/>
    </font>
    <font>
      <b/>
      <sz val="14"/>
      <color indexed="10"/>
      <name val="Arial"/>
      <family val="2"/>
    </font>
    <font>
      <b/>
      <sz val="11"/>
      <color indexed="8"/>
      <name val="Calibri"/>
      <family val="2"/>
    </font>
    <font>
      <sz val="11"/>
      <color theme="1"/>
      <name val="Calibri"/>
      <family val="2"/>
    </font>
    <font>
      <sz val="10"/>
      <color rgb="FF0070C0"/>
      <name val="Calibri"/>
      <family val="2"/>
      <scheme val="minor"/>
    </font>
    <font>
      <sz val="9.8000000000000007"/>
      <color rgb="FF0070C0"/>
      <name val="Calibri"/>
      <family val="2"/>
      <scheme val="minor"/>
    </font>
    <font>
      <b/>
      <sz val="16"/>
      <color theme="1"/>
      <name val="Calibri"/>
      <family val="2"/>
      <scheme val="minor"/>
    </font>
    <font>
      <b/>
      <sz val="15"/>
      <color rgb="FFFF0000"/>
      <name val="Calibri"/>
      <family val="2"/>
      <scheme val="minor"/>
    </font>
    <font>
      <sz val="12"/>
      <color theme="1"/>
      <name val="Calibri"/>
      <family val="2"/>
      <scheme val="minor"/>
    </font>
    <font>
      <b/>
      <sz val="11"/>
      <name val="Calibri"/>
      <family val="2"/>
      <scheme val="minor"/>
    </font>
    <font>
      <sz val="11"/>
      <color indexed="10"/>
      <name val="Calibri"/>
      <family val="2"/>
      <scheme val="minor"/>
    </font>
    <font>
      <u/>
      <sz val="11"/>
      <color theme="10"/>
      <name val="Calibri"/>
      <family val="2"/>
      <scheme val="minor"/>
    </font>
    <font>
      <sz val="11"/>
      <color theme="0"/>
      <name val="Calibri"/>
      <family val="2"/>
      <scheme val="minor"/>
    </font>
  </fonts>
  <fills count="15">
    <fill>
      <patternFill patternType="none"/>
    </fill>
    <fill>
      <patternFill patternType="gray125"/>
    </fill>
    <fill>
      <patternFill patternType="solid">
        <fgColor theme="9" tint="0.39997558519241921"/>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indexed="9"/>
        <bgColor indexed="64"/>
      </patternFill>
    </fill>
    <fill>
      <patternFill patternType="solid">
        <fgColor rgb="FF66FF66"/>
        <bgColor indexed="64"/>
      </patternFill>
    </fill>
    <fill>
      <patternFill patternType="solid">
        <fgColor rgb="FFFF0000"/>
        <bgColor indexed="64"/>
      </patternFill>
    </fill>
    <fill>
      <patternFill patternType="solid">
        <fgColor theme="0"/>
        <bgColor indexed="64"/>
      </patternFill>
    </fill>
  </fills>
  <borders count="42">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6" fillId="0" borderId="0"/>
    <xf numFmtId="0" fontId="1" fillId="0" borderId="0"/>
    <xf numFmtId="0" fontId="27" fillId="0" borderId="0" applyNumberFormat="0" applyFill="0" applyBorder="0" applyAlignment="0" applyProtection="0"/>
  </cellStyleXfs>
  <cellXfs count="240">
    <xf numFmtId="0" fontId="0" fillId="0" borderId="0" xfId="0"/>
    <xf numFmtId="0" fontId="0" fillId="0" borderId="0" xfId="0" applyBorder="1"/>
    <xf numFmtId="0" fontId="2" fillId="7" borderId="5" xfId="0" applyFont="1" applyFill="1" applyBorder="1"/>
    <xf numFmtId="0" fontId="0" fillId="0" borderId="13" xfId="0" applyBorder="1"/>
    <xf numFmtId="0" fontId="2" fillId="4" borderId="5" xfId="0" applyFont="1" applyFill="1" applyBorder="1"/>
    <xf numFmtId="0" fontId="2" fillId="7" borderId="5" xfId="0" applyFont="1" applyFill="1" applyBorder="1" applyAlignment="1">
      <alignment horizontal="left"/>
    </xf>
    <xf numFmtId="0" fontId="0" fillId="0" borderId="21" xfId="0" applyFill="1" applyBorder="1"/>
    <xf numFmtId="0" fontId="6" fillId="5" borderId="5" xfId="0" applyFont="1" applyFill="1" applyBorder="1" applyAlignment="1">
      <alignment horizontal="right"/>
    </xf>
    <xf numFmtId="0" fontId="6" fillId="5" borderId="7" xfId="0" applyFont="1" applyFill="1" applyBorder="1" applyAlignment="1">
      <alignment horizontal="right"/>
    </xf>
    <xf numFmtId="0" fontId="2" fillId="9" borderId="24" xfId="0" applyFont="1" applyFill="1" applyBorder="1" applyAlignment="1">
      <alignment horizontal="center" vertical="center"/>
    </xf>
    <xf numFmtId="0" fontId="2" fillId="9" borderId="25" xfId="0" applyFont="1" applyFill="1" applyBorder="1" applyAlignment="1">
      <alignment horizontal="center" vertical="center"/>
    </xf>
    <xf numFmtId="0" fontId="0" fillId="0" borderId="26" xfId="0" applyBorder="1"/>
    <xf numFmtId="43" fontId="2" fillId="5" borderId="20" xfId="1" applyNumberFormat="1" applyFont="1" applyFill="1" applyBorder="1" applyAlignment="1">
      <alignment horizontal="right"/>
    </xf>
    <xf numFmtId="0" fontId="2" fillId="4" borderId="27" xfId="0" applyFont="1" applyFill="1" applyBorder="1"/>
    <xf numFmtId="0" fontId="2" fillId="2" borderId="27" xfId="0" applyFont="1" applyFill="1" applyBorder="1" applyAlignment="1">
      <alignment horizontal="center" vertical="center"/>
    </xf>
    <xf numFmtId="0" fontId="2" fillId="2" borderId="7" xfId="0"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left" wrapText="1"/>
    </xf>
    <xf numFmtId="43" fontId="2" fillId="5" borderId="17" xfId="1" applyNumberFormat="1" applyFont="1" applyFill="1" applyBorder="1" applyAlignment="1">
      <alignment horizontal="right"/>
    </xf>
    <xf numFmtId="0" fontId="2" fillId="8" borderId="28" xfId="0" applyFont="1" applyFill="1" applyBorder="1" applyAlignment="1">
      <alignment horizontal="center" vertical="center"/>
    </xf>
    <xf numFmtId="0" fontId="2" fillId="8" borderId="30" xfId="0" applyFont="1" applyFill="1" applyBorder="1" applyAlignment="1">
      <alignment horizontal="center" vertical="center"/>
    </xf>
    <xf numFmtId="0" fontId="2" fillId="8"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0" xfId="0" applyFont="1"/>
    <xf numFmtId="0" fontId="0" fillId="10" borderId="27" xfId="0" applyFill="1" applyBorder="1"/>
    <xf numFmtId="0" fontId="0" fillId="10" borderId="5" xfId="0" applyFill="1" applyBorder="1"/>
    <xf numFmtId="0" fontId="0" fillId="10" borderId="7" xfId="0" applyFill="1" applyBorder="1"/>
    <xf numFmtId="0" fontId="8" fillId="0" borderId="24" xfId="0" applyFont="1" applyBorder="1"/>
    <xf numFmtId="0" fontId="8" fillId="0" borderId="25" xfId="0" applyFont="1" applyBorder="1"/>
    <xf numFmtId="0" fontId="8" fillId="0" borderId="6" xfId="0" applyFont="1" applyBorder="1"/>
    <xf numFmtId="0" fontId="8" fillId="0" borderId="12" xfId="0" applyFont="1" applyBorder="1"/>
    <xf numFmtId="0" fontId="8" fillId="0" borderId="8" xfId="0" applyFont="1" applyBorder="1"/>
    <xf numFmtId="0" fontId="8" fillId="0" borderId="19" xfId="0" applyFont="1" applyBorder="1"/>
    <xf numFmtId="0" fontId="8" fillId="0" borderId="31" xfId="0" applyFont="1" applyBorder="1"/>
    <xf numFmtId="0" fontId="2" fillId="2" borderId="31" xfId="0" applyFont="1" applyFill="1" applyBorder="1" applyAlignment="1">
      <alignment horizontal="center" vertical="center"/>
    </xf>
    <xf numFmtId="0" fontId="7" fillId="6" borderId="19" xfId="0" applyFont="1" applyFill="1" applyBorder="1" applyAlignment="1" applyProtection="1">
      <alignment horizontal="center" vertical="center"/>
      <protection locked="0"/>
    </xf>
    <xf numFmtId="0" fontId="7" fillId="6" borderId="2" xfId="0" applyFont="1" applyFill="1" applyBorder="1" applyAlignment="1" applyProtection="1">
      <alignment horizontal="center" vertical="center"/>
      <protection locked="0"/>
    </xf>
    <xf numFmtId="0" fontId="0" fillId="0" borderId="0" xfId="0" quotePrefix="1"/>
    <xf numFmtId="0" fontId="7" fillId="6" borderId="12" xfId="0" applyFont="1" applyFill="1" applyBorder="1" applyAlignment="1" applyProtection="1">
      <alignment horizontal="center" vertical="center"/>
      <protection locked="0"/>
    </xf>
    <xf numFmtId="0" fontId="12" fillId="0" borderId="0" xfId="0" applyFont="1" applyAlignment="1">
      <alignment horizontal="center" vertical="center"/>
    </xf>
    <xf numFmtId="0" fontId="13" fillId="0" borderId="0" xfId="0" applyFont="1" applyFill="1" applyAlignment="1">
      <alignment vertical="top"/>
    </xf>
    <xf numFmtId="0" fontId="0" fillId="0" borderId="0" xfId="0" applyFill="1" applyAlignment="1">
      <alignment vertical="top" wrapText="1"/>
    </xf>
    <xf numFmtId="0" fontId="0" fillId="0" borderId="0" xfId="0" applyFill="1"/>
    <xf numFmtId="0" fontId="14" fillId="0" borderId="0" xfId="0" applyFont="1" applyFill="1"/>
    <xf numFmtId="0" fontId="0" fillId="0" borderId="0" xfId="0" applyNumberFormat="1" applyFill="1" applyAlignment="1">
      <alignment vertical="top"/>
    </xf>
    <xf numFmtId="0" fontId="0" fillId="0" borderId="0" xfId="0" applyNumberFormat="1" applyFill="1" applyAlignment="1">
      <alignment vertical="top" wrapText="1"/>
    </xf>
    <xf numFmtId="0" fontId="11" fillId="11" borderId="0" xfId="0" applyFont="1" applyFill="1"/>
    <xf numFmtId="0" fontId="0" fillId="11" borderId="0" xfId="0" applyFill="1"/>
    <xf numFmtId="0" fontId="15" fillId="11" borderId="0" xfId="0" applyFont="1" applyFill="1"/>
    <xf numFmtId="0" fontId="16" fillId="0" borderId="6" xfId="0" applyFont="1" applyFill="1" applyBorder="1" applyAlignment="1">
      <alignment wrapText="1"/>
    </xf>
    <xf numFmtId="0" fontId="0" fillId="0" borderId="0" xfId="0" applyNumberFormat="1" applyFill="1"/>
    <xf numFmtId="0" fontId="16" fillId="0" borderId="6" xfId="0" quotePrefix="1" applyFont="1" applyFill="1" applyBorder="1" applyAlignment="1">
      <alignment wrapText="1"/>
    </xf>
    <xf numFmtId="0" fontId="0" fillId="0" borderId="0" xfId="0" applyFill="1" applyAlignment="1">
      <alignment vertical="top"/>
    </xf>
    <xf numFmtId="0" fontId="0" fillId="0" borderId="12" xfId="0" applyBorder="1" applyAlignment="1">
      <alignment wrapText="1"/>
    </xf>
    <xf numFmtId="0" fontId="16" fillId="0" borderId="8" xfId="0" applyFont="1" applyBorder="1"/>
    <xf numFmtId="0" fontId="16" fillId="0" borderId="19" xfId="0" applyFont="1" applyBorder="1" applyAlignment="1">
      <alignment wrapText="1"/>
    </xf>
    <xf numFmtId="0" fontId="16" fillId="0" borderId="0" xfId="4" applyNumberFormat="1" applyFill="1" applyBorder="1"/>
    <xf numFmtId="0" fontId="1" fillId="0" borderId="0" xfId="5" applyBorder="1"/>
    <xf numFmtId="0" fontId="16" fillId="0" borderId="0" xfId="4" applyNumberFormat="1" applyFont="1" applyFill="1" applyBorder="1"/>
    <xf numFmtId="0" fontId="16" fillId="0" borderId="6" xfId="0" applyFont="1" applyBorder="1" applyAlignment="1"/>
    <xf numFmtId="0" fontId="16" fillId="0" borderId="6" xfId="0" applyFont="1" applyFill="1" applyBorder="1" applyAlignment="1"/>
    <xf numFmtId="0" fontId="0" fillId="10" borderId="1" xfId="0" applyFill="1" applyBorder="1"/>
    <xf numFmtId="0" fontId="0" fillId="0" borderId="35" xfId="0" applyBorder="1"/>
    <xf numFmtId="0" fontId="0" fillId="0" borderId="18" xfId="0" applyBorder="1"/>
    <xf numFmtId="0" fontId="0" fillId="0" borderId="10" xfId="0" applyBorder="1"/>
    <xf numFmtId="0" fontId="0" fillId="0" borderId="11" xfId="0" applyBorder="1"/>
    <xf numFmtId="0" fontId="15" fillId="0" borderId="0" xfId="0" applyFont="1"/>
    <xf numFmtId="0" fontId="16" fillId="0" borderId="27" xfId="0" applyFont="1" applyBorder="1" applyAlignment="1">
      <alignment vertical="top"/>
    </xf>
    <xf numFmtId="0" fontId="0" fillId="0" borderId="5" xfId="0" applyBorder="1" applyAlignment="1">
      <alignment horizontal="left" vertical="top" indent="1"/>
    </xf>
    <xf numFmtId="0" fontId="0" fillId="0" borderId="7" xfId="0" applyBorder="1" applyAlignment="1">
      <alignment horizontal="left" vertical="top" indent="1"/>
    </xf>
    <xf numFmtId="0" fontId="0" fillId="0" borderId="19" xfId="0" applyBorder="1" applyAlignment="1">
      <alignment horizontal="left" wrapText="1"/>
    </xf>
    <xf numFmtId="0" fontId="0" fillId="0" borderId="0" xfId="0" applyAlignment="1">
      <alignment horizontal="left" vertical="top" indent="1"/>
    </xf>
    <xf numFmtId="0" fontId="0" fillId="0" borderId="0" xfId="0" applyAlignment="1">
      <alignment horizontal="left" wrapText="1"/>
    </xf>
    <xf numFmtId="0" fontId="15" fillId="0" borderId="0" xfId="0" applyFont="1" applyAlignment="1">
      <alignment horizontal="left" vertical="top"/>
    </xf>
    <xf numFmtId="0" fontId="0" fillId="0" borderId="27" xfId="0" applyBorder="1" applyAlignment="1">
      <alignment horizontal="left" vertical="top" indent="1"/>
    </xf>
    <xf numFmtId="0" fontId="0" fillId="0" borderId="0" xfId="0" applyAlignment="1">
      <alignment vertical="top"/>
    </xf>
    <xf numFmtId="0" fontId="15" fillId="0" borderId="0" xfId="0" applyFont="1" applyAlignment="1">
      <alignment vertical="top"/>
    </xf>
    <xf numFmtId="0" fontId="15" fillId="0" borderId="27" xfId="0" applyFont="1" applyBorder="1" applyAlignment="1">
      <alignment vertical="top"/>
    </xf>
    <xf numFmtId="0" fontId="15" fillId="0" borderId="24" xfId="0" applyFont="1" applyBorder="1" applyAlignment="1">
      <alignment vertical="top"/>
    </xf>
    <xf numFmtId="0" fontId="15" fillId="0" borderId="25" xfId="0" applyFont="1" applyBorder="1" applyAlignment="1">
      <alignment vertical="top"/>
    </xf>
    <xf numFmtId="0" fontId="16" fillId="0" borderId="5" xfId="0" applyFont="1" applyBorder="1" applyAlignment="1">
      <alignment vertical="top"/>
    </xf>
    <xf numFmtId="0" fontId="0" fillId="0" borderId="6" xfId="0" applyBorder="1" applyAlignment="1">
      <alignment horizontal="left" wrapText="1"/>
    </xf>
    <xf numFmtId="0" fontId="0" fillId="0" borderId="12" xfId="0" applyBorder="1" applyAlignment="1">
      <alignment vertical="top"/>
    </xf>
    <xf numFmtId="0" fontId="0" fillId="0" borderId="5" xfId="0" applyBorder="1" applyAlignment="1">
      <alignment vertical="top"/>
    </xf>
    <xf numFmtId="0" fontId="15" fillId="0" borderId="24" xfId="0" applyFont="1" applyBorder="1" applyAlignment="1">
      <alignment horizontal="left" wrapText="1"/>
    </xf>
    <xf numFmtId="0" fontId="15" fillId="0" borderId="24" xfId="0" applyFont="1" applyBorder="1"/>
    <xf numFmtId="0" fontId="15" fillId="0" borderId="25" xfId="0" applyFont="1" applyBorder="1" applyAlignment="1">
      <alignment horizontal="left" wrapText="1"/>
    </xf>
    <xf numFmtId="0" fontId="0" fillId="0" borderId="6" xfId="0" applyBorder="1"/>
    <xf numFmtId="14" fontId="0" fillId="0" borderId="6" xfId="0" applyNumberFormat="1" applyBorder="1"/>
    <xf numFmtId="0" fontId="0" fillId="0" borderId="12" xfId="0" applyBorder="1"/>
    <xf numFmtId="0" fontId="16" fillId="0" borderId="7" xfId="0" applyFont="1" applyFill="1" applyBorder="1" applyAlignment="1">
      <alignment vertical="top"/>
    </xf>
    <xf numFmtId="0" fontId="16" fillId="0" borderId="8" xfId="0" applyFont="1" applyBorder="1" applyAlignment="1">
      <alignment wrapText="1"/>
    </xf>
    <xf numFmtId="14" fontId="0" fillId="0" borderId="8" xfId="0" applyNumberFormat="1" applyBorder="1"/>
    <xf numFmtId="0" fontId="0" fillId="0" borderId="0" xfId="0" applyNumberFormat="1"/>
    <xf numFmtId="0" fontId="16" fillId="0" borderId="0" xfId="0" applyNumberFormat="1" applyFont="1"/>
    <xf numFmtId="14" fontId="7" fillId="6" borderId="6" xfId="0" applyNumberFormat="1" applyFont="1" applyFill="1" applyBorder="1" applyAlignment="1" applyProtection="1">
      <alignment horizontal="center"/>
      <protection locked="0"/>
    </xf>
    <xf numFmtId="14" fontId="7" fillId="6" borderId="17" xfId="0" applyNumberFormat="1" applyFont="1" applyFill="1" applyBorder="1" applyAlignment="1" applyProtection="1">
      <alignment horizontal="center"/>
      <protection locked="0"/>
    </xf>
    <xf numFmtId="0" fontId="0" fillId="0" borderId="0" xfId="0" applyAlignment="1">
      <alignment horizontal="center"/>
    </xf>
    <xf numFmtId="0" fontId="0" fillId="0" borderId="0" xfId="0" applyFont="1"/>
    <xf numFmtId="0" fontId="0" fillId="0" borderId="6" xfId="0" applyBorder="1" applyAlignment="1">
      <alignment wrapText="1"/>
    </xf>
    <xf numFmtId="0" fontId="0" fillId="0" borderId="6" xfId="0" quotePrefix="1" applyFill="1" applyBorder="1" applyAlignment="1">
      <alignment vertical="top" wrapText="1"/>
    </xf>
    <xf numFmtId="0" fontId="0" fillId="0" borderId="6" xfId="0" applyFill="1" applyBorder="1" applyAlignment="1">
      <alignment wrapText="1"/>
    </xf>
    <xf numFmtId="0" fontId="2" fillId="12" borderId="6" xfId="0" applyFont="1" applyFill="1" applyBorder="1"/>
    <xf numFmtId="0" fontId="2" fillId="13" borderId="6" xfId="0" applyFont="1" applyFill="1" applyBorder="1"/>
    <xf numFmtId="0" fontId="2" fillId="7" borderId="5" xfId="0" applyFont="1" applyFill="1" applyBorder="1" applyAlignment="1">
      <alignment wrapText="1"/>
    </xf>
    <xf numFmtId="0" fontId="2" fillId="7" borderId="7" xfId="0" applyFont="1" applyFill="1" applyBorder="1"/>
    <xf numFmtId="0" fontId="0" fillId="0" borderId="27" xfId="0" applyBorder="1"/>
    <xf numFmtId="0" fontId="0" fillId="0" borderId="5" xfId="0" applyBorder="1"/>
    <xf numFmtId="0" fontId="0" fillId="0" borderId="7" xfId="0" applyBorder="1"/>
    <xf numFmtId="0" fontId="2" fillId="7" borderId="1" xfId="0" applyFont="1" applyFill="1" applyBorder="1"/>
    <xf numFmtId="0" fontId="2" fillId="7" borderId="27" xfId="0" applyFont="1" applyFill="1" applyBorder="1"/>
    <xf numFmtId="0" fontId="2" fillId="2" borderId="1" xfId="0" applyFont="1" applyFill="1" applyBorder="1" applyAlignment="1">
      <alignment horizontal="center" vertical="center"/>
    </xf>
    <xf numFmtId="0" fontId="8" fillId="0" borderId="34" xfId="0" applyFont="1" applyBorder="1"/>
    <xf numFmtId="38" fontId="2" fillId="6" borderId="12" xfId="1" applyNumberFormat="1" applyFont="1" applyFill="1" applyBorder="1" applyAlignment="1" applyProtection="1">
      <alignment horizontal="center" vertical="center"/>
      <protection locked="0"/>
    </xf>
    <xf numFmtId="166" fontId="2" fillId="6" borderId="12" xfId="1" applyNumberFormat="1" applyFont="1" applyFill="1" applyBorder="1" applyAlignment="1" applyProtection="1">
      <alignment horizontal="center" vertical="center"/>
      <protection locked="0"/>
    </xf>
    <xf numFmtId="38" fontId="2" fillId="6" borderId="12" xfId="1" applyNumberFormat="1" applyFont="1" applyFill="1" applyBorder="1" applyAlignment="1" applyProtection="1">
      <alignment vertical="center"/>
      <protection locked="0"/>
    </xf>
    <xf numFmtId="38" fontId="2" fillId="6" borderId="29" xfId="0" applyNumberFormat="1" applyFont="1" applyFill="1" applyBorder="1" applyAlignment="1" applyProtection="1">
      <alignment vertical="center"/>
      <protection locked="0"/>
    </xf>
    <xf numFmtId="14" fontId="2" fillId="6" borderId="12" xfId="1" applyNumberFormat="1" applyFont="1" applyFill="1" applyBorder="1" applyAlignment="1" applyProtection="1">
      <alignment horizontal="center" vertical="center"/>
      <protection locked="0"/>
    </xf>
    <xf numFmtId="164" fontId="7" fillId="6" borderId="25" xfId="0" applyNumberFormat="1" applyFont="1" applyFill="1" applyBorder="1" applyProtection="1">
      <protection locked="0"/>
    </xf>
    <xf numFmtId="164" fontId="7" fillId="6" borderId="12" xfId="0" applyNumberFormat="1" applyFont="1" applyFill="1" applyBorder="1" applyProtection="1">
      <protection locked="0"/>
    </xf>
    <xf numFmtId="0" fontId="4" fillId="0" borderId="2" xfId="0" applyFont="1" applyFill="1" applyBorder="1" applyAlignment="1">
      <alignment horizontal="center" vertical="center"/>
    </xf>
    <xf numFmtId="0" fontId="5" fillId="0" borderId="6" xfId="0" applyFont="1" applyBorder="1"/>
    <xf numFmtId="0" fontId="5" fillId="0" borderId="24" xfId="0" applyFont="1" applyBorder="1"/>
    <xf numFmtId="0" fontId="15" fillId="11" borderId="0" xfId="0" applyFont="1" applyFill="1" applyBorder="1"/>
    <xf numFmtId="0" fontId="2" fillId="0" borderId="0" xfId="0" applyFont="1" applyFill="1"/>
    <xf numFmtId="0" fontId="16" fillId="0" borderId="0" xfId="0" applyFont="1" applyFill="1" applyBorder="1" applyAlignment="1"/>
    <xf numFmtId="0" fontId="16" fillId="0" borderId="0" xfId="0" applyFont="1" applyBorder="1" applyAlignment="1"/>
    <xf numFmtId="0" fontId="16" fillId="0" borderId="0" xfId="0" quotePrefix="1" applyFont="1" applyFill="1" applyBorder="1" applyAlignment="1">
      <alignment wrapText="1"/>
    </xf>
    <xf numFmtId="0" fontId="16" fillId="0" borderId="0" xfId="0" applyFont="1" applyFill="1" applyBorder="1" applyAlignment="1">
      <alignment wrapText="1"/>
    </xf>
    <xf numFmtId="0" fontId="0" fillId="0" borderId="38" xfId="0" applyBorder="1" applyAlignment="1">
      <alignment vertical="top"/>
    </xf>
    <xf numFmtId="0" fontId="0" fillId="0" borderId="39" xfId="0" applyBorder="1" applyAlignment="1">
      <alignment horizontal="left" wrapText="1"/>
    </xf>
    <xf numFmtId="0" fontId="0" fillId="0" borderId="40" xfId="0" applyBorder="1" applyAlignment="1">
      <alignment vertical="top"/>
    </xf>
    <xf numFmtId="0" fontId="19" fillId="0" borderId="0" xfId="0" applyFont="1"/>
    <xf numFmtId="43" fontId="5" fillId="0" borderId="25" xfId="1" quotePrefix="1" applyFont="1" applyBorder="1" applyAlignment="1">
      <alignment horizontal="left"/>
    </xf>
    <xf numFmtId="43" fontId="5" fillId="0" borderId="12" xfId="1" applyFont="1" applyBorder="1"/>
    <xf numFmtId="43" fontId="5" fillId="0" borderId="19" xfId="1" applyFont="1" applyBorder="1"/>
    <xf numFmtId="167" fontId="7" fillId="6" borderId="6" xfId="0" applyNumberFormat="1" applyFont="1" applyFill="1" applyBorder="1" applyProtection="1">
      <protection locked="0"/>
    </xf>
    <xf numFmtId="167" fontId="7" fillId="6" borderId="17" xfId="0" applyNumberFormat="1" applyFont="1" applyFill="1" applyBorder="1" applyProtection="1">
      <protection locked="0"/>
    </xf>
    <xf numFmtId="167" fontId="7" fillId="6" borderId="12" xfId="0" applyNumberFormat="1" applyFont="1" applyFill="1" applyBorder="1" applyProtection="1">
      <protection locked="0"/>
    </xf>
    <xf numFmtId="167" fontId="7" fillId="6" borderId="20" xfId="0" applyNumberFormat="1" applyFont="1" applyFill="1" applyBorder="1" applyProtection="1">
      <protection locked="0"/>
    </xf>
    <xf numFmtId="0" fontId="20" fillId="0" borderId="27" xfId="0" applyFont="1" applyBorder="1" applyAlignment="1">
      <alignment horizontal="left" vertical="top" wrapText="1"/>
    </xf>
    <xf numFmtId="0" fontId="20" fillId="0" borderId="7" xfId="0" applyFont="1" applyBorder="1" applyAlignment="1">
      <alignment horizontal="left" vertical="top" wrapText="1"/>
    </xf>
    <xf numFmtId="0" fontId="21" fillId="0" borderId="27" xfId="0" applyFont="1" applyBorder="1" applyAlignment="1">
      <alignment horizontal="left" vertical="top" wrapText="1"/>
    </xf>
    <xf numFmtId="0" fontId="21" fillId="0" borderId="7" xfId="0" applyFont="1" applyBorder="1" applyAlignment="1">
      <alignment horizontal="left" vertical="top" wrapText="1"/>
    </xf>
    <xf numFmtId="0" fontId="22" fillId="2" borderId="1" xfId="0" applyFont="1" applyFill="1" applyBorder="1" applyAlignment="1">
      <alignment horizontal="center" vertical="center"/>
    </xf>
    <xf numFmtId="0" fontId="23" fillId="0" borderId="2" xfId="0" applyFont="1" applyBorder="1" applyAlignment="1">
      <alignment horizontal="center" vertical="center"/>
    </xf>
    <xf numFmtId="0" fontId="0" fillId="0" borderId="24" xfId="0" applyBorder="1"/>
    <xf numFmtId="0" fontId="0" fillId="0" borderId="3" xfId="0" applyBorder="1" applyAlignment="1">
      <alignment horizontal="left" vertical="top" indent="1"/>
    </xf>
    <xf numFmtId="38" fontId="2" fillId="6" borderId="4" xfId="1" applyNumberFormat="1" applyFont="1" applyFill="1" applyBorder="1" applyAlignment="1" applyProtection="1">
      <alignment horizontal="left" vertical="center"/>
      <protection locked="0"/>
    </xf>
    <xf numFmtId="0" fontId="8" fillId="0" borderId="16" xfId="0" applyFont="1" applyBorder="1"/>
    <xf numFmtId="0" fontId="5" fillId="0" borderId="7" xfId="0" applyFont="1" applyBorder="1" applyAlignment="1">
      <alignment vertical="top"/>
    </xf>
    <xf numFmtId="0" fontId="5" fillId="0" borderId="8" xfId="0" applyFont="1" applyBorder="1" applyAlignment="1">
      <alignment horizontal="left" wrapText="1"/>
    </xf>
    <xf numFmtId="0" fontId="5" fillId="0" borderId="19" xfId="0" applyFont="1" applyBorder="1" applyAlignment="1">
      <alignment vertical="top"/>
    </xf>
    <xf numFmtId="0" fontId="0" fillId="0" borderId="25" xfId="0" applyFont="1" applyBorder="1" applyAlignment="1">
      <alignment horizontal="left" wrapText="1"/>
    </xf>
    <xf numFmtId="0" fontId="0" fillId="0" borderId="12" xfId="0" applyFont="1" applyBorder="1" applyAlignment="1">
      <alignment horizontal="left" wrapText="1"/>
    </xf>
    <xf numFmtId="0" fontId="0" fillId="0" borderId="19" xfId="0" applyFont="1" applyBorder="1" applyAlignment="1">
      <alignment horizontal="left" wrapText="1"/>
    </xf>
    <xf numFmtId="0" fontId="5" fillId="0" borderId="12" xfId="0" applyFont="1" applyBorder="1" applyAlignment="1">
      <alignment horizontal="left" wrapText="1"/>
    </xf>
    <xf numFmtId="15" fontId="5" fillId="0" borderId="12" xfId="0" applyNumberFormat="1" applyFont="1" applyBorder="1" applyAlignment="1">
      <alignment horizontal="left" wrapText="1"/>
    </xf>
    <xf numFmtId="0" fontId="5" fillId="0" borderId="25" xfId="0" applyFont="1" applyBorder="1" applyAlignment="1">
      <alignment horizontal="left" wrapText="1"/>
    </xf>
    <xf numFmtId="0" fontId="25" fillId="0" borderId="0" xfId="0" applyFont="1" applyAlignment="1">
      <alignment vertical="top"/>
    </xf>
    <xf numFmtId="0" fontId="26" fillId="0" borderId="0" xfId="0" applyFont="1" applyAlignment="1">
      <alignment horizontal="left" wrapText="1"/>
    </xf>
    <xf numFmtId="0" fontId="0" fillId="0" borderId="41" xfId="0" applyFont="1" applyBorder="1" applyAlignment="1">
      <alignment horizontal="left" wrapText="1"/>
    </xf>
    <xf numFmtId="0" fontId="8" fillId="0" borderId="12" xfId="0" applyFont="1" applyFill="1" applyBorder="1" applyAlignment="1">
      <alignment horizontal="left" wrapText="1"/>
    </xf>
    <xf numFmtId="0" fontId="26" fillId="0" borderId="19" xfId="0" applyFont="1" applyBorder="1" applyAlignment="1">
      <alignment horizontal="left" wrapText="1"/>
    </xf>
    <xf numFmtId="0" fontId="0" fillId="0" borderId="0" xfId="0" applyAlignment="1">
      <alignment horizontal="left"/>
    </xf>
    <xf numFmtId="0" fontId="25" fillId="10" borderId="25" xfId="0" applyFont="1" applyFill="1" applyBorder="1" applyAlignment="1" applyProtection="1">
      <alignment horizontal="center" vertical="center" wrapText="1"/>
    </xf>
    <xf numFmtId="0" fontId="2" fillId="0" borderId="0" xfId="0" applyFont="1" applyFill="1" applyBorder="1" applyAlignment="1">
      <alignment horizontal="center" vertical="center"/>
    </xf>
    <xf numFmtId="0" fontId="5" fillId="0" borderId="1" xfId="0" applyFont="1" applyBorder="1" applyAlignment="1">
      <alignment horizontal="left" vertical="center"/>
    </xf>
    <xf numFmtId="0" fontId="2" fillId="2" borderId="2" xfId="0" applyFont="1" applyFill="1" applyBorder="1" applyAlignment="1">
      <alignment horizontal="center" vertical="center"/>
    </xf>
    <xf numFmtId="0" fontId="24" fillId="10" borderId="32" xfId="0" applyFont="1" applyFill="1" applyBorder="1" applyAlignment="1">
      <alignment horizontal="center" wrapText="1"/>
    </xf>
    <xf numFmtId="0" fontId="24" fillId="10" borderId="34" xfId="0" applyFont="1" applyFill="1" applyBorder="1" applyAlignment="1">
      <alignment horizontal="center" vertical="center"/>
    </xf>
    <xf numFmtId="0" fontId="0" fillId="10" borderId="2" xfId="0" applyFont="1" applyFill="1" applyBorder="1" applyAlignment="1">
      <alignment horizontal="center"/>
    </xf>
    <xf numFmtId="0" fontId="0" fillId="10" borderId="12" xfId="0" applyFont="1" applyFill="1" applyBorder="1" applyAlignment="1">
      <alignment horizontal="left"/>
    </xf>
    <xf numFmtId="0" fontId="0" fillId="0" borderId="39" xfId="0" applyBorder="1"/>
    <xf numFmtId="14" fontId="0" fillId="0" borderId="39" xfId="0" applyNumberFormat="1" applyBorder="1"/>
    <xf numFmtId="0" fontId="0" fillId="0" borderId="40" xfId="0" applyBorder="1" applyAlignment="1">
      <alignment wrapText="1"/>
    </xf>
    <xf numFmtId="0" fontId="0" fillId="0" borderId="40" xfId="0" applyBorder="1"/>
    <xf numFmtId="0" fontId="0" fillId="0" borderId="0" xfId="0" quotePrefix="1" applyFill="1" applyAlignment="1">
      <alignment wrapText="1"/>
    </xf>
    <xf numFmtId="0" fontId="2" fillId="0" borderId="0" xfId="0" applyFont="1" applyBorder="1"/>
    <xf numFmtId="0" fontId="0" fillId="0" borderId="13" xfId="0" applyFont="1" applyBorder="1"/>
    <xf numFmtId="0" fontId="0" fillId="0" borderId="10" xfId="0" applyFont="1" applyBorder="1"/>
    <xf numFmtId="0" fontId="0" fillId="0" borderId="11" xfId="0" applyFont="1" applyBorder="1"/>
    <xf numFmtId="165" fontId="4" fillId="0" borderId="19" xfId="2" applyNumberFormat="1" applyFont="1" applyFill="1" applyBorder="1" applyAlignment="1">
      <alignment horizontal="right"/>
    </xf>
    <xf numFmtId="43" fontId="2" fillId="5" borderId="22" xfId="1" applyFont="1" applyFill="1" applyBorder="1" applyAlignment="1">
      <alignment horizontal="right"/>
    </xf>
    <xf numFmtId="43" fontId="2" fillId="5" borderId="29" xfId="1" applyFont="1" applyFill="1" applyBorder="1" applyAlignment="1">
      <alignment horizontal="right"/>
    </xf>
    <xf numFmtId="9" fontId="0" fillId="0" borderId="0" xfId="2" applyFont="1"/>
    <xf numFmtId="0" fontId="4" fillId="0" borderId="24" xfId="0" applyFont="1" applyFill="1" applyBorder="1" applyAlignment="1">
      <alignment horizontal="center" vertical="center"/>
    </xf>
    <xf numFmtId="0" fontId="4" fillId="0" borderId="8" xfId="0" applyFont="1" applyFill="1" applyBorder="1" applyAlignment="1">
      <alignment horizontal="center" vertical="center"/>
    </xf>
    <xf numFmtId="0" fontId="0" fillId="14" borderId="0" xfId="0" quotePrefix="1" applyFill="1"/>
    <xf numFmtId="0" fontId="28" fillId="0" borderId="0" xfId="0" applyFont="1"/>
    <xf numFmtId="0" fontId="0" fillId="0" borderId="38" xfId="0" applyBorder="1" applyAlignment="1">
      <alignment horizontal="left" vertical="top" indent="1"/>
    </xf>
    <xf numFmtId="15" fontId="5" fillId="0" borderId="40" xfId="0" applyNumberFormat="1" applyFont="1" applyBorder="1" applyAlignment="1">
      <alignment horizontal="left" wrapText="1"/>
    </xf>
    <xf numFmtId="0" fontId="5" fillId="10" borderId="31" xfId="0" applyFont="1" applyFill="1" applyBorder="1" applyAlignment="1">
      <alignment horizontal="center" vertical="center"/>
    </xf>
    <xf numFmtId="0" fontId="0" fillId="10" borderId="14" xfId="0" applyFill="1" applyBorder="1"/>
    <xf numFmtId="0" fontId="0" fillId="10" borderId="16" xfId="0" applyFill="1" applyBorder="1"/>
    <xf numFmtId="0" fontId="0" fillId="0" borderId="36" xfId="0" applyBorder="1"/>
    <xf numFmtId="0" fontId="17" fillId="0" borderId="0" xfId="0" applyFont="1" applyAlignment="1">
      <alignment horizontal="left" wrapText="1"/>
    </xf>
    <xf numFmtId="0" fontId="5" fillId="10" borderId="35" xfId="6" applyFont="1" applyFill="1" applyBorder="1" applyAlignment="1">
      <alignment horizontal="center" vertical="center" wrapText="1"/>
    </xf>
    <xf numFmtId="0" fontId="5" fillId="10" borderId="23" xfId="6" applyFont="1" applyFill="1" applyBorder="1" applyAlignment="1">
      <alignment horizontal="center" vertical="center" wrapText="1"/>
    </xf>
    <xf numFmtId="0" fontId="5" fillId="10" borderId="18" xfId="6" applyFont="1" applyFill="1" applyBorder="1" applyAlignment="1">
      <alignment horizontal="center" vertical="center" wrapText="1"/>
    </xf>
    <xf numFmtId="0" fontId="5" fillId="10" borderId="10" xfId="6" applyFont="1" applyFill="1" applyBorder="1" applyAlignment="1">
      <alignment horizontal="center" vertical="center" wrapText="1"/>
    </xf>
    <xf numFmtId="0" fontId="5" fillId="10" borderId="0" xfId="6" applyFont="1" applyFill="1" applyBorder="1" applyAlignment="1">
      <alignment horizontal="center" vertical="center" wrapText="1"/>
    </xf>
    <xf numFmtId="0" fontId="5" fillId="10" borderId="11" xfId="6" applyFont="1" applyFill="1" applyBorder="1" applyAlignment="1">
      <alignment horizontal="center" vertical="center" wrapText="1"/>
    </xf>
    <xf numFmtId="0" fontId="5" fillId="10" borderId="13" xfId="6" applyFont="1" applyFill="1" applyBorder="1" applyAlignment="1">
      <alignment horizontal="center" vertical="center" wrapText="1"/>
    </xf>
    <xf numFmtId="0" fontId="5" fillId="10" borderId="37" xfId="6" applyFont="1" applyFill="1" applyBorder="1" applyAlignment="1">
      <alignment horizontal="center" vertical="center" wrapText="1"/>
    </xf>
    <xf numFmtId="0" fontId="5" fillId="10" borderId="36" xfId="6" applyFont="1" applyFill="1" applyBorder="1" applyAlignment="1">
      <alignment horizontal="center" vertical="center" wrapText="1"/>
    </xf>
    <xf numFmtId="0" fontId="0" fillId="10" borderId="15" xfId="0" applyFill="1" applyBorder="1" applyAlignment="1">
      <alignment horizontal="center"/>
    </xf>
    <xf numFmtId="0" fontId="0" fillId="0" borderId="0" xfId="0" applyAlignment="1">
      <alignment horizontal="left" vertical="center"/>
    </xf>
    <xf numFmtId="0" fontId="0" fillId="0" borderId="0" xfId="0" applyAlignment="1">
      <alignment horizontal="left"/>
    </xf>
    <xf numFmtId="0" fontId="11" fillId="0" borderId="0" xfId="0" applyFont="1" applyAlignment="1">
      <alignment horizontal="center"/>
    </xf>
    <xf numFmtId="0" fontId="2" fillId="2" borderId="14" xfId="0" applyFont="1" applyFill="1" applyBorder="1" applyAlignment="1">
      <alignment horizontal="center" vertical="center"/>
    </xf>
    <xf numFmtId="0" fontId="2" fillId="2" borderId="16" xfId="0" applyFont="1" applyFill="1" applyBorder="1" applyAlignment="1">
      <alignment horizontal="center" vertical="center"/>
    </xf>
    <xf numFmtId="0" fontId="0" fillId="10" borderId="5" xfId="0" applyFill="1" applyBorder="1" applyAlignment="1">
      <alignment horizontal="center" wrapText="1"/>
    </xf>
    <xf numFmtId="0" fontId="0" fillId="10" borderId="12" xfId="0" applyFill="1" applyBorder="1" applyAlignment="1">
      <alignment horizontal="center" wrapText="1"/>
    </xf>
    <xf numFmtId="0" fontId="2" fillId="2" borderId="35" xfId="0" applyFont="1" applyFill="1" applyBorder="1" applyAlignment="1">
      <alignment horizontal="center" vertical="center"/>
    </xf>
    <xf numFmtId="0" fontId="2" fillId="2" borderId="18" xfId="0" applyFont="1" applyFill="1" applyBorder="1" applyAlignment="1">
      <alignment horizontal="center" vertical="center"/>
    </xf>
    <xf numFmtId="0" fontId="0" fillId="10" borderId="14" xfId="0" applyFill="1" applyBorder="1" applyAlignment="1">
      <alignment horizontal="center" vertical="center" wrapText="1"/>
    </xf>
    <xf numFmtId="0" fontId="0" fillId="10" borderId="16" xfId="0" applyFill="1" applyBorder="1" applyAlignment="1">
      <alignment horizontal="center" vertical="center" wrapText="1"/>
    </xf>
    <xf numFmtId="0" fontId="0" fillId="10" borderId="35" xfId="0" applyFill="1" applyBorder="1" applyAlignment="1">
      <alignment horizontal="center" vertical="center" wrapText="1"/>
    </xf>
    <xf numFmtId="0" fontId="0" fillId="10" borderId="23" xfId="0" applyFill="1" applyBorder="1" applyAlignment="1">
      <alignment horizontal="center" vertical="center" wrapText="1"/>
    </xf>
    <xf numFmtId="0" fontId="0" fillId="10" borderId="18"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1"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37" xfId="0" applyFill="1" applyBorder="1" applyAlignment="1">
      <alignment horizontal="center" vertical="center" wrapText="1"/>
    </xf>
    <xf numFmtId="0" fontId="0" fillId="10" borderId="36" xfId="0" applyFill="1" applyBorder="1" applyAlignment="1">
      <alignment horizontal="center" vertical="center" wrapText="1"/>
    </xf>
    <xf numFmtId="0" fontId="9" fillId="0" borderId="23" xfId="0" applyFont="1" applyFill="1" applyBorder="1" applyAlignment="1">
      <alignment horizontal="center" vertical="center"/>
    </xf>
    <xf numFmtId="0" fontId="2" fillId="8" borderId="14" xfId="0" applyFont="1" applyFill="1" applyBorder="1" applyAlignment="1">
      <alignment horizontal="center" vertical="center"/>
    </xf>
    <xf numFmtId="0" fontId="2" fillId="8" borderId="23" xfId="0" applyFont="1" applyFill="1" applyBorder="1" applyAlignment="1">
      <alignment horizontal="center" vertical="center"/>
    </xf>
    <xf numFmtId="0" fontId="2" fillId="8" borderId="18" xfId="0" applyFont="1" applyFill="1" applyBorder="1" applyAlignment="1">
      <alignment horizontal="center" vertical="center"/>
    </xf>
    <xf numFmtId="0" fontId="3" fillId="3" borderId="4"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0" fillId="10" borderId="32" xfId="0" applyFont="1" applyFill="1" applyBorder="1" applyAlignment="1">
      <alignment horizontal="center" vertical="center" wrapText="1"/>
    </xf>
    <xf numFmtId="0" fontId="10" fillId="10" borderId="33" xfId="0" applyFont="1" applyFill="1" applyBorder="1" applyAlignment="1">
      <alignment horizontal="center" vertical="center" wrapText="1"/>
    </xf>
    <xf numFmtId="0" fontId="10" fillId="10" borderId="34" xfId="0" applyFont="1" applyFill="1" applyBorder="1" applyAlignment="1">
      <alignment horizontal="center" vertical="center" wrapText="1"/>
    </xf>
    <xf numFmtId="0" fontId="9" fillId="0" borderId="15" xfId="0" applyFont="1" applyFill="1" applyBorder="1" applyAlignment="1" applyProtection="1">
      <alignment horizontal="center" vertical="center"/>
    </xf>
    <xf numFmtId="0" fontId="9" fillId="0" borderId="15" xfId="0" applyFont="1" applyFill="1" applyBorder="1" applyAlignment="1">
      <alignment horizontal="center" vertical="center"/>
    </xf>
  </cellXfs>
  <cellStyles count="7">
    <cellStyle name="Comma" xfId="1" builtinId="3"/>
    <cellStyle name="Hyperlink" xfId="6" builtinId="8"/>
    <cellStyle name="Normal" xfId="0" builtinId="0"/>
    <cellStyle name="Normal 3" xfId="3" xr:uid="{C2E9D189-6146-47DB-BB7B-E745E47CE95B}"/>
    <cellStyle name="Normal 4" xfId="5" xr:uid="{21041FE1-9009-497A-8DBF-8FE77199777B}"/>
    <cellStyle name="Normal 4 4" xfId="4" xr:uid="{495A66D0-962D-4CF8-9E53-F99CF8AA61FC}"/>
    <cellStyle name="Percent" xfId="2" builtinId="5"/>
  </cellStyles>
  <dxfs count="31">
    <dxf>
      <font>
        <color rgb="FFFF0000"/>
      </font>
    </dxf>
    <dxf>
      <font>
        <color rgb="FFFF0000"/>
      </font>
    </dxf>
    <dxf>
      <font>
        <color theme="0"/>
      </font>
      <fill>
        <patternFill>
          <bgColor theme="0"/>
        </patternFill>
      </fill>
      <border>
        <left/>
        <right/>
        <top/>
        <bottom/>
        <vertical/>
        <horizontal/>
      </border>
    </dxf>
    <dxf>
      <font>
        <color theme="0"/>
      </font>
      <fill>
        <patternFill>
          <bgColor theme="0"/>
        </patternFill>
      </fill>
      <border>
        <left/>
        <right/>
        <top/>
        <bottom/>
      </border>
    </dxf>
    <dxf>
      <font>
        <color theme="0"/>
      </font>
      <fill>
        <patternFill>
          <bgColor theme="0"/>
        </patternFill>
      </fill>
      <border>
        <left/>
        <right/>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66FF66"/>
        </patternFill>
      </fill>
    </dxf>
    <dxf>
      <font>
        <color theme="0"/>
      </font>
      <fill>
        <patternFill>
          <bgColor theme="0"/>
        </patternFill>
      </fill>
      <border>
        <left/>
        <right/>
        <top/>
        <bottom/>
        <vertical/>
        <horizontal/>
      </border>
    </dxf>
    <dxf>
      <fill>
        <patternFill>
          <bgColor rgb="FF66FF66"/>
        </patternFill>
      </fill>
    </dxf>
    <dxf>
      <font>
        <color theme="0"/>
      </font>
      <fill>
        <patternFill>
          <bgColor theme="0"/>
        </patternFill>
      </fill>
      <border>
        <left/>
        <right/>
        <top/>
        <bottom/>
        <vertical/>
        <horizontal/>
      </border>
    </dxf>
    <dxf>
      <font>
        <color theme="0"/>
      </font>
      <fill>
        <patternFill>
          <bgColor rgb="FFFFFFFF"/>
        </patternFill>
      </fill>
      <border>
        <left/>
        <right/>
        <top/>
        <bottom/>
        <vertical/>
        <horizontal/>
      </border>
    </dxf>
    <dxf>
      <fill>
        <patternFill>
          <bgColor rgb="FF66FF66"/>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right/>
        <top/>
        <bottom/>
      </border>
    </dxf>
    <dxf>
      <font>
        <color theme="0"/>
      </font>
      <fill>
        <patternFill>
          <bgColor theme="0"/>
        </patternFill>
      </fill>
      <border>
        <left/>
        <right/>
        <top/>
        <bottom/>
        <vertical/>
        <horizontal/>
      </border>
    </dxf>
    <dxf>
      <fill>
        <patternFill>
          <bgColor rgb="FF66FF66"/>
        </patternFill>
      </fill>
    </dxf>
    <dxf>
      <fill>
        <patternFill>
          <bgColor rgb="FF66FF66"/>
        </patternFill>
      </fill>
    </dxf>
    <dxf>
      <fill>
        <patternFill>
          <bgColor rgb="FF66FF66"/>
        </patternFill>
      </fill>
    </dxf>
    <dxf>
      <font>
        <color theme="1"/>
      </font>
    </dxf>
    <dxf>
      <font>
        <color theme="1"/>
      </font>
    </dxf>
    <dxf>
      <font>
        <color rgb="FFFF0000"/>
      </font>
    </dxf>
    <dxf>
      <font>
        <color rgb="FFFF0000"/>
      </font>
    </dxf>
    <dxf>
      <fill>
        <patternFill>
          <bgColor rgb="FFFF0000"/>
        </patternFill>
      </fill>
    </dxf>
    <dxf>
      <fill>
        <patternFill>
          <bgColor rgb="FF66FF66"/>
        </patternFill>
      </fill>
    </dxf>
    <dxf>
      <fill>
        <patternFill>
          <bgColor rgb="FFFF0000"/>
        </patternFill>
      </fill>
    </dxf>
    <dxf>
      <fill>
        <patternFill>
          <bgColor rgb="FF66FF66"/>
        </patternFill>
      </fill>
    </dxf>
    <dxf>
      <font>
        <color auto="1"/>
      </font>
      <fill>
        <patternFill>
          <bgColor rgb="FF66FF66"/>
        </patternFill>
      </fill>
    </dxf>
    <dxf>
      <font>
        <color auto="1"/>
      </font>
      <fill>
        <patternFill>
          <bgColor rgb="FFFF3B3B"/>
        </patternFill>
      </fill>
    </dxf>
    <dxf>
      <fill>
        <patternFill>
          <bgColor rgb="FFFF0000"/>
        </patternFill>
      </fill>
    </dxf>
    <dxf>
      <fill>
        <patternFill>
          <bgColor rgb="FFFF0000"/>
        </patternFill>
      </fill>
      <border>
        <vertical/>
        <horizontal/>
      </border>
    </dxf>
  </dxfs>
  <tableStyles count="0" defaultTableStyle="TableStyleMedium2" defaultPivotStyle="PivotStyleLight16"/>
  <colors>
    <mruColors>
      <color rgb="FFFCE4D6"/>
      <color rgb="FF66FF66"/>
      <color rgb="FFFF0000"/>
      <color rgb="FF33CCFF"/>
      <color rgb="FFFF3B3B"/>
      <color rgb="FF66FF33"/>
      <color rgb="FFFFFFFF"/>
      <color rgb="FF00FF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1B344-46F9-4241-8A46-1F7E7708DDDF}">
  <sheetPr codeName="Sheet5"/>
  <dimension ref="B1:G233"/>
  <sheetViews>
    <sheetView showGridLines="0" workbookViewId="0">
      <selection activeCell="C46" sqref="C46"/>
    </sheetView>
  </sheetViews>
  <sheetFormatPr defaultRowHeight="15" x14ac:dyDescent="0.25"/>
  <cols>
    <col min="1" max="1" width="2.5703125" customWidth="1"/>
    <col min="2" max="2" width="43.5703125" customWidth="1"/>
    <col min="3" max="3" width="74.5703125" customWidth="1"/>
    <col min="4" max="4" width="14.85546875" customWidth="1"/>
    <col min="5" max="5" width="15.140625" customWidth="1"/>
    <col min="6" max="6" width="57.140625" customWidth="1"/>
    <col min="7" max="7" width="47" customWidth="1"/>
  </cols>
  <sheetData>
    <row r="1" spans="2:3" ht="38.25" customHeight="1" x14ac:dyDescent="0.25">
      <c r="B1" s="196" t="s">
        <v>111</v>
      </c>
      <c r="C1" s="196"/>
    </row>
    <row r="3" spans="2:3" ht="15.75" thickBot="1" x14ac:dyDescent="0.3">
      <c r="B3" s="66" t="s">
        <v>75</v>
      </c>
    </row>
    <row r="4" spans="2:3" x14ac:dyDescent="0.25">
      <c r="B4" s="67" t="s">
        <v>76</v>
      </c>
      <c r="C4" s="153" t="s">
        <v>112</v>
      </c>
    </row>
    <row r="5" spans="2:3" ht="30" x14ac:dyDescent="0.25">
      <c r="B5" s="68" t="s">
        <v>30</v>
      </c>
      <c r="C5" s="154" t="s">
        <v>113</v>
      </c>
    </row>
    <row r="6" spans="2:3" x14ac:dyDescent="0.25">
      <c r="B6" s="68" t="s">
        <v>77</v>
      </c>
      <c r="C6" s="156" t="s">
        <v>114</v>
      </c>
    </row>
    <row r="7" spans="2:3" x14ac:dyDescent="0.25">
      <c r="B7" s="68" t="s">
        <v>78</v>
      </c>
      <c r="C7" s="156" t="s">
        <v>115</v>
      </c>
    </row>
    <row r="8" spans="2:3" x14ac:dyDescent="0.25">
      <c r="B8" s="68" t="s">
        <v>79</v>
      </c>
      <c r="C8" s="156" t="s">
        <v>253</v>
      </c>
    </row>
    <row r="9" spans="2:3" x14ac:dyDescent="0.25">
      <c r="B9" s="68" t="s">
        <v>80</v>
      </c>
      <c r="C9" s="154"/>
    </row>
    <row r="10" spans="2:3" x14ac:dyDescent="0.25">
      <c r="B10" s="68" t="s">
        <v>81</v>
      </c>
      <c r="C10" s="157" t="s">
        <v>82</v>
      </c>
    </row>
    <row r="11" spans="2:3" x14ac:dyDescent="0.25">
      <c r="B11" s="190" t="s">
        <v>428</v>
      </c>
      <c r="C11" s="191" t="s">
        <v>429</v>
      </c>
    </row>
    <row r="12" spans="2:3" ht="30.75" customHeight="1" thickBot="1" x14ac:dyDescent="0.3">
      <c r="B12" s="69" t="s">
        <v>83</v>
      </c>
      <c r="C12" s="155" t="s">
        <v>430</v>
      </c>
    </row>
    <row r="13" spans="2:3" x14ac:dyDescent="0.25">
      <c r="B13" s="71"/>
      <c r="C13" s="72"/>
    </row>
    <row r="14" spans="2:3" ht="15.75" thickBot="1" x14ac:dyDescent="0.3">
      <c r="B14" s="73" t="s">
        <v>84</v>
      </c>
      <c r="C14" s="72"/>
    </row>
    <row r="15" spans="2:3" x14ac:dyDescent="0.25">
      <c r="B15" s="74" t="s">
        <v>31</v>
      </c>
      <c r="C15" s="158" t="s">
        <v>116</v>
      </c>
    </row>
    <row r="16" spans="2:3" ht="15.75" thickBot="1" x14ac:dyDescent="0.3">
      <c r="B16" s="69" t="s">
        <v>85</v>
      </c>
      <c r="C16" s="70" t="s">
        <v>117</v>
      </c>
    </row>
    <row r="17" spans="2:4" x14ac:dyDescent="0.25">
      <c r="B17" s="75"/>
      <c r="C17" s="72"/>
    </row>
    <row r="18" spans="2:4" ht="15.75" thickBot="1" x14ac:dyDescent="0.3">
      <c r="B18" s="73" t="s">
        <v>86</v>
      </c>
      <c r="C18" s="72"/>
    </row>
    <row r="19" spans="2:4" x14ac:dyDescent="0.25">
      <c r="B19" s="74" t="s">
        <v>87</v>
      </c>
      <c r="C19" s="148" t="s">
        <v>88</v>
      </c>
    </row>
    <row r="20" spans="2:4" ht="15" customHeight="1" x14ac:dyDescent="0.25">
      <c r="B20" s="147" t="s">
        <v>237</v>
      </c>
      <c r="C20" s="172" t="s">
        <v>238</v>
      </c>
    </row>
    <row r="21" spans="2:4" ht="15" customHeight="1" x14ac:dyDescent="0.25">
      <c r="B21" s="68" t="s">
        <v>89</v>
      </c>
      <c r="C21" s="161" t="s">
        <v>4</v>
      </c>
    </row>
    <row r="22" spans="2:4" ht="15.75" customHeight="1" x14ac:dyDescent="0.25">
      <c r="B22" s="68" t="s">
        <v>90</v>
      </c>
      <c r="C22" s="162" t="s">
        <v>118</v>
      </c>
    </row>
    <row r="23" spans="2:4" ht="30" x14ac:dyDescent="0.25">
      <c r="B23" s="68" t="s">
        <v>91</v>
      </c>
      <c r="C23" s="154" t="s">
        <v>354</v>
      </c>
    </row>
    <row r="24" spans="2:4" x14ac:dyDescent="0.25">
      <c r="B24" s="68" t="s">
        <v>92</v>
      </c>
      <c r="C24" s="154" t="s">
        <v>119</v>
      </c>
    </row>
    <row r="25" spans="2:4" ht="15.75" thickBot="1" x14ac:dyDescent="0.3">
      <c r="B25" s="69" t="s">
        <v>93</v>
      </c>
      <c r="C25" s="163" t="s">
        <v>94</v>
      </c>
    </row>
    <row r="26" spans="2:4" x14ac:dyDescent="0.25">
      <c r="B26" s="75"/>
      <c r="C26" s="72"/>
    </row>
    <row r="27" spans="2:4" ht="45" x14ac:dyDescent="0.25">
      <c r="B27" s="159" t="s">
        <v>95</v>
      </c>
      <c r="C27" s="160" t="s">
        <v>122</v>
      </c>
    </row>
    <row r="28" spans="2:4" x14ac:dyDescent="0.25">
      <c r="B28" s="75"/>
      <c r="C28" s="72"/>
    </row>
    <row r="29" spans="2:4" x14ac:dyDescent="0.25">
      <c r="B29" s="75"/>
      <c r="C29" s="72"/>
    </row>
    <row r="30" spans="2:4" ht="15.75" thickBot="1" x14ac:dyDescent="0.3">
      <c r="B30" s="76" t="s">
        <v>28</v>
      </c>
      <c r="C30" s="72"/>
    </row>
    <row r="31" spans="2:4" x14ac:dyDescent="0.25">
      <c r="B31" s="77" t="s">
        <v>7</v>
      </c>
      <c r="C31" s="78" t="s">
        <v>1</v>
      </c>
      <c r="D31" s="79" t="s">
        <v>96</v>
      </c>
    </row>
    <row r="32" spans="2:4" x14ac:dyDescent="0.25">
      <c r="B32" s="80" t="s">
        <v>97</v>
      </c>
      <c r="C32" s="81" t="s">
        <v>98</v>
      </c>
      <c r="D32" s="82" t="s">
        <v>99</v>
      </c>
    </row>
    <row r="33" spans="2:7" x14ac:dyDescent="0.25">
      <c r="B33" s="80" t="s">
        <v>84</v>
      </c>
      <c r="C33" s="81" t="s">
        <v>25</v>
      </c>
      <c r="D33" s="82" t="s">
        <v>99</v>
      </c>
    </row>
    <row r="34" spans="2:7" x14ac:dyDescent="0.25">
      <c r="B34" s="80" t="s">
        <v>126</v>
      </c>
      <c r="C34" s="81" t="s">
        <v>127</v>
      </c>
      <c r="D34" s="82" t="s">
        <v>99</v>
      </c>
    </row>
    <row r="35" spans="2:7" x14ac:dyDescent="0.25">
      <c r="B35" s="129" t="s">
        <v>194</v>
      </c>
      <c r="C35" s="130" t="s">
        <v>198</v>
      </c>
      <c r="D35" s="131" t="s">
        <v>100</v>
      </c>
    </row>
    <row r="36" spans="2:7" x14ac:dyDescent="0.25">
      <c r="B36" s="83" t="s">
        <v>355</v>
      </c>
      <c r="C36" s="81" t="s">
        <v>120</v>
      </c>
      <c r="D36" s="82" t="s">
        <v>100</v>
      </c>
    </row>
    <row r="37" spans="2:7" ht="30.75" thickBot="1" x14ac:dyDescent="0.3">
      <c r="B37" s="150" t="s">
        <v>41</v>
      </c>
      <c r="C37" s="151" t="s">
        <v>121</v>
      </c>
      <c r="D37" s="152" t="s">
        <v>101</v>
      </c>
    </row>
    <row r="38" spans="2:7" x14ac:dyDescent="0.25">
      <c r="B38" s="75"/>
      <c r="C38" s="72"/>
    </row>
    <row r="39" spans="2:7" ht="15.75" thickBot="1" x14ac:dyDescent="0.3">
      <c r="B39" s="76" t="s">
        <v>102</v>
      </c>
      <c r="C39" s="72"/>
    </row>
    <row r="40" spans="2:7" x14ac:dyDescent="0.25">
      <c r="B40" s="77" t="s">
        <v>103</v>
      </c>
      <c r="C40" s="84" t="s">
        <v>104</v>
      </c>
      <c r="D40" s="85" t="s">
        <v>105</v>
      </c>
      <c r="E40" s="84" t="s">
        <v>106</v>
      </c>
      <c r="F40" s="86" t="s">
        <v>107</v>
      </c>
      <c r="G40" s="86" t="s">
        <v>108</v>
      </c>
    </row>
    <row r="41" spans="2:7" ht="45" x14ac:dyDescent="0.25">
      <c r="B41" s="83" t="s">
        <v>109</v>
      </c>
      <c r="C41" s="81" t="s">
        <v>123</v>
      </c>
      <c r="D41" s="87" t="s">
        <v>110</v>
      </c>
      <c r="E41" s="88">
        <v>43384</v>
      </c>
      <c r="F41" s="53" t="s">
        <v>124</v>
      </c>
      <c r="G41" s="89"/>
    </row>
    <row r="42" spans="2:7" x14ac:dyDescent="0.25">
      <c r="B42" s="129" t="s">
        <v>256</v>
      </c>
      <c r="C42" s="130" t="s">
        <v>257</v>
      </c>
      <c r="D42" s="173" t="s">
        <v>110</v>
      </c>
      <c r="E42" s="174"/>
      <c r="F42" s="175"/>
      <c r="G42" s="176"/>
    </row>
    <row r="43" spans="2:7" ht="75" x14ac:dyDescent="0.25">
      <c r="B43" s="129" t="s">
        <v>258</v>
      </c>
      <c r="C43" s="130" t="s">
        <v>259</v>
      </c>
      <c r="D43" s="173" t="s">
        <v>260</v>
      </c>
      <c r="E43" s="174">
        <v>43718</v>
      </c>
      <c r="F43" s="175" t="s">
        <v>343</v>
      </c>
      <c r="G43" s="176"/>
    </row>
    <row r="44" spans="2:7" ht="45" x14ac:dyDescent="0.25">
      <c r="B44" s="129" t="s">
        <v>341</v>
      </c>
      <c r="C44" s="130" t="s">
        <v>342</v>
      </c>
      <c r="D44" s="173" t="s">
        <v>260</v>
      </c>
      <c r="E44" s="174">
        <v>43752</v>
      </c>
      <c r="F44" s="175" t="s">
        <v>344</v>
      </c>
      <c r="G44" s="176"/>
    </row>
    <row r="45" spans="2:7" ht="75" x14ac:dyDescent="0.25">
      <c r="B45" s="129" t="s">
        <v>431</v>
      </c>
      <c r="C45" s="130" t="s">
        <v>433</v>
      </c>
      <c r="D45" s="173" t="s">
        <v>260</v>
      </c>
      <c r="E45" s="174">
        <v>43487</v>
      </c>
      <c r="F45" s="175" t="s">
        <v>432</v>
      </c>
      <c r="G45" s="176"/>
    </row>
    <row r="46" spans="2:7" ht="15.75" thickBot="1" x14ac:dyDescent="0.3">
      <c r="B46" s="90"/>
      <c r="C46" s="91"/>
      <c r="D46" s="54"/>
      <c r="E46" s="92"/>
      <c r="F46" s="55"/>
      <c r="G46" s="55"/>
    </row>
    <row r="52" spans="2:3" x14ac:dyDescent="0.25">
      <c r="B52" s="93"/>
      <c r="C52" s="93"/>
    </row>
    <row r="53" spans="2:3" x14ac:dyDescent="0.25">
      <c r="B53" s="93"/>
      <c r="C53" s="93"/>
    </row>
    <row r="54" spans="2:3" x14ac:dyDescent="0.25">
      <c r="B54" s="93"/>
      <c r="C54" s="93"/>
    </row>
    <row r="55" spans="2:3" x14ac:dyDescent="0.25">
      <c r="B55" s="93"/>
      <c r="C55" s="93"/>
    </row>
    <row r="56" spans="2:3" x14ac:dyDescent="0.25">
      <c r="B56" s="93"/>
      <c r="C56" s="93"/>
    </row>
    <row r="57" spans="2:3" x14ac:dyDescent="0.25">
      <c r="B57" s="93"/>
      <c r="C57" s="93"/>
    </row>
    <row r="58" spans="2:3" x14ac:dyDescent="0.25">
      <c r="B58" s="93"/>
      <c r="C58" s="93"/>
    </row>
    <row r="59" spans="2:3" x14ac:dyDescent="0.25">
      <c r="B59" s="93"/>
      <c r="C59" s="93"/>
    </row>
    <row r="60" spans="2:3" x14ac:dyDescent="0.25">
      <c r="B60" s="93"/>
      <c r="C60" s="93"/>
    </row>
    <row r="61" spans="2:3" x14ac:dyDescent="0.25">
      <c r="B61" s="93"/>
      <c r="C61" s="93"/>
    </row>
    <row r="62" spans="2:3" x14ac:dyDescent="0.25">
      <c r="B62" s="93"/>
      <c r="C62" s="93"/>
    </row>
    <row r="63" spans="2:3" x14ac:dyDescent="0.25">
      <c r="B63" s="93"/>
      <c r="C63" s="93"/>
    </row>
    <row r="64" spans="2:3" x14ac:dyDescent="0.25">
      <c r="B64" s="93"/>
      <c r="C64" s="93"/>
    </row>
    <row r="65" spans="2:3" x14ac:dyDescent="0.25">
      <c r="B65" s="93"/>
      <c r="C65" s="93"/>
    </row>
    <row r="66" spans="2:3" x14ac:dyDescent="0.25">
      <c r="B66" s="93"/>
      <c r="C66" s="93"/>
    </row>
    <row r="67" spans="2:3" x14ac:dyDescent="0.25">
      <c r="B67" s="93"/>
      <c r="C67" s="93"/>
    </row>
    <row r="68" spans="2:3" x14ac:dyDescent="0.25">
      <c r="B68" s="93"/>
      <c r="C68" s="93"/>
    </row>
    <row r="69" spans="2:3" x14ac:dyDescent="0.25">
      <c r="B69" s="93"/>
      <c r="C69" s="93"/>
    </row>
    <row r="70" spans="2:3" x14ac:dyDescent="0.25">
      <c r="B70" s="93"/>
      <c r="C70" s="93"/>
    </row>
    <row r="71" spans="2:3" x14ac:dyDescent="0.25">
      <c r="B71" s="93"/>
      <c r="C71" s="93"/>
    </row>
    <row r="72" spans="2:3" x14ac:dyDescent="0.25">
      <c r="B72" s="93"/>
      <c r="C72" s="93"/>
    </row>
    <row r="73" spans="2:3" x14ac:dyDescent="0.25">
      <c r="B73" s="94"/>
      <c r="C73" s="93"/>
    </row>
    <row r="74" spans="2:3" x14ac:dyDescent="0.25">
      <c r="B74" s="93"/>
      <c r="C74" s="93"/>
    </row>
    <row r="75" spans="2:3" x14ac:dyDescent="0.25">
      <c r="B75" s="93"/>
      <c r="C75" s="93"/>
    </row>
    <row r="76" spans="2:3" x14ac:dyDescent="0.25">
      <c r="B76" s="93"/>
      <c r="C76" s="93"/>
    </row>
    <row r="77" spans="2:3" x14ac:dyDescent="0.25">
      <c r="B77" s="93"/>
      <c r="C77" s="93"/>
    </row>
    <row r="78" spans="2:3" x14ac:dyDescent="0.25">
      <c r="B78" s="93"/>
      <c r="C78" s="93"/>
    </row>
    <row r="79" spans="2:3" x14ac:dyDescent="0.25">
      <c r="B79" s="93"/>
      <c r="C79" s="93"/>
    </row>
    <row r="80" spans="2:3" x14ac:dyDescent="0.25">
      <c r="B80" s="93"/>
      <c r="C80" s="93"/>
    </row>
    <row r="81" spans="2:3" x14ac:dyDescent="0.25">
      <c r="B81" s="93"/>
      <c r="C81" s="93"/>
    </row>
    <row r="82" spans="2:3" x14ac:dyDescent="0.25">
      <c r="B82" s="93"/>
      <c r="C82" s="93"/>
    </row>
    <row r="83" spans="2:3" x14ac:dyDescent="0.25">
      <c r="B83" s="93"/>
      <c r="C83" s="93"/>
    </row>
    <row r="84" spans="2:3" x14ac:dyDescent="0.25">
      <c r="B84" s="93"/>
      <c r="C84" s="93"/>
    </row>
    <row r="85" spans="2:3" x14ac:dyDescent="0.25">
      <c r="B85" s="93"/>
      <c r="C85" s="93"/>
    </row>
    <row r="86" spans="2:3" x14ac:dyDescent="0.25">
      <c r="B86" s="93"/>
      <c r="C86" s="93"/>
    </row>
    <row r="87" spans="2:3" x14ac:dyDescent="0.25">
      <c r="B87" s="93"/>
      <c r="C87" s="93"/>
    </row>
    <row r="88" spans="2:3" x14ac:dyDescent="0.25">
      <c r="B88" s="93"/>
      <c r="C88" s="93"/>
    </row>
    <row r="89" spans="2:3" x14ac:dyDescent="0.25">
      <c r="B89" s="93"/>
      <c r="C89" s="93"/>
    </row>
    <row r="90" spans="2:3" x14ac:dyDescent="0.25">
      <c r="B90" s="93"/>
      <c r="C90" s="93"/>
    </row>
    <row r="91" spans="2:3" x14ac:dyDescent="0.25">
      <c r="B91" s="93"/>
      <c r="C91" s="93"/>
    </row>
    <row r="92" spans="2:3" x14ac:dyDescent="0.25">
      <c r="B92" s="93"/>
      <c r="C92" s="93"/>
    </row>
    <row r="93" spans="2:3" x14ac:dyDescent="0.25">
      <c r="B93" s="93"/>
      <c r="C93" s="93"/>
    </row>
    <row r="94" spans="2:3" x14ac:dyDescent="0.25">
      <c r="B94" s="93"/>
      <c r="C94" s="93"/>
    </row>
    <row r="95" spans="2:3" x14ac:dyDescent="0.25">
      <c r="B95" s="93"/>
      <c r="C95" s="93"/>
    </row>
    <row r="96" spans="2:3" x14ac:dyDescent="0.25">
      <c r="B96" s="93"/>
      <c r="C96" s="93"/>
    </row>
    <row r="97" spans="2:3" x14ac:dyDescent="0.25">
      <c r="B97" s="93"/>
      <c r="C97" s="93"/>
    </row>
    <row r="98" spans="2:3" x14ac:dyDescent="0.25">
      <c r="B98" s="93"/>
      <c r="C98" s="93"/>
    </row>
    <row r="99" spans="2:3" x14ac:dyDescent="0.25">
      <c r="B99" s="93"/>
      <c r="C99" s="93"/>
    </row>
    <row r="100" spans="2:3" x14ac:dyDescent="0.25">
      <c r="B100" s="93"/>
      <c r="C100" s="93"/>
    </row>
    <row r="101" spans="2:3" x14ac:dyDescent="0.25">
      <c r="B101" s="93"/>
      <c r="C101" s="93"/>
    </row>
    <row r="102" spans="2:3" x14ac:dyDescent="0.25">
      <c r="B102" s="93"/>
      <c r="C102" s="93"/>
    </row>
    <row r="103" spans="2:3" x14ac:dyDescent="0.25">
      <c r="B103" s="93"/>
      <c r="C103" s="93"/>
    </row>
    <row r="104" spans="2:3" x14ac:dyDescent="0.25">
      <c r="B104" s="93"/>
      <c r="C104" s="93"/>
    </row>
    <row r="105" spans="2:3" x14ac:dyDescent="0.25">
      <c r="B105" s="93"/>
      <c r="C105" s="93"/>
    </row>
    <row r="106" spans="2:3" x14ac:dyDescent="0.25">
      <c r="B106" s="93"/>
      <c r="C106" s="93"/>
    </row>
    <row r="107" spans="2:3" x14ac:dyDescent="0.25">
      <c r="B107" s="93"/>
      <c r="C107" s="93"/>
    </row>
    <row r="108" spans="2:3" x14ac:dyDescent="0.25">
      <c r="B108" s="93"/>
      <c r="C108" s="93"/>
    </row>
    <row r="109" spans="2:3" x14ac:dyDescent="0.25">
      <c r="B109" s="93"/>
      <c r="C109" s="93"/>
    </row>
    <row r="110" spans="2:3" x14ac:dyDescent="0.25">
      <c r="B110" s="93"/>
      <c r="C110" s="93"/>
    </row>
    <row r="111" spans="2:3" x14ac:dyDescent="0.25">
      <c r="B111" s="93"/>
      <c r="C111" s="93"/>
    </row>
    <row r="112" spans="2:3" x14ac:dyDescent="0.25">
      <c r="B112" s="93"/>
      <c r="C112" s="93"/>
    </row>
    <row r="113" spans="2:3" x14ac:dyDescent="0.25">
      <c r="B113" s="93"/>
      <c r="C113" s="93"/>
    </row>
    <row r="114" spans="2:3" x14ac:dyDescent="0.25">
      <c r="B114" s="93"/>
      <c r="C114" s="93"/>
    </row>
    <row r="115" spans="2:3" x14ac:dyDescent="0.25">
      <c r="B115" s="93"/>
      <c r="C115" s="93"/>
    </row>
    <row r="116" spans="2:3" x14ac:dyDescent="0.25">
      <c r="B116" s="93"/>
      <c r="C116" s="93"/>
    </row>
    <row r="117" spans="2:3" x14ac:dyDescent="0.25">
      <c r="B117" s="93"/>
      <c r="C117" s="93"/>
    </row>
    <row r="118" spans="2:3" x14ac:dyDescent="0.25">
      <c r="B118" s="93"/>
      <c r="C118" s="93"/>
    </row>
    <row r="119" spans="2:3" x14ac:dyDescent="0.25">
      <c r="B119" s="93"/>
      <c r="C119" s="93"/>
    </row>
    <row r="120" spans="2:3" x14ac:dyDescent="0.25">
      <c r="B120" s="93"/>
      <c r="C120" s="93"/>
    </row>
    <row r="121" spans="2:3" x14ac:dyDescent="0.25">
      <c r="B121" s="93"/>
      <c r="C121" s="93"/>
    </row>
    <row r="122" spans="2:3" x14ac:dyDescent="0.25">
      <c r="B122" s="93"/>
      <c r="C122" s="93"/>
    </row>
    <row r="123" spans="2:3" x14ac:dyDescent="0.25">
      <c r="B123" s="93"/>
      <c r="C123" s="93"/>
    </row>
    <row r="124" spans="2:3" x14ac:dyDescent="0.25">
      <c r="B124" s="93"/>
      <c r="C124" s="93"/>
    </row>
    <row r="125" spans="2:3" x14ac:dyDescent="0.25">
      <c r="B125" s="93"/>
      <c r="C125" s="93"/>
    </row>
    <row r="126" spans="2:3" x14ac:dyDescent="0.25">
      <c r="B126" s="93"/>
      <c r="C126" s="93"/>
    </row>
    <row r="127" spans="2:3" x14ac:dyDescent="0.25">
      <c r="B127" s="93"/>
      <c r="C127" s="93"/>
    </row>
    <row r="128" spans="2:3" x14ac:dyDescent="0.25">
      <c r="B128" s="93"/>
      <c r="C128" s="93"/>
    </row>
    <row r="129" spans="2:3" x14ac:dyDescent="0.25">
      <c r="B129" s="93"/>
      <c r="C129" s="93"/>
    </row>
    <row r="130" spans="2:3" x14ac:dyDescent="0.25">
      <c r="B130" s="93"/>
      <c r="C130" s="93"/>
    </row>
    <row r="131" spans="2:3" x14ac:dyDescent="0.25">
      <c r="B131" s="93"/>
      <c r="C131" s="93"/>
    </row>
    <row r="132" spans="2:3" x14ac:dyDescent="0.25">
      <c r="B132" s="93"/>
      <c r="C132" s="93"/>
    </row>
    <row r="133" spans="2:3" x14ac:dyDescent="0.25">
      <c r="B133" s="93"/>
      <c r="C133" s="93"/>
    </row>
    <row r="134" spans="2:3" x14ac:dyDescent="0.25">
      <c r="B134" s="93"/>
      <c r="C134" s="93"/>
    </row>
    <row r="135" spans="2:3" x14ac:dyDescent="0.25">
      <c r="B135" s="93"/>
      <c r="C135" s="93"/>
    </row>
    <row r="136" spans="2:3" x14ac:dyDescent="0.25">
      <c r="B136" s="93"/>
      <c r="C136" s="93"/>
    </row>
    <row r="137" spans="2:3" x14ac:dyDescent="0.25">
      <c r="B137" s="93"/>
      <c r="C137" s="93"/>
    </row>
    <row r="138" spans="2:3" x14ac:dyDescent="0.25">
      <c r="B138" s="93"/>
      <c r="C138" s="93"/>
    </row>
    <row r="139" spans="2:3" x14ac:dyDescent="0.25">
      <c r="B139" s="93"/>
      <c r="C139" s="93"/>
    </row>
    <row r="140" spans="2:3" x14ac:dyDescent="0.25">
      <c r="B140" s="93"/>
      <c r="C140" s="93"/>
    </row>
    <row r="141" spans="2:3" x14ac:dyDescent="0.25">
      <c r="B141" s="93"/>
      <c r="C141" s="93"/>
    </row>
    <row r="142" spans="2:3" x14ac:dyDescent="0.25">
      <c r="B142" s="93"/>
      <c r="C142" s="93"/>
    </row>
    <row r="143" spans="2:3" x14ac:dyDescent="0.25">
      <c r="B143" s="93"/>
      <c r="C143" s="93"/>
    </row>
    <row r="144" spans="2:3" x14ac:dyDescent="0.25">
      <c r="B144" s="93"/>
      <c r="C144" s="93"/>
    </row>
    <row r="145" spans="2:3" x14ac:dyDescent="0.25">
      <c r="B145" s="93"/>
      <c r="C145" s="93"/>
    </row>
    <row r="146" spans="2:3" x14ac:dyDescent="0.25">
      <c r="B146" s="93"/>
      <c r="C146" s="93"/>
    </row>
    <row r="147" spans="2:3" x14ac:dyDescent="0.25">
      <c r="B147" s="93"/>
      <c r="C147" s="93"/>
    </row>
    <row r="148" spans="2:3" x14ac:dyDescent="0.25">
      <c r="B148" s="93"/>
      <c r="C148" s="93"/>
    </row>
    <row r="149" spans="2:3" x14ac:dyDescent="0.25">
      <c r="B149" s="93"/>
      <c r="C149" s="93"/>
    </row>
    <row r="150" spans="2:3" x14ac:dyDescent="0.25">
      <c r="B150" s="93"/>
      <c r="C150" s="93"/>
    </row>
    <row r="151" spans="2:3" x14ac:dyDescent="0.25">
      <c r="B151" s="93"/>
      <c r="C151" s="93"/>
    </row>
    <row r="152" spans="2:3" x14ac:dyDescent="0.25">
      <c r="B152" s="93"/>
      <c r="C152" s="93"/>
    </row>
    <row r="153" spans="2:3" x14ac:dyDescent="0.25">
      <c r="B153" s="93"/>
      <c r="C153" s="93"/>
    </row>
    <row r="154" spans="2:3" x14ac:dyDescent="0.25">
      <c r="B154" s="93"/>
      <c r="C154" s="93"/>
    </row>
    <row r="155" spans="2:3" x14ac:dyDescent="0.25">
      <c r="B155" s="93"/>
      <c r="C155" s="93"/>
    </row>
    <row r="156" spans="2:3" x14ac:dyDescent="0.25">
      <c r="B156" s="93"/>
      <c r="C156" s="93"/>
    </row>
    <row r="157" spans="2:3" x14ac:dyDescent="0.25">
      <c r="B157" s="93"/>
      <c r="C157" s="93"/>
    </row>
    <row r="158" spans="2:3" x14ac:dyDescent="0.25">
      <c r="B158" s="93"/>
      <c r="C158" s="93"/>
    </row>
    <row r="159" spans="2:3" x14ac:dyDescent="0.25">
      <c r="B159" s="93"/>
      <c r="C159" s="93"/>
    </row>
    <row r="160" spans="2:3" x14ac:dyDescent="0.25">
      <c r="B160" s="93"/>
      <c r="C160" s="93"/>
    </row>
    <row r="161" spans="2:3" x14ac:dyDescent="0.25">
      <c r="B161" s="93"/>
      <c r="C161" s="93"/>
    </row>
    <row r="162" spans="2:3" x14ac:dyDescent="0.25">
      <c r="B162" s="93"/>
      <c r="C162" s="93"/>
    </row>
    <row r="163" spans="2:3" x14ac:dyDescent="0.25">
      <c r="B163" s="93"/>
      <c r="C163" s="93"/>
    </row>
    <row r="164" spans="2:3" x14ac:dyDescent="0.25">
      <c r="B164" s="93"/>
      <c r="C164" s="93"/>
    </row>
    <row r="165" spans="2:3" x14ac:dyDescent="0.25">
      <c r="B165" s="93"/>
      <c r="C165" s="93"/>
    </row>
    <row r="166" spans="2:3" x14ac:dyDescent="0.25">
      <c r="B166" s="93"/>
      <c r="C166" s="93"/>
    </row>
    <row r="167" spans="2:3" x14ac:dyDescent="0.25">
      <c r="B167" s="93"/>
      <c r="C167" s="93"/>
    </row>
    <row r="168" spans="2:3" x14ac:dyDescent="0.25">
      <c r="B168" s="93"/>
      <c r="C168" s="93"/>
    </row>
    <row r="169" spans="2:3" x14ac:dyDescent="0.25">
      <c r="B169" s="93"/>
      <c r="C169" s="93"/>
    </row>
    <row r="170" spans="2:3" x14ac:dyDescent="0.25">
      <c r="B170" s="93"/>
      <c r="C170" s="93"/>
    </row>
    <row r="171" spans="2:3" x14ac:dyDescent="0.25">
      <c r="B171" s="93"/>
      <c r="C171" s="93"/>
    </row>
    <row r="172" spans="2:3" x14ac:dyDescent="0.25">
      <c r="B172" s="93"/>
      <c r="C172" s="93"/>
    </row>
    <row r="173" spans="2:3" x14ac:dyDescent="0.25">
      <c r="B173" s="93"/>
      <c r="C173" s="93"/>
    </row>
    <row r="174" spans="2:3" x14ac:dyDescent="0.25">
      <c r="B174" s="93"/>
      <c r="C174" s="93"/>
    </row>
    <row r="175" spans="2:3" x14ac:dyDescent="0.25">
      <c r="B175" s="93"/>
      <c r="C175" s="93"/>
    </row>
    <row r="176" spans="2:3" x14ac:dyDescent="0.25">
      <c r="B176" s="93"/>
      <c r="C176" s="93"/>
    </row>
    <row r="177" spans="2:3" x14ac:dyDescent="0.25">
      <c r="B177" s="93"/>
      <c r="C177" s="93"/>
    </row>
    <row r="178" spans="2:3" x14ac:dyDescent="0.25">
      <c r="B178" s="93"/>
      <c r="C178" s="93"/>
    </row>
    <row r="179" spans="2:3" x14ac:dyDescent="0.25">
      <c r="B179" s="93"/>
      <c r="C179" s="93"/>
    </row>
    <row r="180" spans="2:3" x14ac:dyDescent="0.25">
      <c r="B180" s="93"/>
      <c r="C180" s="93"/>
    </row>
    <row r="181" spans="2:3" x14ac:dyDescent="0.25">
      <c r="B181" s="93"/>
      <c r="C181" s="93"/>
    </row>
    <row r="182" spans="2:3" x14ac:dyDescent="0.25">
      <c r="B182" s="93"/>
      <c r="C182" s="93"/>
    </row>
    <row r="183" spans="2:3" x14ac:dyDescent="0.25">
      <c r="B183" s="93"/>
      <c r="C183" s="93"/>
    </row>
    <row r="184" spans="2:3" x14ac:dyDescent="0.25">
      <c r="B184" s="93"/>
      <c r="C184" s="93"/>
    </row>
    <row r="185" spans="2:3" x14ac:dyDescent="0.25">
      <c r="B185" s="93"/>
      <c r="C185" s="93"/>
    </row>
    <row r="186" spans="2:3" x14ac:dyDescent="0.25">
      <c r="B186" s="93"/>
      <c r="C186" s="93"/>
    </row>
    <row r="187" spans="2:3" x14ac:dyDescent="0.25">
      <c r="B187" s="93"/>
      <c r="C187" s="93"/>
    </row>
    <row r="188" spans="2:3" x14ac:dyDescent="0.25">
      <c r="B188" s="93"/>
      <c r="C188" s="93"/>
    </row>
    <row r="189" spans="2:3" x14ac:dyDescent="0.25">
      <c r="B189" s="93"/>
      <c r="C189" s="93"/>
    </row>
    <row r="190" spans="2:3" x14ac:dyDescent="0.25">
      <c r="B190" s="93"/>
      <c r="C190" s="93"/>
    </row>
    <row r="191" spans="2:3" x14ac:dyDescent="0.25">
      <c r="B191" s="93"/>
      <c r="C191" s="93"/>
    </row>
    <row r="192" spans="2:3" x14ac:dyDescent="0.25">
      <c r="B192" s="93"/>
      <c r="C192" s="93"/>
    </row>
    <row r="193" spans="2:3" x14ac:dyDescent="0.25">
      <c r="B193" s="93"/>
      <c r="C193" s="93"/>
    </row>
    <row r="194" spans="2:3" x14ac:dyDescent="0.25">
      <c r="B194" s="93"/>
      <c r="C194" s="93"/>
    </row>
    <row r="195" spans="2:3" x14ac:dyDescent="0.25">
      <c r="B195" s="93"/>
      <c r="C195" s="93"/>
    </row>
    <row r="196" spans="2:3" x14ac:dyDescent="0.25">
      <c r="B196" s="93"/>
      <c r="C196" s="93"/>
    </row>
    <row r="197" spans="2:3" x14ac:dyDescent="0.25">
      <c r="B197" s="93"/>
      <c r="C197" s="93"/>
    </row>
    <row r="198" spans="2:3" x14ac:dyDescent="0.25">
      <c r="B198" s="93"/>
      <c r="C198" s="93"/>
    </row>
    <row r="199" spans="2:3" x14ac:dyDescent="0.25">
      <c r="B199" s="93"/>
      <c r="C199" s="93"/>
    </row>
    <row r="200" spans="2:3" x14ac:dyDescent="0.25">
      <c r="B200" s="93"/>
      <c r="C200" s="93"/>
    </row>
    <row r="201" spans="2:3" x14ac:dyDescent="0.25">
      <c r="B201" s="93"/>
      <c r="C201" s="93"/>
    </row>
    <row r="202" spans="2:3" x14ac:dyDescent="0.25">
      <c r="B202" s="93"/>
      <c r="C202" s="93"/>
    </row>
    <row r="203" spans="2:3" x14ac:dyDescent="0.25">
      <c r="B203" s="93"/>
      <c r="C203" s="93"/>
    </row>
    <row r="204" spans="2:3" x14ac:dyDescent="0.25">
      <c r="B204" s="93"/>
      <c r="C204" s="93"/>
    </row>
    <row r="205" spans="2:3" x14ac:dyDescent="0.25">
      <c r="B205" s="93"/>
      <c r="C205" s="93"/>
    </row>
    <row r="206" spans="2:3" x14ac:dyDescent="0.25">
      <c r="B206" s="93"/>
      <c r="C206" s="93"/>
    </row>
    <row r="207" spans="2:3" x14ac:dyDescent="0.25">
      <c r="B207" s="93"/>
      <c r="C207" s="93"/>
    </row>
    <row r="208" spans="2:3" x14ac:dyDescent="0.25">
      <c r="B208" s="93"/>
      <c r="C208" s="93"/>
    </row>
    <row r="209" spans="2:3" x14ac:dyDescent="0.25">
      <c r="B209" s="93"/>
      <c r="C209" s="93"/>
    </row>
    <row r="210" spans="2:3" x14ac:dyDescent="0.25">
      <c r="B210" s="93"/>
      <c r="C210" s="93"/>
    </row>
    <row r="211" spans="2:3" x14ac:dyDescent="0.25">
      <c r="B211" s="93"/>
      <c r="C211" s="93"/>
    </row>
    <row r="212" spans="2:3" x14ac:dyDescent="0.25">
      <c r="B212" s="93"/>
      <c r="C212" s="93"/>
    </row>
    <row r="213" spans="2:3" x14ac:dyDescent="0.25">
      <c r="B213" s="93"/>
      <c r="C213" s="93"/>
    </row>
    <row r="214" spans="2:3" x14ac:dyDescent="0.25">
      <c r="B214" s="93"/>
      <c r="C214" s="93"/>
    </row>
    <row r="215" spans="2:3" x14ac:dyDescent="0.25">
      <c r="B215" s="93"/>
      <c r="C215" s="93"/>
    </row>
    <row r="216" spans="2:3" x14ac:dyDescent="0.25">
      <c r="B216" s="93"/>
      <c r="C216" s="93"/>
    </row>
    <row r="217" spans="2:3" x14ac:dyDescent="0.25">
      <c r="B217" s="93"/>
      <c r="C217" s="93"/>
    </row>
    <row r="218" spans="2:3" x14ac:dyDescent="0.25">
      <c r="B218" s="93"/>
      <c r="C218" s="93"/>
    </row>
    <row r="219" spans="2:3" x14ac:dyDescent="0.25">
      <c r="B219" s="93"/>
      <c r="C219" s="93"/>
    </row>
    <row r="220" spans="2:3" x14ac:dyDescent="0.25">
      <c r="B220" s="93"/>
      <c r="C220" s="93"/>
    </row>
    <row r="221" spans="2:3" x14ac:dyDescent="0.25">
      <c r="B221" s="93"/>
      <c r="C221" s="93"/>
    </row>
    <row r="222" spans="2:3" x14ac:dyDescent="0.25">
      <c r="B222" s="93"/>
      <c r="C222" s="93"/>
    </row>
    <row r="223" spans="2:3" x14ac:dyDescent="0.25">
      <c r="B223" s="93"/>
      <c r="C223" s="93"/>
    </row>
    <row r="224" spans="2:3" x14ac:dyDescent="0.25">
      <c r="B224" s="93"/>
      <c r="C224" s="93"/>
    </row>
    <row r="225" spans="2:3" x14ac:dyDescent="0.25">
      <c r="B225" s="93"/>
      <c r="C225" s="93"/>
    </row>
    <row r="226" spans="2:3" x14ac:dyDescent="0.25">
      <c r="B226" s="93"/>
      <c r="C226" s="93"/>
    </row>
    <row r="227" spans="2:3" x14ac:dyDescent="0.25">
      <c r="B227" s="93"/>
      <c r="C227" s="93"/>
    </row>
    <row r="228" spans="2:3" x14ac:dyDescent="0.25">
      <c r="B228" s="93"/>
      <c r="C228" s="93"/>
    </row>
    <row r="229" spans="2:3" x14ac:dyDescent="0.25">
      <c r="B229" s="93"/>
      <c r="C229" s="93"/>
    </row>
    <row r="230" spans="2:3" x14ac:dyDescent="0.25">
      <c r="B230" s="93"/>
      <c r="C230" s="93"/>
    </row>
    <row r="231" spans="2:3" x14ac:dyDescent="0.25">
      <c r="B231" s="93"/>
      <c r="C231" s="93"/>
    </row>
    <row r="232" spans="2:3" x14ac:dyDescent="0.25">
      <c r="B232" s="93"/>
      <c r="C232" s="93"/>
    </row>
    <row r="233" spans="2:3" x14ac:dyDescent="0.25">
      <c r="B233" s="93"/>
      <c r="C233" s="93"/>
    </row>
  </sheetData>
  <sheetProtection algorithmName="SHA-512" hashValue="fjDer5ARXG4n35xM3AmXSxNVpwO6ehN8+cikAVTQfuVTP1+1+SyTRtX2f5Z9ReGQ2wbEKK4xtQ06d62d29njhw==" saltValue="uuyeYjDuEZQyhLBlwYQyVA==" spinCount="100000" sheet="1" objects="1" scenarios="1"/>
  <mergeCells count="1">
    <mergeCell ref="B1: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741A0-9365-4D62-B1E8-C000564D5A0D}">
  <sheetPr codeName="Sheet6"/>
  <dimension ref="A1:G394"/>
  <sheetViews>
    <sheetView showGridLines="0" workbookViewId="0">
      <selection activeCell="B108" sqref="B108"/>
    </sheetView>
  </sheetViews>
  <sheetFormatPr defaultColWidth="39.42578125" defaultRowHeight="15" x14ac:dyDescent="0.25"/>
  <cols>
    <col min="1" max="1" width="39.42578125" style="52"/>
    <col min="2" max="2" width="39.42578125" style="41"/>
    <col min="3" max="3" width="88.140625" style="41" customWidth="1"/>
    <col min="4" max="4" width="63.5703125" style="42" customWidth="1"/>
    <col min="5" max="16384" width="39.42578125" style="42"/>
  </cols>
  <sheetData>
    <row r="1" spans="1:5" ht="20.25" x14ac:dyDescent="0.25">
      <c r="A1" s="40" t="s">
        <v>125</v>
      </c>
    </row>
    <row r="2" spans="1:5" s="43" customFormat="1" x14ac:dyDescent="0.2">
      <c r="A2" s="44"/>
      <c r="B2" s="45"/>
      <c r="C2" s="41"/>
    </row>
    <row r="3" spans="1:5" s="43" customFormat="1" ht="18.75" x14ac:dyDescent="0.3">
      <c r="A3" s="46" t="s">
        <v>25</v>
      </c>
      <c r="B3" s="47"/>
      <c r="C3" s="47"/>
      <c r="D3" s="47"/>
    </row>
    <row r="4" spans="1:5" x14ac:dyDescent="0.25">
      <c r="A4" s="48" t="s">
        <v>26</v>
      </c>
      <c r="B4" s="47"/>
      <c r="C4" s="47"/>
      <c r="D4" s="47"/>
    </row>
    <row r="5" spans="1:5" x14ac:dyDescent="0.25">
      <c r="A5" s="48" t="s">
        <v>27</v>
      </c>
      <c r="B5" s="48" t="s">
        <v>28</v>
      </c>
      <c r="C5" s="48" t="s">
        <v>29</v>
      </c>
      <c r="D5" s="48" t="s">
        <v>30</v>
      </c>
    </row>
    <row r="6" spans="1:5" x14ac:dyDescent="0.25">
      <c r="A6" s="49" t="s">
        <v>36</v>
      </c>
      <c r="B6" s="59" t="s">
        <v>355</v>
      </c>
      <c r="C6" s="51" t="s">
        <v>35</v>
      </c>
      <c r="D6" s="49" t="s">
        <v>37</v>
      </c>
    </row>
    <row r="7" spans="1:5" x14ac:dyDescent="0.25">
      <c r="A7" s="49" t="s">
        <v>437</v>
      </c>
      <c r="B7" s="59" t="s">
        <v>355</v>
      </c>
      <c r="C7" s="51" t="s">
        <v>434</v>
      </c>
      <c r="D7" s="49" t="s">
        <v>435</v>
      </c>
    </row>
    <row r="8" spans="1:5" ht="39" x14ac:dyDescent="0.25">
      <c r="A8" s="49" t="s">
        <v>330</v>
      </c>
      <c r="B8" s="59" t="s">
        <v>355</v>
      </c>
      <c r="C8" s="51" t="s">
        <v>261</v>
      </c>
      <c r="D8" s="49" t="s">
        <v>262</v>
      </c>
    </row>
    <row r="9" spans="1:5" ht="39" x14ac:dyDescent="0.25">
      <c r="A9" s="49" t="s">
        <v>331</v>
      </c>
      <c r="B9" s="59" t="s">
        <v>355</v>
      </c>
      <c r="C9" s="51" t="s">
        <v>263</v>
      </c>
      <c r="D9" s="49" t="s">
        <v>264</v>
      </c>
    </row>
    <row r="10" spans="1:5" ht="26.25" x14ac:dyDescent="0.25">
      <c r="A10" s="60" t="s">
        <v>332</v>
      </c>
      <c r="B10" s="59" t="s">
        <v>355</v>
      </c>
      <c r="C10" s="51" t="s">
        <v>178</v>
      </c>
      <c r="D10" s="49" t="s">
        <v>38</v>
      </c>
    </row>
    <row r="11" spans="1:5" ht="26.25" x14ac:dyDescent="0.25">
      <c r="A11" s="60" t="s">
        <v>333</v>
      </c>
      <c r="B11" s="59" t="s">
        <v>355</v>
      </c>
      <c r="C11" s="51" t="s">
        <v>179</v>
      </c>
      <c r="D11" s="49" t="s">
        <v>39</v>
      </c>
    </row>
    <row r="12" spans="1:5" ht="64.5" x14ac:dyDescent="0.25">
      <c r="A12" s="60" t="s">
        <v>329</v>
      </c>
      <c r="B12" s="59" t="s">
        <v>355</v>
      </c>
      <c r="C12" s="51" t="s">
        <v>345</v>
      </c>
      <c r="D12" s="49" t="s">
        <v>346</v>
      </c>
      <c r="E12" s="50"/>
    </row>
    <row r="13" spans="1:5" ht="26.25" x14ac:dyDescent="0.25">
      <c r="A13" s="60" t="s">
        <v>265</v>
      </c>
      <c r="B13" s="59" t="s">
        <v>355</v>
      </c>
      <c r="C13" s="51" t="s">
        <v>338</v>
      </c>
      <c r="D13" s="49" t="s">
        <v>339</v>
      </c>
      <c r="E13" s="50"/>
    </row>
    <row r="14" spans="1:5" ht="39" x14ac:dyDescent="0.25">
      <c r="A14" s="60" t="s">
        <v>334</v>
      </c>
      <c r="B14" s="59" t="s">
        <v>355</v>
      </c>
      <c r="C14" s="51" t="s">
        <v>129</v>
      </c>
      <c r="D14" s="49" t="s">
        <v>40</v>
      </c>
    </row>
    <row r="15" spans="1:5" ht="77.25" x14ac:dyDescent="0.25">
      <c r="A15" s="60" t="s">
        <v>335</v>
      </c>
      <c r="B15" s="59" t="s">
        <v>355</v>
      </c>
      <c r="C15" s="51" t="s">
        <v>351</v>
      </c>
      <c r="D15" s="49" t="s">
        <v>352</v>
      </c>
    </row>
    <row r="16" spans="1:5" ht="26.25" x14ac:dyDescent="0.25">
      <c r="A16" s="60" t="s">
        <v>266</v>
      </c>
      <c r="B16" s="59" t="s">
        <v>355</v>
      </c>
      <c r="C16" s="51" t="s">
        <v>347</v>
      </c>
      <c r="D16" s="49" t="s">
        <v>340</v>
      </c>
    </row>
    <row r="17" spans="1:4" ht="51.75" x14ac:dyDescent="0.25">
      <c r="A17" s="60" t="s">
        <v>336</v>
      </c>
      <c r="B17" s="59" t="s">
        <v>355</v>
      </c>
      <c r="C17" s="51" t="s">
        <v>426</v>
      </c>
      <c r="D17" s="49" t="s">
        <v>353</v>
      </c>
    </row>
    <row r="18" spans="1:4" ht="51.75" x14ac:dyDescent="0.25">
      <c r="A18" s="60" t="s">
        <v>267</v>
      </c>
      <c r="B18" s="59" t="s">
        <v>355</v>
      </c>
      <c r="C18" s="51" t="s">
        <v>427</v>
      </c>
      <c r="D18" s="49" t="s">
        <v>348</v>
      </c>
    </row>
    <row r="19" spans="1:4" ht="39" x14ac:dyDescent="0.25">
      <c r="A19" s="60" t="s">
        <v>349</v>
      </c>
      <c r="B19" s="59" t="s">
        <v>355</v>
      </c>
      <c r="C19" s="51" t="s">
        <v>268</v>
      </c>
      <c r="D19" s="49" t="s">
        <v>269</v>
      </c>
    </row>
    <row r="20" spans="1:4" x14ac:dyDescent="0.25">
      <c r="A20" s="60" t="s">
        <v>337</v>
      </c>
      <c r="B20" s="59" t="s">
        <v>355</v>
      </c>
      <c r="C20" s="51" t="s">
        <v>323</v>
      </c>
      <c r="D20" s="49" t="s">
        <v>130</v>
      </c>
    </row>
    <row r="21" spans="1:4" x14ac:dyDescent="0.25">
      <c r="A21" s="60" t="s">
        <v>272</v>
      </c>
      <c r="B21" s="59" t="s">
        <v>41</v>
      </c>
      <c r="C21" s="51" t="s">
        <v>42</v>
      </c>
      <c r="D21" s="49" t="s">
        <v>43</v>
      </c>
    </row>
    <row r="22" spans="1:4" ht="26.25" x14ac:dyDescent="0.25">
      <c r="A22" s="60" t="s">
        <v>180</v>
      </c>
      <c r="B22" s="59" t="s">
        <v>41</v>
      </c>
      <c r="C22" s="51" t="s">
        <v>181</v>
      </c>
      <c r="D22" s="49" t="s">
        <v>182</v>
      </c>
    </row>
    <row r="23" spans="1:4" ht="26.25" x14ac:dyDescent="0.25">
      <c r="A23" s="60" t="s">
        <v>273</v>
      </c>
      <c r="B23" s="59" t="s">
        <v>41</v>
      </c>
      <c r="C23" s="51" t="s">
        <v>131</v>
      </c>
      <c r="D23" s="49" t="s">
        <v>185</v>
      </c>
    </row>
    <row r="24" spans="1:4" ht="26.25" x14ac:dyDescent="0.25">
      <c r="A24" s="60" t="s">
        <v>274</v>
      </c>
      <c r="B24" s="59" t="s">
        <v>41</v>
      </c>
      <c r="C24" s="51" t="s">
        <v>183</v>
      </c>
      <c r="D24" s="49" t="s">
        <v>184</v>
      </c>
    </row>
    <row r="25" spans="1:4" ht="26.25" x14ac:dyDescent="0.25">
      <c r="A25" s="60" t="s">
        <v>328</v>
      </c>
      <c r="B25" s="59" t="s">
        <v>41</v>
      </c>
      <c r="C25" s="51" t="s">
        <v>327</v>
      </c>
      <c r="D25" s="49" t="s">
        <v>186</v>
      </c>
    </row>
    <row r="26" spans="1:4" ht="39" x14ac:dyDescent="0.25">
      <c r="A26" s="60" t="s">
        <v>187</v>
      </c>
      <c r="B26" s="59" t="s">
        <v>41</v>
      </c>
      <c r="C26" s="51" t="s">
        <v>132</v>
      </c>
      <c r="D26" s="49" t="s">
        <v>188</v>
      </c>
    </row>
    <row r="27" spans="1:4" ht="45" x14ac:dyDescent="0.25">
      <c r="A27" s="60" t="s">
        <v>275</v>
      </c>
      <c r="B27" s="59" t="s">
        <v>41</v>
      </c>
      <c r="C27" s="177" t="s">
        <v>270</v>
      </c>
      <c r="D27" s="49" t="s">
        <v>189</v>
      </c>
    </row>
    <row r="28" spans="1:4" x14ac:dyDescent="0.25">
      <c r="A28" s="60" t="s">
        <v>276</v>
      </c>
      <c r="B28" s="59" t="s">
        <v>41</v>
      </c>
      <c r="C28" s="51" t="s">
        <v>133</v>
      </c>
      <c r="D28" s="49" t="s">
        <v>190</v>
      </c>
    </row>
    <row r="29" spans="1:4" ht="51.75" x14ac:dyDescent="0.25">
      <c r="A29" s="60" t="s">
        <v>271</v>
      </c>
      <c r="B29" s="59" t="s">
        <v>41</v>
      </c>
      <c r="C29" s="51" t="s">
        <v>324</v>
      </c>
      <c r="D29" s="49" t="s">
        <v>191</v>
      </c>
    </row>
    <row r="30" spans="1:4" ht="39" x14ac:dyDescent="0.25">
      <c r="A30" s="60" t="s">
        <v>251</v>
      </c>
      <c r="B30" s="59" t="s">
        <v>41</v>
      </c>
      <c r="C30" s="51" t="s">
        <v>326</v>
      </c>
      <c r="D30" s="49" t="s">
        <v>134</v>
      </c>
    </row>
    <row r="31" spans="1:4" ht="26.25" x14ac:dyDescent="0.25">
      <c r="A31" s="60" t="s">
        <v>250</v>
      </c>
      <c r="B31" s="59" t="s">
        <v>41</v>
      </c>
      <c r="C31" s="51" t="s">
        <v>325</v>
      </c>
      <c r="D31" s="49" t="s">
        <v>135</v>
      </c>
    </row>
    <row r="32" spans="1:4" x14ac:dyDescent="0.25">
      <c r="A32" s="60" t="s">
        <v>247</v>
      </c>
      <c r="B32" s="59" t="s">
        <v>41</v>
      </c>
      <c r="C32" s="51" t="s">
        <v>192</v>
      </c>
      <c r="D32" s="49" t="s">
        <v>193</v>
      </c>
    </row>
    <row r="33" spans="1:4" ht="77.25" x14ac:dyDescent="0.25">
      <c r="A33" s="60" t="s">
        <v>248</v>
      </c>
      <c r="B33" s="59" t="s">
        <v>41</v>
      </c>
      <c r="C33" s="51" t="s">
        <v>286</v>
      </c>
      <c r="D33" s="49" t="s">
        <v>249</v>
      </c>
    </row>
    <row r="34" spans="1:4" x14ac:dyDescent="0.25">
      <c r="A34" s="60" t="s">
        <v>220</v>
      </c>
      <c r="B34" s="59" t="s">
        <v>194</v>
      </c>
      <c r="C34" s="51" t="s">
        <v>406</v>
      </c>
      <c r="D34" s="49" t="s">
        <v>195</v>
      </c>
    </row>
    <row r="35" spans="1:4" ht="26.25" x14ac:dyDescent="0.25">
      <c r="A35" s="60" t="s">
        <v>221</v>
      </c>
      <c r="B35" s="59" t="s">
        <v>194</v>
      </c>
      <c r="C35" s="51" t="s">
        <v>287</v>
      </c>
      <c r="D35" s="49" t="s">
        <v>196</v>
      </c>
    </row>
    <row r="36" spans="1:4" x14ac:dyDescent="0.25">
      <c r="A36" s="60" t="s">
        <v>222</v>
      </c>
      <c r="B36" s="59" t="s">
        <v>194</v>
      </c>
      <c r="C36" s="51" t="s">
        <v>284</v>
      </c>
      <c r="D36" s="49" t="s">
        <v>197</v>
      </c>
    </row>
    <row r="37" spans="1:4" x14ac:dyDescent="0.25">
      <c r="A37" s="60" t="s">
        <v>436</v>
      </c>
      <c r="B37" s="59" t="s">
        <v>194</v>
      </c>
      <c r="C37" s="51" t="s">
        <v>434</v>
      </c>
      <c r="D37" s="49" t="s">
        <v>435</v>
      </c>
    </row>
    <row r="38" spans="1:4" x14ac:dyDescent="0.25">
      <c r="A38" s="125"/>
      <c r="B38" s="126"/>
      <c r="C38" s="127"/>
      <c r="D38" s="128"/>
    </row>
    <row r="40" spans="1:4" ht="15.75" thickBot="1" x14ac:dyDescent="0.3">
      <c r="A40" s="123" t="s">
        <v>32</v>
      </c>
      <c r="B40" s="123" t="s">
        <v>33</v>
      </c>
    </row>
    <row r="41" spans="1:4" x14ac:dyDescent="0.25">
      <c r="A41" s="62" t="s">
        <v>44</v>
      </c>
      <c r="B41" s="63" t="s">
        <v>356</v>
      </c>
    </row>
    <row r="42" spans="1:4" x14ac:dyDescent="0.25">
      <c r="A42" s="64" t="s">
        <v>45</v>
      </c>
      <c r="B42" s="65" t="s">
        <v>357</v>
      </c>
    </row>
    <row r="43" spans="1:4" x14ac:dyDescent="0.25">
      <c r="A43" s="64" t="s">
        <v>290</v>
      </c>
      <c r="B43" s="65" t="s">
        <v>358</v>
      </c>
    </row>
    <row r="44" spans="1:4" x14ac:dyDescent="0.25">
      <c r="A44" s="64" t="s">
        <v>46</v>
      </c>
      <c r="B44" s="65" t="s">
        <v>359</v>
      </c>
    </row>
    <row r="45" spans="1:4" x14ac:dyDescent="0.25">
      <c r="A45" s="64" t="s">
        <v>291</v>
      </c>
      <c r="B45" s="65" t="s">
        <v>360</v>
      </c>
    </row>
    <row r="46" spans="1:4" x14ac:dyDescent="0.25">
      <c r="A46" s="64" t="s">
        <v>47</v>
      </c>
      <c r="B46" s="65" t="s">
        <v>361</v>
      </c>
    </row>
    <row r="47" spans="1:4" x14ac:dyDescent="0.25">
      <c r="A47" s="64" t="s">
        <v>292</v>
      </c>
      <c r="B47" s="65" t="s">
        <v>362</v>
      </c>
    </row>
    <row r="48" spans="1:4" x14ac:dyDescent="0.25">
      <c r="A48" s="64" t="s">
        <v>48</v>
      </c>
      <c r="B48" s="65" t="s">
        <v>363</v>
      </c>
    </row>
    <row r="49" spans="1:2" x14ac:dyDescent="0.25">
      <c r="A49" s="64" t="s">
        <v>293</v>
      </c>
      <c r="B49" s="65" t="s">
        <v>364</v>
      </c>
    </row>
    <row r="50" spans="1:2" x14ac:dyDescent="0.25">
      <c r="A50" s="64" t="s">
        <v>49</v>
      </c>
      <c r="B50" s="65" t="s">
        <v>365</v>
      </c>
    </row>
    <row r="51" spans="1:2" x14ac:dyDescent="0.25">
      <c r="A51" s="64" t="s">
        <v>294</v>
      </c>
      <c r="B51" s="65" t="s">
        <v>366</v>
      </c>
    </row>
    <row r="52" spans="1:2" x14ac:dyDescent="0.25">
      <c r="A52" s="64" t="s">
        <v>50</v>
      </c>
      <c r="B52" s="65" t="s">
        <v>367</v>
      </c>
    </row>
    <row r="53" spans="1:2" x14ac:dyDescent="0.25">
      <c r="A53" s="64" t="s">
        <v>295</v>
      </c>
      <c r="B53" s="65" t="s">
        <v>368</v>
      </c>
    </row>
    <row r="54" spans="1:2" x14ac:dyDescent="0.25">
      <c r="A54" s="64" t="s">
        <v>51</v>
      </c>
      <c r="B54" s="65" t="s">
        <v>369</v>
      </c>
    </row>
    <row r="55" spans="1:2" x14ac:dyDescent="0.25">
      <c r="A55" s="64" t="s">
        <v>296</v>
      </c>
      <c r="B55" s="65" t="s">
        <v>370</v>
      </c>
    </row>
    <row r="56" spans="1:2" x14ac:dyDescent="0.25">
      <c r="A56" s="64" t="s">
        <v>52</v>
      </c>
      <c r="B56" s="65" t="s">
        <v>371</v>
      </c>
    </row>
    <row r="57" spans="1:2" x14ac:dyDescent="0.25">
      <c r="A57" s="64" t="s">
        <v>53</v>
      </c>
      <c r="B57" s="65" t="s">
        <v>372</v>
      </c>
    </row>
    <row r="58" spans="1:2" x14ac:dyDescent="0.25">
      <c r="A58" s="64" t="s">
        <v>297</v>
      </c>
      <c r="B58" s="65" t="s">
        <v>373</v>
      </c>
    </row>
    <row r="59" spans="1:2" x14ac:dyDescent="0.25">
      <c r="A59" s="64" t="s">
        <v>298</v>
      </c>
      <c r="B59" s="65" t="s">
        <v>240</v>
      </c>
    </row>
    <row r="60" spans="1:2" x14ac:dyDescent="0.25">
      <c r="A60" s="64" t="s">
        <v>285</v>
      </c>
      <c r="B60" s="65" t="s">
        <v>239</v>
      </c>
    </row>
    <row r="61" spans="1:2" x14ac:dyDescent="0.25">
      <c r="A61" s="64" t="s">
        <v>241</v>
      </c>
      <c r="B61" s="65" t="s">
        <v>243</v>
      </c>
    </row>
    <row r="62" spans="1:2" x14ac:dyDescent="0.25">
      <c r="A62" s="64" t="s">
        <v>299</v>
      </c>
      <c r="B62" s="65" t="s">
        <v>242</v>
      </c>
    </row>
    <row r="63" spans="1:2" x14ac:dyDescent="0.25">
      <c r="A63" s="64" t="s">
        <v>54</v>
      </c>
      <c r="B63" s="65" t="s">
        <v>374</v>
      </c>
    </row>
    <row r="64" spans="1:2" x14ac:dyDescent="0.25">
      <c r="A64" s="64" t="s">
        <v>300</v>
      </c>
      <c r="B64" s="65" t="s">
        <v>375</v>
      </c>
    </row>
    <row r="65" spans="1:2" x14ac:dyDescent="0.25">
      <c r="A65" s="64" t="s">
        <v>55</v>
      </c>
      <c r="B65" s="65" t="s">
        <v>376</v>
      </c>
    </row>
    <row r="66" spans="1:2" x14ac:dyDescent="0.25">
      <c r="A66" s="64" t="s">
        <v>301</v>
      </c>
      <c r="B66" s="65" t="s">
        <v>377</v>
      </c>
    </row>
    <row r="67" spans="1:2" x14ac:dyDescent="0.25">
      <c r="A67" s="64" t="s">
        <v>56</v>
      </c>
      <c r="B67" s="65" t="s">
        <v>378</v>
      </c>
    </row>
    <row r="68" spans="1:2" x14ac:dyDescent="0.25">
      <c r="A68" s="64" t="s">
        <v>302</v>
      </c>
      <c r="B68" s="65" t="s">
        <v>379</v>
      </c>
    </row>
    <row r="69" spans="1:2" x14ac:dyDescent="0.25">
      <c r="A69" s="64" t="s">
        <v>57</v>
      </c>
      <c r="B69" s="65" t="s">
        <v>380</v>
      </c>
    </row>
    <row r="70" spans="1:2" x14ac:dyDescent="0.25">
      <c r="A70" s="64" t="s">
        <v>303</v>
      </c>
      <c r="B70" s="65" t="s">
        <v>381</v>
      </c>
    </row>
    <row r="71" spans="1:2" x14ac:dyDescent="0.25">
      <c r="A71" s="64" t="s">
        <v>58</v>
      </c>
      <c r="B71" s="65" t="s">
        <v>382</v>
      </c>
    </row>
    <row r="72" spans="1:2" x14ac:dyDescent="0.25">
      <c r="A72" s="64" t="s">
        <v>304</v>
      </c>
      <c r="B72" s="65" t="s">
        <v>383</v>
      </c>
    </row>
    <row r="73" spans="1:2" x14ac:dyDescent="0.25">
      <c r="A73" s="64" t="s">
        <v>59</v>
      </c>
      <c r="B73" s="65" t="s">
        <v>384</v>
      </c>
    </row>
    <row r="74" spans="1:2" x14ac:dyDescent="0.25">
      <c r="A74" s="64" t="s">
        <v>305</v>
      </c>
      <c r="B74" s="65" t="s">
        <v>385</v>
      </c>
    </row>
    <row r="75" spans="1:2" x14ac:dyDescent="0.25">
      <c r="A75" s="64" t="s">
        <v>60</v>
      </c>
      <c r="B75" s="65" t="s">
        <v>386</v>
      </c>
    </row>
    <row r="76" spans="1:2" x14ac:dyDescent="0.25">
      <c r="A76" s="64" t="s">
        <v>306</v>
      </c>
      <c r="B76" s="65" t="s">
        <v>387</v>
      </c>
    </row>
    <row r="77" spans="1:2" x14ac:dyDescent="0.25">
      <c r="A77" s="64" t="s">
        <v>61</v>
      </c>
      <c r="B77" s="65" t="s">
        <v>388</v>
      </c>
    </row>
    <row r="78" spans="1:2" x14ac:dyDescent="0.25">
      <c r="A78" s="64" t="s">
        <v>307</v>
      </c>
      <c r="B78" s="65" t="s">
        <v>389</v>
      </c>
    </row>
    <row r="79" spans="1:2" x14ac:dyDescent="0.25">
      <c r="A79" s="64" t="s">
        <v>308</v>
      </c>
      <c r="B79" s="65" t="s">
        <v>224</v>
      </c>
    </row>
    <row r="80" spans="1:2" x14ac:dyDescent="0.25">
      <c r="A80" s="64" t="s">
        <v>280</v>
      </c>
      <c r="B80" s="65" t="s">
        <v>223</v>
      </c>
    </row>
    <row r="81" spans="1:2" x14ac:dyDescent="0.25">
      <c r="A81" s="64" t="s">
        <v>62</v>
      </c>
      <c r="B81" s="65" t="s">
        <v>390</v>
      </c>
    </row>
    <row r="82" spans="1:2" x14ac:dyDescent="0.25">
      <c r="A82" s="64" t="s">
        <v>309</v>
      </c>
      <c r="B82" s="65" t="s">
        <v>391</v>
      </c>
    </row>
    <row r="83" spans="1:2" x14ac:dyDescent="0.25">
      <c r="A83" s="64" t="s">
        <v>63</v>
      </c>
      <c r="B83" s="65" t="s">
        <v>392</v>
      </c>
    </row>
    <row r="84" spans="1:2" x14ac:dyDescent="0.25">
      <c r="A84" s="64" t="s">
        <v>310</v>
      </c>
      <c r="B84" s="65" t="s">
        <v>393</v>
      </c>
    </row>
    <row r="85" spans="1:2" x14ac:dyDescent="0.25">
      <c r="A85" s="64" t="s">
        <v>311</v>
      </c>
      <c r="B85" s="65" t="s">
        <v>226</v>
      </c>
    </row>
    <row r="86" spans="1:2" x14ac:dyDescent="0.25">
      <c r="A86" s="64" t="s">
        <v>279</v>
      </c>
      <c r="B86" s="65" t="s">
        <v>225</v>
      </c>
    </row>
    <row r="87" spans="1:2" x14ac:dyDescent="0.25">
      <c r="A87" s="64" t="s">
        <v>312</v>
      </c>
      <c r="B87" s="65" t="s">
        <v>228</v>
      </c>
    </row>
    <row r="88" spans="1:2" x14ac:dyDescent="0.25">
      <c r="A88" s="64" t="s">
        <v>277</v>
      </c>
      <c r="B88" s="65" t="s">
        <v>227</v>
      </c>
    </row>
    <row r="89" spans="1:2" x14ac:dyDescent="0.25">
      <c r="A89" s="64" t="s">
        <v>289</v>
      </c>
      <c r="B89" s="65" t="s">
        <v>230</v>
      </c>
    </row>
    <row r="90" spans="1:2" x14ac:dyDescent="0.25">
      <c r="A90" s="64" t="s">
        <v>282</v>
      </c>
      <c r="B90" s="65" t="s">
        <v>229</v>
      </c>
    </row>
    <row r="91" spans="1:2" x14ac:dyDescent="0.25">
      <c r="A91" s="64" t="s">
        <v>64</v>
      </c>
      <c r="B91" s="65" t="s">
        <v>394</v>
      </c>
    </row>
    <row r="92" spans="1:2" x14ac:dyDescent="0.25">
      <c r="A92" s="64" t="s">
        <v>313</v>
      </c>
      <c r="B92" s="65" t="s">
        <v>395</v>
      </c>
    </row>
    <row r="93" spans="1:2" x14ac:dyDescent="0.25">
      <c r="A93" s="64" t="s">
        <v>65</v>
      </c>
      <c r="B93" s="65" t="s">
        <v>396</v>
      </c>
    </row>
    <row r="94" spans="1:2" x14ac:dyDescent="0.25">
      <c r="A94" s="64" t="s">
        <v>314</v>
      </c>
      <c r="B94" s="65" t="s">
        <v>397</v>
      </c>
    </row>
    <row r="95" spans="1:2" x14ac:dyDescent="0.25">
      <c r="A95" s="64" t="s">
        <v>66</v>
      </c>
      <c r="B95" s="65" t="s">
        <v>398</v>
      </c>
    </row>
    <row r="96" spans="1:2" x14ac:dyDescent="0.25">
      <c r="A96" s="64" t="s">
        <v>315</v>
      </c>
      <c r="B96" s="65" t="s">
        <v>399</v>
      </c>
    </row>
    <row r="97" spans="1:5" x14ac:dyDescent="0.25">
      <c r="A97" s="64" t="s">
        <v>67</v>
      </c>
      <c r="B97" s="65" t="s">
        <v>316</v>
      </c>
    </row>
    <row r="98" spans="1:5" x14ac:dyDescent="0.25">
      <c r="A98" s="64" t="s">
        <v>68</v>
      </c>
      <c r="B98" s="65" t="s">
        <v>400</v>
      </c>
    </row>
    <row r="99" spans="1:5" x14ac:dyDescent="0.25">
      <c r="A99" s="64" t="s">
        <v>317</v>
      </c>
      <c r="B99" s="65" t="s">
        <v>401</v>
      </c>
    </row>
    <row r="100" spans="1:5" x14ac:dyDescent="0.25">
      <c r="A100" s="64" t="s">
        <v>69</v>
      </c>
      <c r="B100" s="65" t="s">
        <v>402</v>
      </c>
    </row>
    <row r="101" spans="1:5" x14ac:dyDescent="0.25">
      <c r="A101" s="64" t="s">
        <v>70</v>
      </c>
      <c r="B101" s="65" t="s">
        <v>403</v>
      </c>
    </row>
    <row r="102" spans="1:5" x14ac:dyDescent="0.25">
      <c r="A102" s="64" t="s">
        <v>318</v>
      </c>
      <c r="B102" s="65" t="s">
        <v>404</v>
      </c>
    </row>
    <row r="103" spans="1:5" x14ac:dyDescent="0.25">
      <c r="A103" s="64" t="s">
        <v>319</v>
      </c>
      <c r="B103" s="65" t="s">
        <v>232</v>
      </c>
    </row>
    <row r="104" spans="1:5" x14ac:dyDescent="0.25">
      <c r="A104" s="64" t="s">
        <v>278</v>
      </c>
      <c r="B104" s="65" t="s">
        <v>231</v>
      </c>
    </row>
    <row r="105" spans="1:5" x14ac:dyDescent="0.25">
      <c r="A105" s="64" t="s">
        <v>288</v>
      </c>
      <c r="B105" s="65" t="s">
        <v>234</v>
      </c>
    </row>
    <row r="106" spans="1:5" x14ac:dyDescent="0.25">
      <c r="A106" s="64" t="s">
        <v>281</v>
      </c>
      <c r="B106" s="65" t="s">
        <v>233</v>
      </c>
    </row>
    <row r="107" spans="1:5" x14ac:dyDescent="0.25">
      <c r="A107" s="64" t="s">
        <v>174</v>
      </c>
      <c r="B107" s="65" t="s">
        <v>175</v>
      </c>
    </row>
    <row r="108" spans="1:5" x14ac:dyDescent="0.25">
      <c r="A108" s="64" t="s">
        <v>438</v>
      </c>
      <c r="B108" s="65" t="s">
        <v>439</v>
      </c>
    </row>
    <row r="109" spans="1:5" x14ac:dyDescent="0.25">
      <c r="A109" s="64" t="s">
        <v>34</v>
      </c>
      <c r="B109" s="65" t="s">
        <v>71</v>
      </c>
    </row>
    <row r="110" spans="1:5" x14ac:dyDescent="0.25">
      <c r="A110" s="64" t="s">
        <v>320</v>
      </c>
      <c r="B110" s="65" t="s">
        <v>136</v>
      </c>
      <c r="E110" s="52"/>
    </row>
    <row r="111" spans="1:5" x14ac:dyDescent="0.25">
      <c r="A111" s="64" t="s">
        <v>72</v>
      </c>
      <c r="B111" s="65" t="s">
        <v>176</v>
      </c>
      <c r="E111" s="52"/>
    </row>
    <row r="112" spans="1:5" x14ac:dyDescent="0.25">
      <c r="A112" s="64" t="s">
        <v>321</v>
      </c>
      <c r="B112" s="65" t="s">
        <v>245</v>
      </c>
    </row>
    <row r="113" spans="1:4" x14ac:dyDescent="0.25">
      <c r="A113" s="64" t="s">
        <v>283</v>
      </c>
      <c r="B113" s="65" t="s">
        <v>244</v>
      </c>
    </row>
    <row r="114" spans="1:4" x14ac:dyDescent="0.25">
      <c r="A114" s="180" t="s">
        <v>322</v>
      </c>
      <c r="B114" s="181" t="s">
        <v>138</v>
      </c>
    </row>
    <row r="115" spans="1:4" x14ac:dyDescent="0.25">
      <c r="A115" s="180" t="s">
        <v>73</v>
      </c>
      <c r="B115" s="181" t="s">
        <v>177</v>
      </c>
    </row>
    <row r="116" spans="1:4" ht="15.75" thickBot="1" x14ac:dyDescent="0.3">
      <c r="A116" s="179" t="s">
        <v>74</v>
      </c>
      <c r="B116" s="195" t="s">
        <v>137</v>
      </c>
    </row>
    <row r="117" spans="1:4" x14ac:dyDescent="0.25">
      <c r="A117" s="178"/>
      <c r="B117" s="1"/>
    </row>
    <row r="118" spans="1:4" x14ac:dyDescent="0.25">
      <c r="A118" s="23"/>
      <c r="B118"/>
    </row>
    <row r="119" spans="1:4" x14ac:dyDescent="0.25">
      <c r="A119" s="23"/>
      <c r="B119"/>
    </row>
    <row r="120" spans="1:4" ht="7.5" customHeight="1" x14ac:dyDescent="0.25">
      <c r="A120"/>
      <c r="B120"/>
    </row>
    <row r="121" spans="1:4" x14ac:dyDescent="0.25">
      <c r="A121" s="124" t="s">
        <v>27</v>
      </c>
      <c r="B121" s="23" t="s">
        <v>246</v>
      </c>
      <c r="C121" s="23" t="s">
        <v>29</v>
      </c>
      <c r="D121" s="124" t="s">
        <v>140</v>
      </c>
    </row>
    <row r="122" spans="1:4" ht="45" x14ac:dyDescent="0.25">
      <c r="A122" s="99" t="s">
        <v>171</v>
      </c>
      <c r="B122" s="99" t="s">
        <v>141</v>
      </c>
      <c r="C122" s="100" t="s">
        <v>139</v>
      </c>
      <c r="D122" s="101" t="s">
        <v>142</v>
      </c>
    </row>
    <row r="123" spans="1:4" ht="30" x14ac:dyDescent="0.25">
      <c r="A123" s="99" t="s">
        <v>172</v>
      </c>
      <c r="B123" s="102" t="s">
        <v>143</v>
      </c>
      <c r="C123" s="100" t="s">
        <v>146</v>
      </c>
      <c r="D123" s="101" t="s">
        <v>144</v>
      </c>
    </row>
    <row r="124" spans="1:4" ht="30" x14ac:dyDescent="0.25">
      <c r="A124" s="99" t="s">
        <v>173</v>
      </c>
      <c r="B124" s="103" t="s">
        <v>143</v>
      </c>
      <c r="C124" s="100" t="s">
        <v>147</v>
      </c>
      <c r="D124" s="101" t="s">
        <v>145</v>
      </c>
    </row>
    <row r="125" spans="1:4" x14ac:dyDescent="0.25">
      <c r="A125"/>
      <c r="B125"/>
    </row>
    <row r="126" spans="1:4" x14ac:dyDescent="0.25">
      <c r="A126"/>
      <c r="B126"/>
    </row>
    <row r="127" spans="1:4" x14ac:dyDescent="0.25">
      <c r="A127"/>
      <c r="B127"/>
    </row>
    <row r="128" spans="1:4"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7" x14ac:dyDescent="0.25">
      <c r="A145"/>
      <c r="B145"/>
    </row>
    <row r="146" spans="1:7" x14ac:dyDescent="0.25">
      <c r="A146"/>
      <c r="B146"/>
    </row>
    <row r="147" spans="1:7" x14ac:dyDescent="0.25">
      <c r="A147"/>
      <c r="B147"/>
    </row>
    <row r="148" spans="1:7" x14ac:dyDescent="0.25">
      <c r="A148"/>
      <c r="B148"/>
    </row>
    <row r="149" spans="1:7" x14ac:dyDescent="0.25">
      <c r="A149"/>
      <c r="B149"/>
    </row>
    <row r="150" spans="1:7" x14ac:dyDescent="0.25">
      <c r="A150"/>
      <c r="B150"/>
    </row>
    <row r="151" spans="1:7" x14ac:dyDescent="0.25">
      <c r="A151"/>
      <c r="B151"/>
    </row>
    <row r="152" spans="1:7" x14ac:dyDescent="0.25">
      <c r="A152"/>
      <c r="B152"/>
    </row>
    <row r="153" spans="1:7" x14ac:dyDescent="0.25">
      <c r="A153"/>
      <c r="B153"/>
    </row>
    <row r="154" spans="1:7" x14ac:dyDescent="0.25">
      <c r="A154"/>
      <c r="B154"/>
    </row>
    <row r="155" spans="1:7" x14ac:dyDescent="0.25">
      <c r="A155"/>
      <c r="B155"/>
    </row>
    <row r="156" spans="1:7" x14ac:dyDescent="0.25">
      <c r="A156"/>
      <c r="B156"/>
    </row>
    <row r="157" spans="1:7" x14ac:dyDescent="0.25">
      <c r="A157"/>
      <c r="B157"/>
    </row>
    <row r="158" spans="1:7" x14ac:dyDescent="0.25">
      <c r="A158"/>
      <c r="B158"/>
    </row>
    <row r="159" spans="1:7" x14ac:dyDescent="0.25">
      <c r="A159"/>
      <c r="B159"/>
    </row>
    <row r="160" spans="1:7" x14ac:dyDescent="0.25">
      <c r="A160"/>
      <c r="B160"/>
      <c r="F160" s="50"/>
      <c r="G160" s="50"/>
    </row>
    <row r="161" spans="1:7" x14ac:dyDescent="0.25">
      <c r="A161"/>
      <c r="B161"/>
      <c r="F161" s="50"/>
      <c r="G161" s="50"/>
    </row>
    <row r="162" spans="1:7" x14ac:dyDescent="0.25">
      <c r="A162"/>
      <c r="B162"/>
      <c r="F162" s="50"/>
      <c r="G162" s="50"/>
    </row>
    <row r="163" spans="1:7" x14ac:dyDescent="0.25">
      <c r="A163"/>
      <c r="B163"/>
      <c r="F163" s="50"/>
      <c r="G163" s="50"/>
    </row>
    <row r="164" spans="1:7" x14ac:dyDescent="0.25">
      <c r="A164"/>
      <c r="B164"/>
      <c r="F164" s="50"/>
      <c r="G164" s="50"/>
    </row>
    <row r="165" spans="1:7" x14ac:dyDescent="0.25">
      <c r="A165"/>
      <c r="B165"/>
      <c r="F165" s="50"/>
      <c r="G165" s="50"/>
    </row>
    <row r="166" spans="1:7" x14ac:dyDescent="0.25">
      <c r="A166"/>
      <c r="B166"/>
      <c r="F166" s="50"/>
      <c r="G166" s="50"/>
    </row>
    <row r="167" spans="1:7" x14ac:dyDescent="0.25">
      <c r="A167"/>
      <c r="B167"/>
      <c r="F167" s="50"/>
      <c r="G167" s="50"/>
    </row>
    <row r="168" spans="1:7" x14ac:dyDescent="0.25">
      <c r="A168"/>
      <c r="B168"/>
      <c r="F168" s="50"/>
      <c r="G168" s="50"/>
    </row>
    <row r="169" spans="1:7" x14ac:dyDescent="0.25">
      <c r="A169"/>
      <c r="B169"/>
      <c r="F169" s="50"/>
      <c r="G169" s="50"/>
    </row>
    <row r="170" spans="1:7" x14ac:dyDescent="0.25">
      <c r="A170"/>
      <c r="B170"/>
      <c r="F170" s="50"/>
      <c r="G170" s="50"/>
    </row>
    <row r="171" spans="1:7" x14ac:dyDescent="0.25">
      <c r="A171"/>
      <c r="B171"/>
      <c r="F171" s="50"/>
      <c r="G171" s="50"/>
    </row>
    <row r="172" spans="1:7" x14ac:dyDescent="0.25">
      <c r="A172"/>
      <c r="B172"/>
      <c r="F172" s="56"/>
      <c r="G172" s="57"/>
    </row>
    <row r="173" spans="1:7" x14ac:dyDescent="0.25">
      <c r="A173"/>
      <c r="B173"/>
      <c r="F173" s="56"/>
      <c r="G173" s="57"/>
    </row>
    <row r="174" spans="1:7" x14ac:dyDescent="0.25">
      <c r="A174"/>
      <c r="B174"/>
      <c r="F174" s="56"/>
      <c r="G174" s="57"/>
    </row>
    <row r="175" spans="1:7" x14ac:dyDescent="0.25">
      <c r="A175"/>
      <c r="B175"/>
      <c r="F175" s="56"/>
      <c r="G175" s="57"/>
    </row>
    <row r="176" spans="1:7" x14ac:dyDescent="0.25">
      <c r="A176"/>
      <c r="B176"/>
      <c r="F176" s="56"/>
      <c r="G176" s="57"/>
    </row>
    <row r="177" spans="1:7" x14ac:dyDescent="0.25">
      <c r="A177"/>
      <c r="B177"/>
      <c r="F177" s="56"/>
      <c r="G177" s="57"/>
    </row>
    <row r="178" spans="1:7" x14ac:dyDescent="0.25">
      <c r="A178"/>
      <c r="B178"/>
      <c r="F178" s="56"/>
      <c r="G178" s="57"/>
    </row>
    <row r="179" spans="1:7" x14ac:dyDescent="0.25">
      <c r="A179"/>
      <c r="B179"/>
      <c r="F179" s="56"/>
      <c r="G179" s="57"/>
    </row>
    <row r="180" spans="1:7" x14ac:dyDescent="0.25">
      <c r="A180"/>
      <c r="B180"/>
      <c r="F180" s="56"/>
      <c r="G180" s="57"/>
    </row>
    <row r="181" spans="1:7" x14ac:dyDescent="0.25">
      <c r="A181"/>
      <c r="B181"/>
      <c r="F181" s="56"/>
      <c r="G181" s="57"/>
    </row>
    <row r="182" spans="1:7" x14ac:dyDescent="0.25">
      <c r="A182"/>
      <c r="B182"/>
      <c r="F182" s="56"/>
      <c r="G182" s="57"/>
    </row>
    <row r="183" spans="1:7" x14ac:dyDescent="0.25">
      <c r="A183"/>
      <c r="B183"/>
      <c r="F183" s="58"/>
      <c r="G183" s="57"/>
    </row>
    <row r="184" spans="1:7" x14ac:dyDescent="0.25">
      <c r="A184"/>
      <c r="B184"/>
      <c r="F184" s="58"/>
      <c r="G184" s="57"/>
    </row>
    <row r="185" spans="1:7" x14ac:dyDescent="0.25">
      <c r="A185"/>
      <c r="B185"/>
      <c r="F185" s="58"/>
      <c r="G185" s="57"/>
    </row>
    <row r="186" spans="1:7" x14ac:dyDescent="0.25">
      <c r="A186"/>
      <c r="B186"/>
      <c r="F186" s="58"/>
      <c r="G186" s="57"/>
    </row>
    <row r="187" spans="1:7" x14ac:dyDescent="0.25">
      <c r="A187"/>
      <c r="B187"/>
      <c r="F187" s="58"/>
      <c r="G187" s="57"/>
    </row>
    <row r="188" spans="1:7" x14ac:dyDescent="0.25">
      <c r="A188"/>
      <c r="B188"/>
      <c r="F188" s="58"/>
      <c r="G188" s="57"/>
    </row>
    <row r="189" spans="1:7" x14ac:dyDescent="0.25">
      <c r="A189"/>
      <c r="B189"/>
      <c r="F189" s="58"/>
      <c r="G189" s="57"/>
    </row>
    <row r="190" spans="1:7" x14ac:dyDescent="0.25">
      <c r="A190"/>
      <c r="B190"/>
      <c r="F190" s="58"/>
      <c r="G190" s="57"/>
    </row>
    <row r="191" spans="1:7" x14ac:dyDescent="0.25">
      <c r="A191"/>
      <c r="B191"/>
      <c r="F191" s="56"/>
      <c r="G191" s="57"/>
    </row>
    <row r="192" spans="1:7" x14ac:dyDescent="0.25">
      <c r="A192"/>
      <c r="B192"/>
      <c r="D192" s="52"/>
      <c r="F192" s="50"/>
      <c r="G192" s="50"/>
    </row>
    <row r="193" spans="1:7" x14ac:dyDescent="0.25">
      <c r="A193"/>
      <c r="B193"/>
      <c r="D193" s="52"/>
      <c r="F193" s="50"/>
      <c r="G193" s="50"/>
    </row>
    <row r="194" spans="1:7" x14ac:dyDescent="0.25">
      <c r="A194"/>
      <c r="B194"/>
      <c r="F194" s="50"/>
      <c r="G194" s="50"/>
    </row>
    <row r="195" spans="1:7" x14ac:dyDescent="0.25">
      <c r="A195"/>
      <c r="B195"/>
      <c r="F195" s="50"/>
      <c r="G195" s="50"/>
    </row>
    <row r="196" spans="1:7" x14ac:dyDescent="0.25">
      <c r="A196"/>
      <c r="B196"/>
      <c r="F196" s="50"/>
      <c r="G196" s="50"/>
    </row>
    <row r="197" spans="1:7" x14ac:dyDescent="0.25">
      <c r="A197"/>
      <c r="B197"/>
      <c r="F197" s="50"/>
      <c r="G197" s="50"/>
    </row>
    <row r="198" spans="1:7" x14ac:dyDescent="0.25">
      <c r="A198"/>
      <c r="B198"/>
      <c r="F198" s="50"/>
      <c r="G198" s="50"/>
    </row>
    <row r="199" spans="1:7" x14ac:dyDescent="0.25">
      <c r="A199"/>
      <c r="B199"/>
      <c r="F199" s="50"/>
      <c r="G199" s="50"/>
    </row>
    <row r="200" spans="1:7" x14ac:dyDescent="0.25">
      <c r="A200"/>
      <c r="B200"/>
      <c r="F200" s="50"/>
      <c r="G200" s="50"/>
    </row>
    <row r="201" spans="1:7" x14ac:dyDescent="0.25">
      <c r="A201"/>
      <c r="B201"/>
      <c r="F201" s="50"/>
      <c r="G201" s="50"/>
    </row>
    <row r="202" spans="1:7" x14ac:dyDescent="0.25">
      <c r="A202"/>
      <c r="B202"/>
      <c r="F202" s="50"/>
      <c r="G202" s="50"/>
    </row>
    <row r="203" spans="1:7" x14ac:dyDescent="0.25">
      <c r="A203"/>
      <c r="B203"/>
      <c r="F203" s="50"/>
      <c r="G203" s="50"/>
    </row>
    <row r="204" spans="1:7" x14ac:dyDescent="0.25">
      <c r="A204"/>
      <c r="B204"/>
      <c r="F204" s="50"/>
      <c r="G204" s="50"/>
    </row>
    <row r="205" spans="1:7" x14ac:dyDescent="0.25">
      <c r="A205"/>
      <c r="B205"/>
      <c r="F205" s="50"/>
      <c r="G205" s="50"/>
    </row>
    <row r="206" spans="1:7" x14ac:dyDescent="0.25">
      <c r="A206"/>
      <c r="B206"/>
      <c r="F206" s="50"/>
      <c r="G206" s="50"/>
    </row>
    <row r="207" spans="1:7" x14ac:dyDescent="0.25">
      <c r="A207"/>
      <c r="B207"/>
      <c r="F207" s="50"/>
      <c r="G207" s="50"/>
    </row>
    <row r="208" spans="1:7" x14ac:dyDescent="0.25">
      <c r="A208"/>
      <c r="B208"/>
      <c r="F208" s="50"/>
      <c r="G208" s="50"/>
    </row>
    <row r="209" spans="1:7" x14ac:dyDescent="0.25">
      <c r="A209"/>
      <c r="B209"/>
      <c r="F209" s="50"/>
      <c r="G209" s="50"/>
    </row>
    <row r="210" spans="1:7" x14ac:dyDescent="0.25">
      <c r="A210"/>
      <c r="B210"/>
      <c r="F210" s="50"/>
      <c r="G210" s="50"/>
    </row>
    <row r="211" spans="1:7" x14ac:dyDescent="0.25">
      <c r="A211"/>
      <c r="B211"/>
      <c r="F211" s="50"/>
      <c r="G211" s="50"/>
    </row>
    <row r="212" spans="1:7" x14ac:dyDescent="0.25">
      <c r="A212"/>
      <c r="B212"/>
      <c r="F212" s="50"/>
      <c r="G212" s="50"/>
    </row>
    <row r="213" spans="1:7" x14ac:dyDescent="0.25">
      <c r="A213"/>
      <c r="B213"/>
      <c r="F213" s="50"/>
      <c r="G213" s="50"/>
    </row>
    <row r="214" spans="1:7" x14ac:dyDescent="0.25">
      <c r="A214"/>
      <c r="B214"/>
      <c r="F214" s="50"/>
      <c r="G214" s="50"/>
    </row>
    <row r="215" spans="1:7" x14ac:dyDescent="0.25">
      <c r="A215"/>
      <c r="B215"/>
      <c r="F215" s="50"/>
      <c r="G215" s="50"/>
    </row>
    <row r="216" spans="1:7" x14ac:dyDescent="0.25">
      <c r="A216"/>
      <c r="B216"/>
      <c r="F216" s="50"/>
      <c r="G216" s="50"/>
    </row>
    <row r="217" spans="1:7" x14ac:dyDescent="0.25">
      <c r="A217"/>
      <c r="B217"/>
      <c r="F217" s="50"/>
      <c r="G217" s="50"/>
    </row>
    <row r="218" spans="1:7" x14ac:dyDescent="0.25">
      <c r="A218"/>
      <c r="B218"/>
      <c r="F218" s="50"/>
      <c r="G218" s="50"/>
    </row>
    <row r="219" spans="1:7" x14ac:dyDescent="0.25">
      <c r="A219"/>
      <c r="B219"/>
      <c r="F219" s="50"/>
      <c r="G219" s="50"/>
    </row>
    <row r="220" spans="1:7" x14ac:dyDescent="0.25">
      <c r="A220"/>
      <c r="B220"/>
      <c r="F220" s="50"/>
      <c r="G220" s="50"/>
    </row>
    <row r="221" spans="1:7" x14ac:dyDescent="0.25">
      <c r="A221"/>
      <c r="B221"/>
      <c r="F221" s="50"/>
      <c r="G221" s="50"/>
    </row>
    <row r="222" spans="1:7" x14ac:dyDescent="0.25">
      <c r="A222"/>
      <c r="B222"/>
      <c r="F222" s="50"/>
      <c r="G222" s="50"/>
    </row>
    <row r="223" spans="1:7" x14ac:dyDescent="0.25">
      <c r="A223"/>
      <c r="B223"/>
      <c r="F223" s="50"/>
      <c r="G223" s="50"/>
    </row>
    <row r="224" spans="1:7" x14ac:dyDescent="0.25">
      <c r="A224"/>
      <c r="B224"/>
      <c r="F224" s="50"/>
      <c r="G224" s="50"/>
    </row>
    <row r="225" spans="1:7" x14ac:dyDescent="0.25">
      <c r="A225"/>
      <c r="B225"/>
      <c r="F225" s="50"/>
      <c r="G225" s="50"/>
    </row>
    <row r="226" spans="1:7" x14ac:dyDescent="0.25">
      <c r="A226"/>
      <c r="B226"/>
      <c r="F226" s="50"/>
      <c r="G226" s="50"/>
    </row>
    <row r="227" spans="1:7" x14ac:dyDescent="0.25">
      <c r="A227"/>
      <c r="B227"/>
      <c r="F227" s="50"/>
      <c r="G227" s="50"/>
    </row>
    <row r="228" spans="1:7" x14ac:dyDescent="0.25">
      <c r="A228"/>
      <c r="B228"/>
      <c r="F228" s="50"/>
      <c r="G228" s="50"/>
    </row>
    <row r="229" spans="1:7" x14ac:dyDescent="0.25">
      <c r="A229"/>
      <c r="B229"/>
      <c r="F229" s="50"/>
      <c r="G229" s="50"/>
    </row>
    <row r="230" spans="1:7" x14ac:dyDescent="0.25">
      <c r="A230"/>
      <c r="B230"/>
      <c r="F230" s="50"/>
      <c r="G230" s="50"/>
    </row>
    <row r="231" spans="1:7" x14ac:dyDescent="0.25">
      <c r="A231"/>
      <c r="B231"/>
      <c r="F231" s="50"/>
      <c r="G231" s="50"/>
    </row>
    <row r="232" spans="1:7" x14ac:dyDescent="0.25">
      <c r="A232"/>
      <c r="B232"/>
      <c r="F232" s="50"/>
      <c r="G232" s="50"/>
    </row>
    <row r="233" spans="1:7" x14ac:dyDescent="0.25">
      <c r="A233"/>
      <c r="B233"/>
      <c r="F233" s="50"/>
      <c r="G233" s="50"/>
    </row>
    <row r="234" spans="1:7" x14ac:dyDescent="0.25">
      <c r="A234"/>
      <c r="B234"/>
      <c r="F234" s="50"/>
      <c r="G234" s="50"/>
    </row>
    <row r="235" spans="1:7" x14ac:dyDescent="0.25">
      <c r="A235"/>
      <c r="B235"/>
      <c r="F235" s="50"/>
      <c r="G235" s="50"/>
    </row>
    <row r="236" spans="1:7" x14ac:dyDescent="0.25">
      <c r="A236"/>
      <c r="B236"/>
      <c r="F236" s="50"/>
      <c r="G236" s="50"/>
    </row>
    <row r="237" spans="1:7" x14ac:dyDescent="0.25">
      <c r="A237"/>
      <c r="B237"/>
      <c r="F237" s="50"/>
      <c r="G237" s="50"/>
    </row>
    <row r="238" spans="1:7" x14ac:dyDescent="0.25">
      <c r="A238"/>
      <c r="B238"/>
      <c r="F238" s="50"/>
      <c r="G238" s="50"/>
    </row>
    <row r="239" spans="1:7" x14ac:dyDescent="0.25">
      <c r="A239"/>
      <c r="B239"/>
      <c r="F239" s="50"/>
      <c r="G239" s="50"/>
    </row>
    <row r="240" spans="1:7" x14ac:dyDescent="0.25">
      <c r="A240"/>
      <c r="B240"/>
      <c r="F240" s="50"/>
      <c r="G240" s="50"/>
    </row>
    <row r="241" spans="1:7" x14ac:dyDescent="0.25">
      <c r="A241"/>
      <c r="B241"/>
      <c r="F241" s="50"/>
      <c r="G241" s="50"/>
    </row>
    <row r="242" spans="1:7" x14ac:dyDescent="0.25">
      <c r="A242"/>
      <c r="B242"/>
      <c r="F242" s="50"/>
      <c r="G242" s="50"/>
    </row>
    <row r="243" spans="1:7" x14ac:dyDescent="0.25">
      <c r="A243"/>
      <c r="B243"/>
      <c r="F243" s="50"/>
      <c r="G243" s="50"/>
    </row>
    <row r="244" spans="1:7" x14ac:dyDescent="0.25">
      <c r="A244"/>
      <c r="B244"/>
      <c r="F244" s="50"/>
      <c r="G244" s="50"/>
    </row>
    <row r="245" spans="1:7" x14ac:dyDescent="0.25">
      <c r="A245"/>
      <c r="B245"/>
      <c r="F245" s="50"/>
      <c r="G245" s="50"/>
    </row>
    <row r="246" spans="1:7" x14ac:dyDescent="0.25">
      <c r="A246"/>
      <c r="B246"/>
      <c r="F246" s="50"/>
      <c r="G246" s="50"/>
    </row>
    <row r="247" spans="1:7" x14ac:dyDescent="0.25">
      <c r="A247"/>
      <c r="B247"/>
      <c r="F247" s="50"/>
      <c r="G247" s="50"/>
    </row>
    <row r="248" spans="1:7" x14ac:dyDescent="0.25">
      <c r="A248"/>
      <c r="B248"/>
      <c r="F248" s="50"/>
      <c r="G248" s="50"/>
    </row>
    <row r="249" spans="1:7" x14ac:dyDescent="0.25">
      <c r="A249"/>
      <c r="B249"/>
      <c r="F249" s="50"/>
      <c r="G249" s="50"/>
    </row>
    <row r="250" spans="1:7" x14ac:dyDescent="0.25">
      <c r="A250"/>
      <c r="B250"/>
      <c r="F250" s="50"/>
      <c r="G250" s="50"/>
    </row>
    <row r="251" spans="1:7" x14ac:dyDescent="0.25">
      <c r="A251"/>
      <c r="B251"/>
      <c r="F251" s="50"/>
      <c r="G251" s="50"/>
    </row>
    <row r="252" spans="1:7" x14ac:dyDescent="0.25">
      <c r="A252"/>
      <c r="B252"/>
      <c r="F252" s="50"/>
      <c r="G252" s="50"/>
    </row>
    <row r="253" spans="1:7" x14ac:dyDescent="0.25">
      <c r="A253"/>
      <c r="B253"/>
      <c r="F253" s="50"/>
      <c r="G253" s="50"/>
    </row>
    <row r="254" spans="1:7" x14ac:dyDescent="0.25">
      <c r="A254"/>
      <c r="B254"/>
      <c r="F254" s="50"/>
      <c r="G254" s="50"/>
    </row>
    <row r="255" spans="1:7" x14ac:dyDescent="0.25">
      <c r="A255"/>
      <c r="B255"/>
      <c r="F255" s="50"/>
      <c r="G255" s="50"/>
    </row>
    <row r="256" spans="1:7" x14ac:dyDescent="0.25">
      <c r="A256"/>
      <c r="B256"/>
      <c r="F256" s="50"/>
      <c r="G256" s="50"/>
    </row>
    <row r="257" spans="1:7" x14ac:dyDescent="0.25">
      <c r="A257"/>
      <c r="B257"/>
      <c r="F257" s="50"/>
      <c r="G257" s="50"/>
    </row>
    <row r="258" spans="1:7" x14ac:dyDescent="0.25">
      <c r="A258"/>
      <c r="B258"/>
      <c r="F258" s="50"/>
      <c r="G258" s="50"/>
    </row>
    <row r="259" spans="1:7" x14ac:dyDescent="0.25">
      <c r="A259"/>
      <c r="B259"/>
      <c r="F259" s="50"/>
      <c r="G259" s="50"/>
    </row>
    <row r="260" spans="1:7" x14ac:dyDescent="0.25">
      <c r="A260"/>
      <c r="B260"/>
      <c r="F260" s="50"/>
      <c r="G260" s="50"/>
    </row>
    <row r="261" spans="1:7" x14ac:dyDescent="0.25">
      <c r="A261"/>
      <c r="B261"/>
      <c r="F261" s="50"/>
      <c r="G261" s="50"/>
    </row>
    <row r="262" spans="1:7" x14ac:dyDescent="0.25">
      <c r="A262"/>
      <c r="B262"/>
      <c r="F262" s="50"/>
      <c r="G262" s="50"/>
    </row>
    <row r="263" spans="1:7" x14ac:dyDescent="0.25">
      <c r="A263"/>
      <c r="B263"/>
      <c r="F263" s="50"/>
      <c r="G263" s="50"/>
    </row>
    <row r="264" spans="1:7" x14ac:dyDescent="0.25">
      <c r="A264"/>
      <c r="B264"/>
      <c r="F264" s="50"/>
      <c r="G264" s="50"/>
    </row>
    <row r="265" spans="1:7" x14ac:dyDescent="0.25">
      <c r="A265"/>
      <c r="B265"/>
      <c r="F265" s="50"/>
      <c r="G265" s="50"/>
    </row>
    <row r="266" spans="1:7" x14ac:dyDescent="0.25">
      <c r="A266"/>
      <c r="B266"/>
      <c r="F266" s="50"/>
      <c r="G266" s="50"/>
    </row>
    <row r="267" spans="1:7" x14ac:dyDescent="0.25">
      <c r="A267"/>
      <c r="B267"/>
      <c r="F267" s="50"/>
      <c r="G267" s="50"/>
    </row>
    <row r="268" spans="1:7" x14ac:dyDescent="0.25">
      <c r="A268"/>
      <c r="B268"/>
      <c r="F268" s="50"/>
      <c r="G268" s="50"/>
    </row>
    <row r="269" spans="1:7" x14ac:dyDescent="0.25">
      <c r="A269"/>
      <c r="B269"/>
      <c r="F269" s="50"/>
      <c r="G269" s="50"/>
    </row>
    <row r="270" spans="1:7" x14ac:dyDescent="0.25">
      <c r="A270"/>
      <c r="B270"/>
      <c r="F270" s="50"/>
      <c r="G270" s="50"/>
    </row>
    <row r="271" spans="1:7" x14ac:dyDescent="0.25">
      <c r="A271"/>
      <c r="B271"/>
      <c r="F271" s="50"/>
      <c r="G271" s="50"/>
    </row>
    <row r="272" spans="1:7" x14ac:dyDescent="0.25">
      <c r="A272"/>
      <c r="B272"/>
      <c r="F272" s="50"/>
      <c r="G272" s="50"/>
    </row>
    <row r="273" spans="1:7" x14ac:dyDescent="0.25">
      <c r="A273"/>
      <c r="B273"/>
      <c r="F273" s="50"/>
      <c r="G273" s="50"/>
    </row>
    <row r="274" spans="1:7" x14ac:dyDescent="0.25">
      <c r="A274"/>
      <c r="B274"/>
      <c r="F274" s="50"/>
      <c r="G274" s="50"/>
    </row>
    <row r="275" spans="1:7" x14ac:dyDescent="0.25">
      <c r="A275"/>
      <c r="B275"/>
      <c r="F275" s="50"/>
      <c r="G275" s="50"/>
    </row>
    <row r="276" spans="1:7" x14ac:dyDescent="0.25">
      <c r="A276"/>
      <c r="B276"/>
      <c r="F276" s="50"/>
      <c r="G276" s="50"/>
    </row>
    <row r="277" spans="1:7" x14ac:dyDescent="0.25">
      <c r="A277"/>
      <c r="B277"/>
      <c r="F277" s="50"/>
      <c r="G277" s="50"/>
    </row>
    <row r="278" spans="1:7" x14ac:dyDescent="0.25">
      <c r="A278"/>
      <c r="B278"/>
      <c r="F278" s="50"/>
      <c r="G278" s="50"/>
    </row>
    <row r="279" spans="1:7" x14ac:dyDescent="0.25">
      <c r="A279"/>
      <c r="B279"/>
      <c r="F279" s="50"/>
      <c r="G279" s="50"/>
    </row>
    <row r="280" spans="1:7" x14ac:dyDescent="0.25">
      <c r="A280"/>
      <c r="B280"/>
      <c r="F280" s="50"/>
      <c r="G280" s="50"/>
    </row>
    <row r="281" spans="1:7" x14ac:dyDescent="0.25">
      <c r="A281"/>
      <c r="B281"/>
      <c r="F281" s="50"/>
      <c r="G281" s="50"/>
    </row>
    <row r="282" spans="1:7" x14ac:dyDescent="0.25">
      <c r="A282"/>
      <c r="B282"/>
      <c r="F282" s="50"/>
      <c r="G282" s="50"/>
    </row>
    <row r="283" spans="1:7" x14ac:dyDescent="0.25">
      <c r="A283"/>
      <c r="B283"/>
      <c r="F283" s="50"/>
      <c r="G283" s="50"/>
    </row>
    <row r="284" spans="1:7" x14ac:dyDescent="0.25">
      <c r="A284"/>
      <c r="B284"/>
      <c r="F284" s="50"/>
      <c r="G284" s="50"/>
    </row>
    <row r="285" spans="1:7" x14ac:dyDescent="0.25">
      <c r="A285"/>
      <c r="B285"/>
      <c r="F285" s="50"/>
      <c r="G285" s="50"/>
    </row>
    <row r="286" spans="1:7" x14ac:dyDescent="0.25">
      <c r="A286"/>
      <c r="B286"/>
      <c r="F286" s="50"/>
      <c r="G286" s="50"/>
    </row>
    <row r="287" spans="1:7" x14ac:dyDescent="0.25">
      <c r="A287"/>
      <c r="B287"/>
      <c r="F287" s="50"/>
      <c r="G287" s="50"/>
    </row>
    <row r="288" spans="1:7" x14ac:dyDescent="0.25">
      <c r="A288"/>
      <c r="B288"/>
      <c r="F288" s="50"/>
      <c r="G288" s="50"/>
    </row>
    <row r="289" spans="1:7" x14ac:dyDescent="0.25">
      <c r="A289"/>
      <c r="B289"/>
      <c r="F289" s="50"/>
      <c r="G289" s="50"/>
    </row>
    <row r="290" spans="1:7" x14ac:dyDescent="0.25">
      <c r="A290"/>
      <c r="B290"/>
      <c r="F290" s="50"/>
      <c r="G290" s="50"/>
    </row>
    <row r="291" spans="1:7" x14ac:dyDescent="0.25">
      <c r="A291"/>
      <c r="B291"/>
      <c r="F291" s="50"/>
      <c r="G291" s="50"/>
    </row>
    <row r="292" spans="1:7" x14ac:dyDescent="0.25">
      <c r="A292"/>
      <c r="B292"/>
      <c r="F292" s="50"/>
      <c r="G292" s="50"/>
    </row>
    <row r="293" spans="1:7" x14ac:dyDescent="0.25">
      <c r="A293"/>
      <c r="B293"/>
      <c r="F293" s="50"/>
      <c r="G293" s="50"/>
    </row>
    <row r="294" spans="1:7" x14ac:dyDescent="0.25">
      <c r="A294"/>
      <c r="B294"/>
      <c r="F294" s="50"/>
      <c r="G294" s="50"/>
    </row>
    <row r="295" spans="1:7" x14ac:dyDescent="0.25">
      <c r="A295"/>
      <c r="B295"/>
      <c r="F295" s="50"/>
      <c r="G295" s="50"/>
    </row>
    <row r="296" spans="1:7" x14ac:dyDescent="0.25">
      <c r="A296"/>
      <c r="B296"/>
      <c r="F296" s="50"/>
      <c r="G296" s="50"/>
    </row>
    <row r="297" spans="1:7" x14ac:dyDescent="0.25">
      <c r="A297"/>
      <c r="B297"/>
      <c r="F297" s="50"/>
      <c r="G297" s="50"/>
    </row>
    <row r="298" spans="1:7" x14ac:dyDescent="0.25">
      <c r="A298"/>
      <c r="B298"/>
      <c r="F298" s="50"/>
      <c r="G298" s="50"/>
    </row>
    <row r="299" spans="1:7" x14ac:dyDescent="0.25">
      <c r="A299"/>
      <c r="B299"/>
      <c r="F299" s="50"/>
      <c r="G299" s="50"/>
    </row>
    <row r="300" spans="1:7" x14ac:dyDescent="0.25">
      <c r="A300"/>
      <c r="B300"/>
      <c r="F300" s="50"/>
      <c r="G300" s="50"/>
    </row>
    <row r="301" spans="1:7" x14ac:dyDescent="0.25">
      <c r="A301"/>
      <c r="B301"/>
      <c r="F301" s="50"/>
      <c r="G301" s="50"/>
    </row>
    <row r="302" spans="1:7" x14ac:dyDescent="0.25">
      <c r="A302"/>
      <c r="B302"/>
      <c r="F302" s="50"/>
      <c r="G302" s="50"/>
    </row>
    <row r="303" spans="1:7" x14ac:dyDescent="0.25">
      <c r="A303"/>
      <c r="B303"/>
      <c r="F303" s="50"/>
      <c r="G303" s="50"/>
    </row>
    <row r="304" spans="1:7" x14ac:dyDescent="0.25">
      <c r="A304"/>
      <c r="B304"/>
      <c r="F304" s="50"/>
      <c r="G304" s="50"/>
    </row>
    <row r="305" spans="1:7" x14ac:dyDescent="0.25">
      <c r="A305"/>
      <c r="B305"/>
      <c r="F305" s="50"/>
      <c r="G305" s="50"/>
    </row>
    <row r="306" spans="1:7" x14ac:dyDescent="0.25">
      <c r="A306"/>
      <c r="B306"/>
      <c r="F306" s="50"/>
      <c r="G306" s="50"/>
    </row>
    <row r="307" spans="1:7" x14ac:dyDescent="0.25">
      <c r="A307"/>
      <c r="B307"/>
      <c r="F307" s="50"/>
      <c r="G307" s="50"/>
    </row>
    <row r="308" spans="1:7" x14ac:dyDescent="0.25">
      <c r="A308"/>
      <c r="B308"/>
      <c r="F308" s="50"/>
      <c r="G308" s="50"/>
    </row>
    <row r="309" spans="1:7" x14ac:dyDescent="0.25">
      <c r="A309"/>
      <c r="B309"/>
      <c r="F309" s="50"/>
      <c r="G309" s="50"/>
    </row>
    <row r="310" spans="1:7" x14ac:dyDescent="0.25">
      <c r="A310"/>
      <c r="B310"/>
      <c r="F310" s="50"/>
      <c r="G310" s="50"/>
    </row>
    <row r="311" spans="1:7" x14ac:dyDescent="0.25">
      <c r="A311"/>
      <c r="B311"/>
      <c r="F311" s="50"/>
      <c r="G311" s="50"/>
    </row>
    <row r="312" spans="1:7" x14ac:dyDescent="0.25">
      <c r="A312"/>
      <c r="B312"/>
      <c r="F312" s="50"/>
      <c r="G312" s="50"/>
    </row>
    <row r="313" spans="1:7" x14ac:dyDescent="0.25">
      <c r="A313"/>
      <c r="B313"/>
      <c r="F313" s="50"/>
      <c r="G313" s="50"/>
    </row>
    <row r="314" spans="1:7" x14ac:dyDescent="0.25">
      <c r="A314"/>
      <c r="B314"/>
      <c r="F314" s="50"/>
      <c r="G314" s="50"/>
    </row>
    <row r="315" spans="1:7" x14ac:dyDescent="0.25">
      <c r="A315"/>
      <c r="B315"/>
      <c r="F315" s="50"/>
      <c r="G315" s="50"/>
    </row>
    <row r="316" spans="1:7" x14ac:dyDescent="0.25">
      <c r="A316"/>
      <c r="B316"/>
      <c r="F316" s="50"/>
      <c r="G316" s="50"/>
    </row>
    <row r="317" spans="1:7" x14ac:dyDescent="0.25">
      <c r="A317"/>
      <c r="B317"/>
      <c r="F317" s="50"/>
      <c r="G317" s="50"/>
    </row>
    <row r="318" spans="1:7" x14ac:dyDescent="0.25">
      <c r="A318"/>
      <c r="B318"/>
      <c r="F318" s="50"/>
      <c r="G318" s="50"/>
    </row>
    <row r="319" spans="1:7" x14ac:dyDescent="0.25">
      <c r="A319"/>
      <c r="B319"/>
      <c r="F319" s="50"/>
      <c r="G319" s="50"/>
    </row>
    <row r="320" spans="1:7" x14ac:dyDescent="0.25">
      <c r="A320"/>
      <c r="B320"/>
      <c r="F320" s="50"/>
      <c r="G320" s="50"/>
    </row>
    <row r="321" spans="1:7" x14ac:dyDescent="0.25">
      <c r="A321"/>
      <c r="B321"/>
      <c r="F321" s="50"/>
      <c r="G321" s="50"/>
    </row>
    <row r="322" spans="1:7" x14ac:dyDescent="0.25">
      <c r="A322"/>
      <c r="B322"/>
      <c r="F322" s="50"/>
      <c r="G322" s="50"/>
    </row>
    <row r="323" spans="1:7" x14ac:dyDescent="0.25">
      <c r="A323"/>
      <c r="B323"/>
      <c r="F323" s="50"/>
      <c r="G323" s="50"/>
    </row>
    <row r="324" spans="1:7" x14ac:dyDescent="0.25">
      <c r="A324"/>
      <c r="B324"/>
      <c r="F324" s="50"/>
      <c r="G324" s="50"/>
    </row>
    <row r="325" spans="1:7" x14ac:dyDescent="0.25">
      <c r="A325"/>
      <c r="B325"/>
      <c r="F325" s="50"/>
      <c r="G325" s="50"/>
    </row>
    <row r="326" spans="1:7" x14ac:dyDescent="0.25">
      <c r="A326"/>
      <c r="B326"/>
      <c r="F326" s="50"/>
      <c r="G326" s="50"/>
    </row>
    <row r="327" spans="1:7" x14ac:dyDescent="0.25">
      <c r="A327"/>
      <c r="B327"/>
      <c r="F327" s="50"/>
      <c r="G327" s="50"/>
    </row>
    <row r="328" spans="1:7" x14ac:dyDescent="0.25">
      <c r="A328"/>
      <c r="B328"/>
      <c r="F328" s="50"/>
      <c r="G328" s="50"/>
    </row>
    <row r="329" spans="1:7" x14ac:dyDescent="0.25">
      <c r="A329"/>
      <c r="B329"/>
      <c r="F329" s="50"/>
      <c r="G329" s="50"/>
    </row>
    <row r="330" spans="1:7" x14ac:dyDescent="0.25">
      <c r="A330"/>
      <c r="B330"/>
      <c r="F330" s="50"/>
      <c r="G330" s="50"/>
    </row>
    <row r="331" spans="1:7" x14ac:dyDescent="0.25">
      <c r="A331"/>
      <c r="B331"/>
      <c r="F331" s="50"/>
      <c r="G331" s="50"/>
    </row>
    <row r="332" spans="1:7" x14ac:dyDescent="0.25">
      <c r="A332"/>
      <c r="B332"/>
      <c r="F332" s="50"/>
      <c r="G332" s="50"/>
    </row>
    <row r="333" spans="1:7" x14ac:dyDescent="0.25">
      <c r="A333"/>
      <c r="B333"/>
      <c r="F333" s="50"/>
      <c r="G333" s="50"/>
    </row>
    <row r="334" spans="1:7" x14ac:dyDescent="0.25">
      <c r="A334"/>
      <c r="B334"/>
      <c r="F334" s="50"/>
      <c r="G334" s="50"/>
    </row>
    <row r="335" spans="1:7" x14ac:dyDescent="0.25">
      <c r="A335"/>
      <c r="B335"/>
      <c r="F335" s="50"/>
      <c r="G335" s="50"/>
    </row>
    <row r="336" spans="1:7" x14ac:dyDescent="0.25">
      <c r="A336"/>
      <c r="B336"/>
      <c r="F336" s="50"/>
      <c r="G336" s="50"/>
    </row>
    <row r="337" spans="1:7" x14ac:dyDescent="0.25">
      <c r="A337"/>
      <c r="B337"/>
      <c r="F337" s="50"/>
      <c r="G337" s="50"/>
    </row>
    <row r="338" spans="1:7" x14ac:dyDescent="0.25">
      <c r="A338"/>
      <c r="B338"/>
      <c r="F338" s="50"/>
      <c r="G338" s="50"/>
    </row>
    <row r="339" spans="1:7" x14ac:dyDescent="0.25">
      <c r="A339"/>
      <c r="B339"/>
      <c r="F339" s="50"/>
      <c r="G339" s="50"/>
    </row>
    <row r="340" spans="1:7" x14ac:dyDescent="0.25">
      <c r="A340"/>
      <c r="B340"/>
      <c r="F340" s="50"/>
      <c r="G340" s="50"/>
    </row>
    <row r="341" spans="1:7" x14ac:dyDescent="0.25">
      <c r="A341"/>
      <c r="B341"/>
      <c r="F341" s="50"/>
      <c r="G341" s="50"/>
    </row>
    <row r="342" spans="1:7" x14ac:dyDescent="0.25">
      <c r="A342"/>
      <c r="B342"/>
      <c r="F342" s="50"/>
      <c r="G342" s="50"/>
    </row>
    <row r="343" spans="1:7" x14ac:dyDescent="0.25">
      <c r="A343"/>
      <c r="B343"/>
      <c r="F343" s="50"/>
      <c r="G343" s="50"/>
    </row>
    <row r="344" spans="1:7" x14ac:dyDescent="0.25">
      <c r="A344"/>
      <c r="B344"/>
      <c r="F344" s="50"/>
      <c r="G344" s="50"/>
    </row>
    <row r="345" spans="1:7" x14ac:dyDescent="0.25">
      <c r="A345"/>
      <c r="B345"/>
      <c r="F345" s="50"/>
      <c r="G345" s="50"/>
    </row>
    <row r="346" spans="1:7" x14ac:dyDescent="0.25">
      <c r="A346"/>
      <c r="B346"/>
      <c r="F346" s="50"/>
      <c r="G346" s="50"/>
    </row>
    <row r="347" spans="1:7" x14ac:dyDescent="0.25">
      <c r="A347"/>
      <c r="B347"/>
      <c r="F347" s="50"/>
      <c r="G347" s="50"/>
    </row>
    <row r="348" spans="1:7" x14ac:dyDescent="0.25">
      <c r="A348"/>
      <c r="B348"/>
      <c r="F348" s="50"/>
      <c r="G348" s="50"/>
    </row>
    <row r="349" spans="1:7" x14ac:dyDescent="0.25">
      <c r="A349"/>
      <c r="B349"/>
      <c r="F349" s="50"/>
      <c r="G349" s="50"/>
    </row>
    <row r="350" spans="1:7" x14ac:dyDescent="0.25">
      <c r="A350"/>
      <c r="B350"/>
      <c r="F350" s="50"/>
      <c r="G350" s="50"/>
    </row>
    <row r="351" spans="1:7" x14ac:dyDescent="0.25">
      <c r="F351" s="50"/>
      <c r="G351" s="50"/>
    </row>
    <row r="352" spans="1:7" x14ac:dyDescent="0.25">
      <c r="F352" s="50"/>
      <c r="G352" s="50"/>
    </row>
    <row r="353" spans="6:7" x14ac:dyDescent="0.25">
      <c r="F353" s="50"/>
      <c r="G353" s="50"/>
    </row>
    <row r="354" spans="6:7" x14ac:dyDescent="0.25">
      <c r="F354" s="50"/>
      <c r="G354" s="50"/>
    </row>
    <row r="355" spans="6:7" x14ac:dyDescent="0.25">
      <c r="F355" s="50"/>
      <c r="G355" s="50"/>
    </row>
    <row r="356" spans="6:7" x14ac:dyDescent="0.25">
      <c r="F356" s="50"/>
      <c r="G356" s="50"/>
    </row>
    <row r="357" spans="6:7" x14ac:dyDescent="0.25">
      <c r="F357" s="50"/>
      <c r="G357" s="50"/>
    </row>
    <row r="358" spans="6:7" x14ac:dyDescent="0.25">
      <c r="F358" s="50"/>
      <c r="G358" s="50"/>
    </row>
    <row r="359" spans="6:7" x14ac:dyDescent="0.25">
      <c r="F359" s="50"/>
      <c r="G359" s="50"/>
    </row>
    <row r="360" spans="6:7" x14ac:dyDescent="0.25">
      <c r="F360" s="50"/>
      <c r="G360" s="50"/>
    </row>
    <row r="361" spans="6:7" x14ac:dyDescent="0.25">
      <c r="F361" s="50"/>
      <c r="G361" s="50"/>
    </row>
    <row r="362" spans="6:7" x14ac:dyDescent="0.25">
      <c r="F362" s="50"/>
      <c r="G362" s="50"/>
    </row>
    <row r="363" spans="6:7" x14ac:dyDescent="0.25">
      <c r="F363" s="50"/>
      <c r="G363" s="50"/>
    </row>
    <row r="364" spans="6:7" x14ac:dyDescent="0.25">
      <c r="F364" s="50"/>
      <c r="G364" s="50"/>
    </row>
    <row r="365" spans="6:7" x14ac:dyDescent="0.25">
      <c r="F365" s="50"/>
      <c r="G365" s="50"/>
    </row>
    <row r="366" spans="6:7" x14ac:dyDescent="0.25">
      <c r="F366" s="50"/>
      <c r="G366" s="50"/>
    </row>
    <row r="367" spans="6:7" x14ac:dyDescent="0.25">
      <c r="F367" s="50"/>
      <c r="G367" s="50"/>
    </row>
    <row r="368" spans="6:7" x14ac:dyDescent="0.25">
      <c r="F368" s="50"/>
      <c r="G368" s="50"/>
    </row>
    <row r="369" spans="6:7" x14ac:dyDescent="0.25">
      <c r="F369" s="50"/>
      <c r="G369" s="50"/>
    </row>
    <row r="370" spans="6:7" x14ac:dyDescent="0.25">
      <c r="F370" s="50"/>
      <c r="G370" s="50"/>
    </row>
    <row r="371" spans="6:7" x14ac:dyDescent="0.25">
      <c r="F371" s="50"/>
      <c r="G371" s="50"/>
    </row>
    <row r="372" spans="6:7" x14ac:dyDescent="0.25">
      <c r="F372" s="50"/>
      <c r="G372" s="50"/>
    </row>
    <row r="373" spans="6:7" x14ac:dyDescent="0.25">
      <c r="F373" s="50"/>
      <c r="G373" s="50"/>
    </row>
    <row r="374" spans="6:7" x14ac:dyDescent="0.25">
      <c r="F374" s="50"/>
      <c r="G374" s="50"/>
    </row>
    <row r="375" spans="6:7" x14ac:dyDescent="0.25">
      <c r="F375" s="50"/>
      <c r="G375" s="50"/>
    </row>
    <row r="376" spans="6:7" x14ac:dyDescent="0.25">
      <c r="F376" s="50"/>
      <c r="G376" s="50"/>
    </row>
    <row r="377" spans="6:7" x14ac:dyDescent="0.25">
      <c r="F377" s="50"/>
      <c r="G377" s="50"/>
    </row>
    <row r="378" spans="6:7" x14ac:dyDescent="0.25">
      <c r="F378" s="50"/>
      <c r="G378" s="50"/>
    </row>
    <row r="379" spans="6:7" x14ac:dyDescent="0.25">
      <c r="F379" s="50"/>
      <c r="G379" s="50"/>
    </row>
    <row r="380" spans="6:7" x14ac:dyDescent="0.25">
      <c r="F380" s="50"/>
      <c r="G380" s="50"/>
    </row>
    <row r="381" spans="6:7" x14ac:dyDescent="0.25">
      <c r="F381" s="50"/>
      <c r="G381" s="50"/>
    </row>
    <row r="382" spans="6:7" x14ac:dyDescent="0.25">
      <c r="F382" s="50"/>
      <c r="G382" s="50"/>
    </row>
    <row r="383" spans="6:7" x14ac:dyDescent="0.25">
      <c r="F383" s="50"/>
      <c r="G383" s="50"/>
    </row>
    <row r="384" spans="6:7" x14ac:dyDescent="0.25">
      <c r="F384" s="50"/>
      <c r="G384" s="50"/>
    </row>
    <row r="385" spans="6:7" x14ac:dyDescent="0.25">
      <c r="F385" s="50"/>
      <c r="G385" s="50"/>
    </row>
    <row r="386" spans="6:7" x14ac:dyDescent="0.25">
      <c r="F386" s="50"/>
      <c r="G386" s="50"/>
    </row>
    <row r="387" spans="6:7" x14ac:dyDescent="0.25">
      <c r="F387" s="50"/>
      <c r="G387" s="50"/>
    </row>
    <row r="388" spans="6:7" x14ac:dyDescent="0.25">
      <c r="F388" s="50"/>
      <c r="G388" s="50"/>
    </row>
    <row r="389" spans="6:7" x14ac:dyDescent="0.25">
      <c r="F389" s="50"/>
      <c r="G389" s="50"/>
    </row>
    <row r="390" spans="6:7" x14ac:dyDescent="0.25">
      <c r="F390" s="50"/>
      <c r="G390" s="50"/>
    </row>
    <row r="391" spans="6:7" x14ac:dyDescent="0.25">
      <c r="F391" s="50"/>
      <c r="G391" s="50"/>
    </row>
    <row r="392" spans="6:7" x14ac:dyDescent="0.25">
      <c r="F392" s="50"/>
      <c r="G392" s="50"/>
    </row>
    <row r="393" spans="6:7" x14ac:dyDescent="0.25">
      <c r="F393" s="50"/>
      <c r="G393" s="50"/>
    </row>
    <row r="394" spans="6:7" x14ac:dyDescent="0.25">
      <c r="F394" s="50"/>
      <c r="G394" s="50"/>
    </row>
  </sheetData>
  <sheetProtection algorithmName="SHA-512" hashValue="QX+Ys7M35ym7lMyCPd8TBSfykrxE1o0cLJJUftW5aqK/4uo1geMs5p0XaXD9859pWrIevXMtw2XGC81eRYDmBA==" saltValue="dlUBN5Ve6H690O7QTDD5eg==" spinCount="100000" sheet="1" objects="1" scenario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9B524-08A1-4C98-9B75-EAD3B1A9ED61}">
  <sheetPr codeName="Sheet1">
    <pageSetUpPr autoPageBreaks="0" fitToPage="1"/>
  </sheetPr>
  <dimension ref="B1:R39"/>
  <sheetViews>
    <sheetView showGridLines="0" showRowColHeaders="0" tabSelected="1" zoomScaleNormal="100" workbookViewId="0">
      <selection activeCell="C4" sqref="C4"/>
    </sheetView>
  </sheetViews>
  <sheetFormatPr defaultRowHeight="15" x14ac:dyDescent="0.25"/>
  <cols>
    <col min="1" max="1" width="2.140625" customWidth="1"/>
    <col min="2" max="2" width="40" customWidth="1"/>
    <col min="3" max="3" width="39.5703125" customWidth="1"/>
    <col min="4" max="4" width="2.140625" customWidth="1"/>
    <col min="10" max="10" width="2.7109375" customWidth="1"/>
    <col min="11" max="11" width="40" customWidth="1"/>
    <col min="12" max="12" width="39.42578125" customWidth="1"/>
    <col min="13" max="13" width="2.140625" customWidth="1"/>
    <col min="19" max="19" width="2.140625" customWidth="1"/>
  </cols>
  <sheetData>
    <row r="1" spans="2:18" ht="15.75" thickBot="1" x14ac:dyDescent="0.3"/>
    <row r="2" spans="2:18" ht="19.5" thickBot="1" x14ac:dyDescent="0.35">
      <c r="B2" s="210" t="s">
        <v>213</v>
      </c>
      <c r="C2" s="211"/>
      <c r="E2" s="209" t="s">
        <v>217</v>
      </c>
      <c r="F2" s="209"/>
      <c r="G2" s="209"/>
      <c r="H2" s="209"/>
      <c r="I2" s="209"/>
      <c r="K2" s="210" t="s">
        <v>212</v>
      </c>
      <c r="L2" s="211"/>
      <c r="N2" s="209" t="s">
        <v>216</v>
      </c>
      <c r="O2" s="209"/>
      <c r="P2" s="209"/>
      <c r="Q2" s="209"/>
      <c r="R2" s="209"/>
    </row>
    <row r="3" spans="2:18" ht="6" customHeight="1" thickBot="1" x14ac:dyDescent="0.3">
      <c r="B3" s="64"/>
      <c r="C3" s="65"/>
      <c r="K3" s="64"/>
      <c r="L3" s="65"/>
    </row>
    <row r="4" spans="2:18" ht="15" customHeight="1" x14ac:dyDescent="0.25">
      <c r="B4" s="104" t="s">
        <v>148</v>
      </c>
      <c r="C4" s="113"/>
      <c r="E4" s="218" t="str">
        <f>Msg_SMEWiz</f>
        <v>Please provide Bank Customer Name input.
Please provide Currency input.
Please provide Spot FX input.
Please provide Date input.
Please provide Employees input.
Please provide Turnover input.
Please provide Balance Sheet total input.</v>
      </c>
      <c r="F4" s="219"/>
      <c r="G4" s="219"/>
      <c r="H4" s="219"/>
      <c r="I4" s="220"/>
      <c r="K4" s="104" t="s">
        <v>236</v>
      </c>
      <c r="L4" s="113"/>
      <c r="N4" s="218" t="str">
        <f>Msg_SMEWiz_Parent</f>
        <v>Please provide Parent Obligor Name input.
Please provide Currency input.
Please provide Spot FX input.
Please provide Date input.
Please provide Employees input.
Please provide Turnover input.
Please provide Balance Sheet total input.</v>
      </c>
      <c r="O4" s="219"/>
      <c r="P4" s="219"/>
      <c r="Q4" s="219"/>
      <c r="R4" s="220"/>
    </row>
    <row r="5" spans="2:18" ht="15" customHeight="1" x14ac:dyDescent="0.25">
      <c r="B5" s="104" t="s">
        <v>405</v>
      </c>
      <c r="C5" s="113"/>
      <c r="E5" s="221"/>
      <c r="F5" s="222"/>
      <c r="G5" s="222"/>
      <c r="H5" s="222"/>
      <c r="I5" s="223"/>
      <c r="K5" s="104" t="s">
        <v>405</v>
      </c>
      <c r="L5" s="113"/>
      <c r="N5" s="221"/>
      <c r="O5" s="222"/>
      <c r="P5" s="222"/>
      <c r="Q5" s="222"/>
      <c r="R5" s="223"/>
    </row>
    <row r="6" spans="2:18" ht="15" customHeight="1" x14ac:dyDescent="0.25">
      <c r="B6" s="104" t="s">
        <v>156</v>
      </c>
      <c r="C6" s="114"/>
      <c r="E6" s="221"/>
      <c r="F6" s="222"/>
      <c r="G6" s="222"/>
      <c r="H6" s="222"/>
      <c r="I6" s="223"/>
      <c r="K6" s="104" t="s">
        <v>156</v>
      </c>
      <c r="L6" s="114"/>
      <c r="N6" s="221"/>
      <c r="O6" s="222"/>
      <c r="P6" s="222"/>
      <c r="Q6" s="222"/>
      <c r="R6" s="223"/>
    </row>
    <row r="7" spans="2:18" ht="15" customHeight="1" x14ac:dyDescent="0.25">
      <c r="B7" s="104" t="s">
        <v>199</v>
      </c>
      <c r="C7" s="117"/>
      <c r="E7" s="221"/>
      <c r="F7" s="222"/>
      <c r="G7" s="222"/>
      <c r="H7" s="222"/>
      <c r="I7" s="223"/>
      <c r="K7" s="104" t="s">
        <v>199</v>
      </c>
      <c r="L7" s="117"/>
      <c r="N7" s="221"/>
      <c r="O7" s="222"/>
      <c r="P7" s="222"/>
      <c r="Q7" s="222"/>
      <c r="R7" s="223"/>
    </row>
    <row r="8" spans="2:18" ht="9" customHeight="1" x14ac:dyDescent="0.25">
      <c r="B8" s="64"/>
      <c r="C8" s="65"/>
      <c r="E8" s="221"/>
      <c r="F8" s="222"/>
      <c r="G8" s="222"/>
      <c r="H8" s="222"/>
      <c r="I8" s="223"/>
      <c r="K8" s="64"/>
      <c r="L8" s="65"/>
      <c r="N8" s="221"/>
      <c r="O8" s="222"/>
      <c r="P8" s="222"/>
      <c r="Q8" s="222"/>
      <c r="R8" s="223"/>
    </row>
    <row r="9" spans="2:18" ht="21" customHeight="1" thickBot="1" x14ac:dyDescent="0.3">
      <c r="B9" s="212" t="s">
        <v>200</v>
      </c>
      <c r="C9" s="213"/>
      <c r="E9" s="224"/>
      <c r="F9" s="225"/>
      <c r="G9" s="225"/>
      <c r="H9" s="225"/>
      <c r="I9" s="226"/>
      <c r="K9" s="212" t="s">
        <v>200</v>
      </c>
      <c r="L9" s="213"/>
      <c r="N9" s="224"/>
      <c r="O9" s="225"/>
      <c r="P9" s="225"/>
      <c r="Q9" s="225"/>
      <c r="R9" s="226"/>
    </row>
    <row r="10" spans="2:18" x14ac:dyDescent="0.25">
      <c r="B10" s="2" t="s">
        <v>166</v>
      </c>
      <c r="C10" s="115"/>
      <c r="K10" s="2" t="s">
        <v>166</v>
      </c>
      <c r="L10" s="115"/>
    </row>
    <row r="11" spans="2:18" x14ac:dyDescent="0.25">
      <c r="B11" s="2" t="str">
        <f>"Turnover"&amp;IF(In_SMECurrency="",""," ("&amp;In_SMECurrency&amp;")")&amp;"*"</f>
        <v>Turnover*</v>
      </c>
      <c r="C11" s="115"/>
      <c r="K11" s="2" t="str">
        <f>"Turnover"&amp;IF(In_SMECurrency_Parent="",""," ("&amp;In_SMECurrency_Parent&amp;")")&amp;"*"</f>
        <v>Turnover*</v>
      </c>
      <c r="L11" s="115"/>
    </row>
    <row r="12" spans="2:18" ht="15.75" thickBot="1" x14ac:dyDescent="0.3">
      <c r="B12" s="105" t="str">
        <f>"Balance Sheet total "&amp;IF(In_SMECurrency="",""," ("&amp;In_SMECurrency&amp;")")</f>
        <v xml:space="preserve">Balance Sheet total </v>
      </c>
      <c r="C12" s="116"/>
      <c r="K12" s="105" t="str">
        <f>"Balance Sheet total "&amp;IF(In_SMECurrency_Parent="",""," ("&amp;In_SMECurrency_Parent&amp;")")</f>
        <v xml:space="preserve">Balance Sheet total </v>
      </c>
      <c r="L12" s="116"/>
    </row>
    <row r="13" spans="2:18" ht="6" customHeight="1" thickBot="1" x14ac:dyDescent="0.3"/>
    <row r="14" spans="2:18" ht="15.75" thickBot="1" x14ac:dyDescent="0.3">
      <c r="B14" s="214" t="s">
        <v>157</v>
      </c>
      <c r="C14" s="215"/>
      <c r="K14" s="214" t="s">
        <v>157</v>
      </c>
      <c r="L14" s="215"/>
    </row>
    <row r="15" spans="2:18" ht="18.75" customHeight="1" thickBot="1" x14ac:dyDescent="0.3">
      <c r="B15" s="216" t="s">
        <v>408</v>
      </c>
      <c r="C15" s="217"/>
      <c r="K15" s="216" t="s">
        <v>409</v>
      </c>
      <c r="L15" s="217"/>
    </row>
    <row r="16" spans="2:18" ht="15" customHeight="1" x14ac:dyDescent="0.25">
      <c r="B16" s="110" t="s">
        <v>207</v>
      </c>
      <c r="C16" s="133" t="s">
        <v>209</v>
      </c>
      <c r="K16" s="110" t="s">
        <v>207</v>
      </c>
      <c r="L16" s="133" t="s">
        <v>209</v>
      </c>
      <c r="N16" s="197" t="s">
        <v>254</v>
      </c>
      <c r="O16" s="198"/>
      <c r="P16" s="198"/>
      <c r="Q16" s="198"/>
      <c r="R16" s="199"/>
    </row>
    <row r="17" spans="2:18" x14ac:dyDescent="0.25">
      <c r="B17" s="2" t="s">
        <v>208</v>
      </c>
      <c r="C17" s="134" t="s">
        <v>201</v>
      </c>
      <c r="K17" s="2" t="s">
        <v>208</v>
      </c>
      <c r="L17" s="134" t="s">
        <v>201</v>
      </c>
      <c r="N17" s="200"/>
      <c r="O17" s="201"/>
      <c r="P17" s="201"/>
      <c r="Q17" s="201"/>
      <c r="R17" s="202"/>
    </row>
    <row r="18" spans="2:18" ht="15.75" customHeight="1" thickBot="1" x14ac:dyDescent="0.3">
      <c r="B18" s="105" t="s">
        <v>210</v>
      </c>
      <c r="C18" s="135" t="s">
        <v>202</v>
      </c>
      <c r="K18" s="105" t="s">
        <v>210</v>
      </c>
      <c r="L18" s="135" t="s">
        <v>202</v>
      </c>
      <c r="N18" s="203"/>
      <c r="O18" s="204"/>
      <c r="P18" s="204"/>
      <c r="Q18" s="204"/>
      <c r="R18" s="205"/>
    </row>
    <row r="19" spans="2:18" ht="6" customHeight="1" thickBot="1" x14ac:dyDescent="0.3"/>
    <row r="20" spans="2:18" ht="15.75" thickBot="1" x14ac:dyDescent="0.3">
      <c r="B20" s="109" t="s">
        <v>218</v>
      </c>
      <c r="C20" s="171" t="str">
        <f>IF(Calc_SMEStatus="Incomplete","Incomplete",IF(Calc_SMEStatus="Pass",Calc_SMEType,"Non-SME"))</f>
        <v>Incomplete</v>
      </c>
      <c r="K20" s="109" t="s">
        <v>219</v>
      </c>
      <c r="L20" s="171" t="str">
        <f>IF(Calc_SMEStatus_Parent="Incomplete","Incomplete",IF(Calc_SMEStatus_Parent="Pass",Calc_SMEType_Parent,"Non-SME"))</f>
        <v>Incomplete</v>
      </c>
      <c r="N20" s="193"/>
      <c r="O20" s="206" t="str">
        <f>"Version Number "&amp;Lkp_VersionNumber</f>
        <v>Version Number 1.2.0</v>
      </c>
      <c r="P20" s="206"/>
      <c r="Q20" s="206"/>
      <c r="R20" s="194"/>
    </row>
    <row r="21" spans="2:18" ht="6" customHeight="1" x14ac:dyDescent="0.25"/>
    <row r="22" spans="2:18" ht="15" customHeight="1" x14ac:dyDescent="0.25">
      <c r="B22" s="208" t="s">
        <v>407</v>
      </c>
      <c r="C22" s="208"/>
      <c r="D22" s="208"/>
      <c r="E22" s="208"/>
      <c r="F22" s="208"/>
      <c r="G22" s="208"/>
      <c r="H22" s="208"/>
      <c r="I22" s="208"/>
      <c r="K22" s="208" t="s">
        <v>407</v>
      </c>
      <c r="L22" s="208"/>
      <c r="M22" s="208"/>
      <c r="N22" s="208"/>
      <c r="O22" s="208"/>
      <c r="P22" s="208"/>
      <c r="Q22" s="208"/>
      <c r="R22" s="208"/>
    </row>
    <row r="23" spans="2:18" ht="6" customHeight="1" x14ac:dyDescent="0.25"/>
    <row r="25" spans="2:18" x14ac:dyDescent="0.25">
      <c r="B25" s="207"/>
      <c r="C25" s="207"/>
    </row>
    <row r="28" spans="2:18" ht="7.5" customHeight="1" x14ac:dyDescent="0.25"/>
    <row r="29" spans="2:18" ht="21" customHeight="1" x14ac:dyDescent="0.25"/>
    <row r="33" ht="6" customHeight="1" x14ac:dyDescent="0.25"/>
    <row r="39" ht="6" customHeight="1" x14ac:dyDescent="0.25"/>
  </sheetData>
  <sheetProtection algorithmName="SHA-512" hashValue="NYwa1gHDWJYhd5JtZwT+Mt+lVHyrHvilaix7zrzoodl3nFLFGP8MuX7l3bs/ajmnnr2hn+Bzt/3Nc/Haae01DA==" saltValue="Xcj6FMWOstVlpE1u7r14pw==" spinCount="100000" sheet="1" selectLockedCells="1"/>
  <mergeCells count="17">
    <mergeCell ref="N2:R2"/>
    <mergeCell ref="B2:C2"/>
    <mergeCell ref="B9:C9"/>
    <mergeCell ref="B14:C14"/>
    <mergeCell ref="B15:C15"/>
    <mergeCell ref="N4:R9"/>
    <mergeCell ref="E2:I2"/>
    <mergeCell ref="E4:I9"/>
    <mergeCell ref="K15:L15"/>
    <mergeCell ref="K2:L2"/>
    <mergeCell ref="K14:L14"/>
    <mergeCell ref="K9:L9"/>
    <mergeCell ref="N16:R18"/>
    <mergeCell ref="O20:Q20"/>
    <mergeCell ref="B25:C25"/>
    <mergeCell ref="B22:I22"/>
    <mergeCell ref="K22:R22"/>
  </mergeCells>
  <dataValidations count="8">
    <dataValidation type="list" allowBlank="1" showInputMessage="1" showErrorMessage="1" errorTitle="Error" error="Please select a currency input from the drop down menu." sqref="L5 C5" xr:uid="{C8F2AB7D-A5E3-4BA6-B3C9-1AF145A8A393}">
      <formula1>Lkp_Currency</formula1>
    </dataValidation>
    <dataValidation type="decimal" operator="greaterThan" allowBlank="1" showInputMessage="1" showErrorMessage="1" errorTitle="Error" error="Please provide a non-negative numeric FX rate." sqref="L6 C6" xr:uid="{09A65FC8-87F3-4A72-9007-B05F631E122E}">
      <formula1>0</formula1>
    </dataValidation>
    <dataValidation type="date" operator="greaterThan" allowBlank="1" showInputMessage="1" showErrorMessage="1" errorTitle="Error" error="Please provide a date later 01/01/2000" sqref="L7 C7" xr:uid="{B6D1F6D0-6A38-41F0-A158-F86EE799C5E8}">
      <formula1>36526</formula1>
    </dataValidation>
    <dataValidation type="whole" operator="greaterThan" allowBlank="1" showInputMessage="1" showErrorMessage="1" errorTitle="Error" error="Please provide a positive whole number of employees." sqref="L10 C10" xr:uid="{7E3AF384-65DB-4C57-A880-46C0BEDFB332}">
      <formula1>0</formula1>
    </dataValidation>
    <dataValidation type="custom" operator="notEqual" allowBlank="1" showInputMessage="1" showErrorMessage="1" errorTitle="Error" error="Turnover input invalid. Please provide a positive number." sqref="L11" xr:uid="{1D813668-D1F6-4B65-BAA1-56895F4B4AFE}">
      <formula1>AND(ISNUMBER(In_Turnover_Parent),In_Turnover_Parent&gt;=0)</formula1>
    </dataValidation>
    <dataValidation type="custom" allowBlank="1" showInputMessage="1" showErrorMessage="1" errorTitle="Error" error="Balance Sheet total input invalid. Please provide a numeric input." sqref="L12" xr:uid="{41650BEA-7C67-4EDF-A923-D33D3F0B6C3E}">
      <formula1>ISNUMBER(In_GrossAssets_Parent)</formula1>
    </dataValidation>
    <dataValidation type="custom" operator="notEqual" allowBlank="1" showInputMessage="1" showErrorMessage="1" errorTitle="Error" error="Turnover input invalid. Please provide a positive number." sqref="C11" xr:uid="{7C54503C-8F8D-4D6D-9796-92C166C885CF}">
      <formula1>AND(ISNUMBER(In_Turnover),In_Turnover&gt;=0)</formula1>
    </dataValidation>
    <dataValidation type="custom" allowBlank="1" showInputMessage="1" showErrorMessage="1" errorTitle="Error" error="Balance Sheet total input invalid. Please provide a numeric input." sqref="C12" xr:uid="{D3EA1D62-D721-4CFD-B9E3-443C8A8CCE3E}">
      <formula1>ISNUMBER(In_GrossAssets)</formula1>
    </dataValidation>
  </dataValidations>
  <pageMargins left="0.25" right="0.25" top="0.75" bottom="0.75" header="0.3" footer="0.3"/>
  <pageSetup paperSize="9" scale="5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4E7E8-2ADB-4388-8FE1-37077495030F}">
  <sheetPr codeName="Sheet2">
    <pageSetUpPr fitToPage="1"/>
  </sheetPr>
  <dimension ref="B1:H40"/>
  <sheetViews>
    <sheetView showGridLines="0" showRowColHeaders="0" zoomScale="90" zoomScaleNormal="90" workbookViewId="0">
      <selection activeCell="C5" sqref="C5"/>
    </sheetView>
  </sheetViews>
  <sheetFormatPr defaultRowHeight="15" x14ac:dyDescent="0.25"/>
  <cols>
    <col min="1" max="1" width="2.5703125" customWidth="1"/>
    <col min="2" max="2" width="77" customWidth="1"/>
    <col min="3" max="4" width="26" customWidth="1"/>
    <col min="5" max="5" width="2.5703125" customWidth="1"/>
    <col min="6" max="6" width="77" customWidth="1"/>
    <col min="7" max="8" width="26" customWidth="1"/>
    <col min="9" max="9" width="2.42578125" customWidth="1"/>
  </cols>
  <sheetData>
    <row r="1" spans="2:8" ht="9" customHeight="1" thickBot="1" x14ac:dyDescent="0.3"/>
    <row r="2" spans="2:8" ht="33" customHeight="1" thickBot="1" x14ac:dyDescent="0.3">
      <c r="B2" s="144" t="s">
        <v>23</v>
      </c>
      <c r="C2" s="145" t="str">
        <f>IF(PassFail_Overall&lt;&gt;"Incomplete","Overall result: "&amp;PassFail_Overall,"")</f>
        <v/>
      </c>
      <c r="F2" s="169" t="s">
        <v>255</v>
      </c>
      <c r="H2" s="192" t="str">
        <f>"Version Number "&amp;Lkp_VersionNumber</f>
        <v>Version Number 1.2.0</v>
      </c>
    </row>
    <row r="3" spans="2:8" ht="15.75" customHeight="1" thickBot="1" x14ac:dyDescent="0.3">
      <c r="F3" s="170" t="s">
        <v>254</v>
      </c>
    </row>
    <row r="4" spans="2:8" ht="26.25" customHeight="1" thickBot="1" x14ac:dyDescent="0.3">
      <c r="B4" s="14" t="s">
        <v>148</v>
      </c>
      <c r="C4" s="165" t="str">
        <f>IF(In_ObligorName="","",In_ObligorName)</f>
        <v/>
      </c>
      <c r="F4" s="39" t="s">
        <v>24</v>
      </c>
    </row>
    <row r="5" spans="2:8" ht="26.25" customHeight="1" x14ac:dyDescent="0.25">
      <c r="B5" s="22" t="s">
        <v>412</v>
      </c>
      <c r="C5" s="38"/>
      <c r="F5" s="235" t="str">
        <f>IF(In_ObligorSub="No",Msg,Msg&amp;CHAR(10)&amp;Msg_Parent)</f>
        <v xml:space="preserve">Please provide the Bank Customer Name on SME Wizard sheet.
Please provide the Bank Customer subsidiary status.
Please provide the Bank Customer SME status.
</v>
      </c>
    </row>
    <row r="6" spans="2:8" ht="26.25" customHeight="1" thickBot="1" x14ac:dyDescent="0.3">
      <c r="B6" s="15" t="s">
        <v>413</v>
      </c>
      <c r="C6" s="35"/>
      <c r="F6" s="236"/>
    </row>
    <row r="7" spans="2:8" ht="26.25" customHeight="1" thickBot="1" x14ac:dyDescent="0.3">
      <c r="B7" s="111" t="s">
        <v>414</v>
      </c>
      <c r="C7" s="36"/>
      <c r="F7" s="237"/>
    </row>
    <row r="8" spans="2:8" ht="9" customHeight="1" thickBot="1" x14ac:dyDescent="0.3"/>
    <row r="9" spans="2:8" ht="15.75" thickBot="1" x14ac:dyDescent="0.3">
      <c r="B9" s="34" t="str">
        <f>IF(In_ObligorSub="Yes","Bank Customer (consolidated, if available)","Bank Customer")</f>
        <v>Bank Customer</v>
      </c>
      <c r="F9" s="34" t="s">
        <v>214</v>
      </c>
      <c r="H9" s="37"/>
    </row>
    <row r="10" spans="2:8" ht="15.75" thickBot="1" x14ac:dyDescent="0.3">
      <c r="B10" s="111" t="s">
        <v>252</v>
      </c>
      <c r="C10" s="168" t="s">
        <v>6</v>
      </c>
      <c r="F10" s="111" t="s">
        <v>252</v>
      </c>
      <c r="G10" s="168" t="s">
        <v>6</v>
      </c>
    </row>
    <row r="11" spans="2:8" ht="6" customHeight="1" thickBot="1" x14ac:dyDescent="0.3">
      <c r="B11" s="166"/>
      <c r="C11" s="166"/>
      <c r="F11" s="166"/>
      <c r="G11" s="166"/>
    </row>
    <row r="12" spans="2:8" ht="15.75" customHeight="1" thickBot="1" x14ac:dyDescent="0.3">
      <c r="B12" s="167" t="str">
        <f>"Q.1. Has the Bank Customer been incorporated for more than 3 years?"</f>
        <v>Q.1. Has the Bank Customer been incorporated for more than 3 years?</v>
      </c>
      <c r="C12" s="36"/>
      <c r="F12" s="167" t="s">
        <v>425</v>
      </c>
      <c r="G12" s="36"/>
    </row>
    <row r="13" spans="2:8" ht="20.25" customHeight="1" thickBot="1" x14ac:dyDescent="0.3">
      <c r="B13" s="238" t="str">
        <f>IF(AND(Calculations!G6=TRUE,In_3YrInc="No",$C$2&lt;&gt;"",In_ObligorSME="Yes"),"There are no further questions to answer. Eligible Person.","")</f>
        <v/>
      </c>
      <c r="C13" s="238"/>
      <c r="F13" s="238" t="str">
        <f>IF(AND(Calculations!G20=TRUE,In_3YrInc_Parent="No",$C$2&lt;&gt;"",In_ObligorSME_Parent="Yes"),"There are no further questions to answer. Eligible Person.","")</f>
        <v/>
      </c>
      <c r="G13" s="238"/>
      <c r="H13" s="37"/>
    </row>
    <row r="14" spans="2:8" ht="15.75" customHeight="1" thickBot="1" x14ac:dyDescent="0.3">
      <c r="B14" s="16" t="s">
        <v>415</v>
      </c>
      <c r="C14" s="36"/>
      <c r="F14" s="16" t="s">
        <v>415</v>
      </c>
      <c r="G14" s="36"/>
    </row>
    <row r="15" spans="2:8" ht="20.25" customHeight="1" thickBot="1" x14ac:dyDescent="0.3">
      <c r="B15" s="239" t="str">
        <f>IF(AND(Calculations!G7=TRUE,In_LossResNeg="No",$C$2&lt;&gt;"",In_ObligorSME="Yes"),"There are no further questions to answer. Eligible Person.","")</f>
        <v/>
      </c>
      <c r="C15" s="239"/>
      <c r="F15" s="239" t="str">
        <f>IF(AND(Calculations!G21=TRUE,In_LossResNeg_Parent="No",$C$2&lt;&gt;"",In_ObligorSME_Parent="Yes"),"There are no further questions to answer. Eligible Person.","")</f>
        <v/>
      </c>
      <c r="G15" s="239"/>
      <c r="H15" s="37"/>
    </row>
    <row r="16" spans="2:8" x14ac:dyDescent="0.25">
      <c r="B16" s="13" t="s">
        <v>416</v>
      </c>
      <c r="C16" s="118"/>
      <c r="F16" s="13" t="s">
        <v>416</v>
      </c>
      <c r="G16" s="118"/>
    </row>
    <row r="17" spans="2:8" x14ac:dyDescent="0.25">
      <c r="B17" s="4" t="s">
        <v>417</v>
      </c>
      <c r="C17" s="119"/>
      <c r="F17" s="4" t="s">
        <v>417</v>
      </c>
      <c r="G17" s="119"/>
      <c r="H17" s="185"/>
    </row>
    <row r="18" spans="2:8" ht="15.75" thickBot="1" x14ac:dyDescent="0.3">
      <c r="B18" s="3"/>
      <c r="C18" s="182" t="str">
        <f>IF(AND(Calculations!G8,Calculations!E8),IF(Calculations!D8,IF(In_Capital&lt;0,"Share capital negative",IF(In_Capital=0,IF(In_Profit=0,0,"Share capital zero"),-In_Profit/In_Capital)),""),"")</f>
        <v/>
      </c>
      <c r="F18" s="3"/>
      <c r="G18" s="182" t="str">
        <f>IF(AND(Calculations!E22,Calculations!G22),IF(Calculations!D22,IF(In_Capital_Parent&lt;0,"Share capital negative",IF(In_Capital_Parent=0,IF(In_Profit_Parent=0,0,"Share capital zero"),-In_Profit_Parent/In_Capital_Parent)),""),"")</f>
        <v/>
      </c>
    </row>
    <row r="19" spans="2:8" ht="26.25" customHeight="1" thickBot="1" x14ac:dyDescent="0.3">
      <c r="B19" s="17" t="s">
        <v>170</v>
      </c>
      <c r="C19" s="120" t="str">
        <f>IF(Calc_FundsRatio="","",IF(OR(In_Capital="",In_Profit=""),"",IF(OR(Calc_FundsRatio&lt;-50%,Calc_FundsRatio="Share capital negative",Calc_FundsRatio="Share capital zero"),"Yes","No")))</f>
        <v/>
      </c>
      <c r="F19" s="17" t="s">
        <v>170</v>
      </c>
      <c r="G19" s="120" t="str">
        <f>IF(Calc_FundsRatio_Parent="","",IF(OR(In_Capital_Parent="",In_Profit_Parent=""),"",IF(OR(Calc_FundsRatio_Parent&lt;-50%,Calc_FundsRatio_Parent="Share capital negative",Calc_FundsRatio_Parent="Share capital zero"),"Yes","No")))</f>
        <v/>
      </c>
    </row>
    <row r="20" spans="2:8" ht="20.25" customHeight="1" x14ac:dyDescent="0.25">
      <c r="B20" s="227" t="str">
        <f>IF($C$2="","",IF(Calc_ShareholderFunds="Yes","Non Eligible Person.",IF(AND(Calculations!G8=TRUE,In_ObligorSME="Yes",Calc_ShareholderFunds="No"),"No further questions to answer. Eligible Person.","")))</f>
        <v/>
      </c>
      <c r="C20" s="227"/>
      <c r="F20" s="227" t="str">
        <f>IF($C$2="","",IF(Calc_ShareholderFunds_Parent="Yes","NON ELIGIBLE PERSON.",IF(AND(Calculations!G22=TRUE,In_ObligorSME_Parent="Yes",Calc_ShareholderFunds_Parent="No"),"No further questions to answer. Eligible Person.","")))</f>
        <v/>
      </c>
      <c r="G20" s="227"/>
    </row>
    <row r="21" spans="2:8" ht="7.5" customHeight="1" thickBot="1" x14ac:dyDescent="0.3"/>
    <row r="22" spans="2:8" ht="15.75" thickBot="1" x14ac:dyDescent="0.3">
      <c r="B22" s="228" t="s">
        <v>410</v>
      </c>
      <c r="C22" s="229"/>
      <c r="D22" s="230"/>
      <c r="F22" s="228" t="s">
        <v>411</v>
      </c>
      <c r="G22" s="229"/>
      <c r="H22" s="230"/>
    </row>
    <row r="23" spans="2:8" x14ac:dyDescent="0.25">
      <c r="B23" s="233" t="s">
        <v>149</v>
      </c>
      <c r="C23" s="9" t="s">
        <v>167</v>
      </c>
      <c r="D23" s="10" t="s">
        <v>168</v>
      </c>
      <c r="F23" s="233" t="s">
        <v>149</v>
      </c>
      <c r="G23" s="9" t="s">
        <v>167</v>
      </c>
      <c r="H23" s="10" t="s">
        <v>168</v>
      </c>
    </row>
    <row r="24" spans="2:8" x14ac:dyDescent="0.25">
      <c r="B24" s="234"/>
      <c r="C24" s="95"/>
      <c r="D24" s="96"/>
      <c r="F24" s="234"/>
      <c r="G24" s="95"/>
      <c r="H24" s="96"/>
    </row>
    <row r="25" spans="2:8" x14ac:dyDescent="0.25">
      <c r="B25" s="2" t="s">
        <v>2</v>
      </c>
      <c r="C25" s="136"/>
      <c r="D25" s="137"/>
      <c r="F25" s="2" t="s">
        <v>2</v>
      </c>
      <c r="G25" s="136"/>
      <c r="H25" s="137"/>
    </row>
    <row r="26" spans="2:8" x14ac:dyDescent="0.25">
      <c r="B26" s="2" t="s">
        <v>418</v>
      </c>
      <c r="C26" s="136"/>
      <c r="D26" s="138"/>
      <c r="F26" s="2" t="s">
        <v>418</v>
      </c>
      <c r="G26" s="136"/>
      <c r="H26" s="138"/>
    </row>
    <row r="27" spans="2:8" x14ac:dyDescent="0.25">
      <c r="B27" s="5" t="s">
        <v>419</v>
      </c>
      <c r="C27" s="139"/>
      <c r="D27" s="137"/>
      <c r="F27" s="5" t="s">
        <v>419</v>
      </c>
      <c r="G27" s="139"/>
      <c r="H27" s="137"/>
    </row>
    <row r="28" spans="2:8" x14ac:dyDescent="0.25">
      <c r="B28" s="5" t="s">
        <v>420</v>
      </c>
      <c r="C28" s="139"/>
      <c r="D28" s="137"/>
      <c r="F28" s="5" t="s">
        <v>420</v>
      </c>
      <c r="G28" s="139"/>
      <c r="H28" s="137"/>
    </row>
    <row r="29" spans="2:8" ht="6" customHeight="1" x14ac:dyDescent="0.25">
      <c r="B29" s="6"/>
      <c r="C29" s="1"/>
      <c r="D29" s="11"/>
      <c r="F29" s="6"/>
      <c r="G29" s="1"/>
      <c r="H29" s="11"/>
    </row>
    <row r="30" spans="2:8" x14ac:dyDescent="0.25">
      <c r="B30" s="7" t="s">
        <v>422</v>
      </c>
      <c r="C30" s="12" t="str">
        <f>IF(Calculations!G10,IF(AND(ISNUMBER(In_EBITDA1),ISNUMBER(In_Interest1)),IF(In_EBITDA1&lt;=0,"EBITDA negative or zero",IF(In_Interest1&gt;=0,"Both positive*",In_EBITDA1/ABS(In_Interest1))),""),"")</f>
        <v/>
      </c>
      <c r="D30" s="18" t="str">
        <f>IF(Calculations!G10,IF(AND(ISNUMBER(In_EBITDA2),ISNUMBER(In_Interest2)),IF(In_EBITDA2&lt;=0,"EBITDA negative or zero",IF(In_Interest2&gt;=0,"Both positive*",In_EBITDA2/ABS(In_Interest2))),""),"")</f>
        <v/>
      </c>
      <c r="F30" s="7" t="s">
        <v>422</v>
      </c>
      <c r="G30" s="12" t="str">
        <f>IF(Calculations!G24,IF(AND(ISNUMBER(In_EBITDA1_Parent),ISNUMBER(In_Interest1_Parent)),IF(In_EBITDA1_Parent&lt;=0,"EBITDA negative or zero",IF(In_Interest1_Parent&gt;=0,"Both positive*",In_EBITDA1_Parent/ABS(In_Interest1_Parent))),""),"")</f>
        <v/>
      </c>
      <c r="H30" s="18" t="str">
        <f>IF(Calculations!G24,IF(AND(ISNUMBER(In_EBITDA2_Parent),ISNUMBER(In_Interest2_Parent)),IF(In_EBITDA2_Parent&lt;=0,"EBITDA negative or zero",IF(In_Interest2_Parent&gt;=0,"Both positive*",In_EBITDA2_Parent/ABS(In_Interest2_Parent))),""),"")</f>
        <v/>
      </c>
    </row>
    <row r="31" spans="2:8" ht="15.75" thickBot="1" x14ac:dyDescent="0.3">
      <c r="B31" s="8" t="s">
        <v>423</v>
      </c>
      <c r="C31" s="183" t="str">
        <f>IF(AND(Calculations!E12,Calculations!G13),IF(AND(ISNUMBER(In_Debt1),ISNUMBER(In_Funds1)),IF(In_Funds1&lt;0,"Equity negative",IF(In_Funds1=0,0,ABS(In_Debt1)/In_Funds1)),""),"")</f>
        <v/>
      </c>
      <c r="D31" s="184" t="str">
        <f>IF(AND(Calculations!E12,Calculations!G13),IF(AND(ISNUMBER(In_Debt2),ISNUMBER(In_Funds2)),IF(In_Funds2&lt;0,"Equity negative",IF(In_Funds2=0,0,ABS(In_Debt2)/In_Funds2)),""),"")</f>
        <v/>
      </c>
      <c r="F31" s="8" t="s">
        <v>423</v>
      </c>
      <c r="G31" s="183" t="str">
        <f>IF(AND(Calculations!E26,Calculations!G27),IF(AND(ISNUMBER(In_Debt1_Parent),ISNUMBER(In_Funds1_Parent)),IF(In_Funds1_Parent&lt;0,"Equity negative",IF(In_Funds1_Parent=0,0,ABS(In_Debt1_Parent)/In_Funds1_Parent)),""),"")</f>
        <v/>
      </c>
      <c r="H31" s="184" t="str">
        <f>IF(AND(Calculations!E26,Calculations!G27),IF(AND(ISNUMBER(In_Debt2_Parent),ISNUMBER(In_Funds2_Parent)),IF(In_Funds2_Parent&lt;0,"Equity negative",IF(In_Funds2_Parent=0,0,ABS(In_Debt2_Parent)/In_Funds2_Parent)),""),"")</f>
        <v/>
      </c>
    </row>
    <row r="32" spans="2:8" ht="6" customHeight="1" thickBot="1" x14ac:dyDescent="0.3"/>
    <row r="33" spans="2:8" ht="15.75" thickBot="1" x14ac:dyDescent="0.3">
      <c r="B33" s="19" t="s">
        <v>3</v>
      </c>
      <c r="C33" s="20" t="s">
        <v>0</v>
      </c>
      <c r="D33" s="21" t="s">
        <v>1</v>
      </c>
      <c r="F33" s="19" t="s">
        <v>3</v>
      </c>
      <c r="G33" s="20" t="s">
        <v>0</v>
      </c>
      <c r="H33" s="21" t="s">
        <v>1</v>
      </c>
    </row>
    <row r="34" spans="2:8" ht="27" customHeight="1" x14ac:dyDescent="0.25">
      <c r="B34" s="142" t="s">
        <v>421</v>
      </c>
      <c r="C34" s="186" t="str">
        <f>IF(OR(Calc_EBITDARatio1="",Calc_EBITDARatio2="",In_Date1="",In_Date2=""),"",IF(OR(AND(In_EBITDA1&gt;0,In_Interest1&gt;=0),AND(ISNUMBER(Calc_EBITDARatio1),Calc_EBITDARatio1&gt;=1),AND(In_EBITDA2&gt;0,In_Interest2&gt;=0),AND(ISNUMBER(Calc_EBITDARatio2),Calc_EBITDARatio2&gt;=1)),"Pass","Fail"))</f>
        <v/>
      </c>
      <c r="D34" s="231" t="s">
        <v>150</v>
      </c>
      <c r="F34" s="140" t="s">
        <v>421</v>
      </c>
      <c r="G34" s="186" t="str">
        <f>IF(OR(Calc_EBITDARatio1_Parent="",Calc_EBITDARatio2_Parent="",In_Date1_Parent="",In_Date2_Parent=""),"",IF(OR(AND(In_EBITDA1_Parent&gt;0,In_Interest1_Parent&gt;=0),AND(ISNUMBER(Calc_EBITDARatio1_Parent),Calc_EBITDARatio1_Parent&gt;=1),AND(In_EBITDA2_Parent&gt;0,In_Interest2_Parent&gt;=0),AND(ISNUMBER(Calc_EBITDARatio2_Parent),Calc_EBITDARatio2_Parent&gt;=1)),"Pass","Fail"))</f>
        <v/>
      </c>
      <c r="H34" s="231" t="s">
        <v>150</v>
      </c>
    </row>
    <row r="35" spans="2:8" ht="27" customHeight="1" thickBot="1" x14ac:dyDescent="0.3">
      <c r="B35" s="143" t="s">
        <v>424</v>
      </c>
      <c r="C35" s="187" t="str">
        <f>IF(OR(Calc_DebtRatio1="",Calc_DebtRatio2="",In_Date1="",In_Date2=""),"",IF(OR(AND(ISNUMBER(Calc_DebtRatio1),OR(AND(Calc_DebtRatio1&lt;=7.5,In_Funds1&lt;&gt;0),AND(In_Debt1=0,In_Funds1=0))),AND(ISNUMBER(Calc_DebtRatio2),OR(AND(Calc_DebtRatio2&lt;=7.5,In_Funds2&lt;&gt;0),AND(In_Debt2=0,In_Funds2=0)))),"Pass","Fail"))</f>
        <v/>
      </c>
      <c r="D35" s="232"/>
      <c r="F35" s="141" t="s">
        <v>424</v>
      </c>
      <c r="G35" s="187" t="str">
        <f>IF(OR(Calc_DebtRatio1_Parent="",Calc_DebtRatio2_Parent="",In_Date1_Parent="",In_Date2_Parent=""),"",IF(OR(AND(ISNUMBER(Calc_DebtRatio1_Parent),OR(AND(Calc_DebtRatio1_Parent&lt;=7.5,In_Funds1_Parent&lt;&gt;0),AND(In_Funds1_Parent=0,In_Debt1_Parent=0))),AND(ISNUMBER(Calc_DebtRatio2_Parent),OR(AND(Calc_DebtRatio2_Parent&lt;=7.5,In_Funds2_Parent&lt;&gt;0),AND(In_Funds2_Parent=0,In_Debt2_Parent=0)))),"Pass","Fail"))</f>
        <v/>
      </c>
      <c r="H35" s="232"/>
    </row>
    <row r="36" spans="2:8" ht="20.25" customHeight="1" x14ac:dyDescent="0.25">
      <c r="B36" s="227" t="str">
        <f>IF($C$2="","",IF(OR(Calc_DebtTest="",Calc_EBITDATest="",In_Date1="",In_Date2=""),"",IF(OR(Calc_DebtTest="Pass",Calc_EBITDATest="Pass"),"Eligible Person.","Non Eligible Person.")))</f>
        <v/>
      </c>
      <c r="C36" s="227"/>
      <c r="D36" s="227"/>
      <c r="F36" s="227" t="str">
        <f>IF($C$2="","",IF(OR(Calc_DebtTest_Parent="",Calc_EBITDATest_Parent="",In_Date1_Parent="",In_Date2_Parent=""),"",IF(OR(Calc_DebtTest_Parent="Pass",Calc_EBITDATest_Parent="Pass"),"Eligible Person.","Non Eligible Person.")))</f>
        <v/>
      </c>
      <c r="G36" s="227"/>
      <c r="H36" s="227"/>
    </row>
    <row r="37" spans="2:8" ht="15" customHeight="1" x14ac:dyDescent="0.25">
      <c r="B37" s="189" t="s">
        <v>350</v>
      </c>
      <c r="F37" s="189" t="s">
        <v>350</v>
      </c>
    </row>
    <row r="38" spans="2:8" ht="9" customHeight="1" x14ac:dyDescent="0.25">
      <c r="C38" s="188"/>
    </row>
    <row r="39" spans="2:8" x14ac:dyDescent="0.25">
      <c r="C39" s="97"/>
    </row>
    <row r="40" spans="2:8" x14ac:dyDescent="0.25">
      <c r="C40" s="97"/>
    </row>
  </sheetData>
  <sheetProtection algorithmName="SHA-512" hashValue="GRKW/7Kwo7xefJaFQLlRqe1YzZ0i9i5SUGy+MjDa3+LYJprOg3Y+qkh4eSO+Z35h3dNyDzBZGi4JcKY0yU+p5Q==" saltValue="SvLUy+mBSZt05ktVVsJORg==" spinCount="100000" sheet="1" selectLockedCells="1"/>
  <dataConsolidate/>
  <mergeCells count="15">
    <mergeCell ref="F5:F7"/>
    <mergeCell ref="F20:G20"/>
    <mergeCell ref="F13:G13"/>
    <mergeCell ref="F15:G15"/>
    <mergeCell ref="B23:B24"/>
    <mergeCell ref="B13:C13"/>
    <mergeCell ref="B15:C15"/>
    <mergeCell ref="B20:C20"/>
    <mergeCell ref="B36:D36"/>
    <mergeCell ref="B22:D22"/>
    <mergeCell ref="D34:D35"/>
    <mergeCell ref="F22:H22"/>
    <mergeCell ref="F23:F24"/>
    <mergeCell ref="H34:H35"/>
    <mergeCell ref="F36:H36"/>
  </mergeCells>
  <conditionalFormatting sqref="B20">
    <cfRule type="expression" dxfId="30" priority="48">
      <formula>AND(Calc_ShareholderFunds="Yes",$C$2&lt;&gt;"")</formula>
    </cfRule>
  </conditionalFormatting>
  <conditionalFormatting sqref="F20">
    <cfRule type="expression" dxfId="29" priority="23">
      <formula>AND(Calc_ShareholderFunds_Parent="Yes",$C$2&lt;&gt;"")</formula>
    </cfRule>
  </conditionalFormatting>
  <conditionalFormatting sqref="C2">
    <cfRule type="expression" dxfId="28" priority="17">
      <formula>PassFail_Overall="Fail"</formula>
    </cfRule>
    <cfRule type="expression" dxfId="27" priority="18">
      <formula>PassFail_Overall="Pass"</formula>
    </cfRule>
  </conditionalFormatting>
  <conditionalFormatting sqref="F36:H36">
    <cfRule type="expression" dxfId="26" priority="13">
      <formula>AND($G$34&lt;&gt;"",$G$35&lt;&gt;"",OR(Calc_DebtTest_Parent="Pass",Calc_EBITDATest_Parent="Pass"),$C$2&lt;&gt;"")</formula>
    </cfRule>
    <cfRule type="expression" dxfId="25" priority="14">
      <formula>AND(Calc_DebtTest_Parent="Fail",Calc_EBITDATest_Parent="Fail")</formula>
    </cfRule>
  </conditionalFormatting>
  <conditionalFormatting sqref="B36:D36">
    <cfRule type="expression" dxfId="24" priority="12">
      <formula>AND(Calc_EBITDATest&lt;&gt;"",Calc_DebtTest&lt;&gt;"",OR(Calc_DebtTest="Pass",Calc_EBITDATest="Pass"),$C$2&lt;&gt;"")</formula>
    </cfRule>
    <cfRule type="expression" dxfId="23" priority="49">
      <formula>AND(Calc_DebtTest="Fail",Calc_EBITDATest="Fail")</formula>
    </cfRule>
  </conditionalFormatting>
  <conditionalFormatting sqref="C31:D31 G31:H31">
    <cfRule type="cellIs" dxfId="22" priority="7" operator="equal">
      <formula>"Equity negative"</formula>
    </cfRule>
  </conditionalFormatting>
  <conditionalFormatting sqref="C30:D30 G30:H30">
    <cfRule type="cellIs" dxfId="21" priority="6" operator="equal">
      <formula>"EBITDA negative or zero"</formula>
    </cfRule>
  </conditionalFormatting>
  <conditionalFormatting sqref="B37">
    <cfRule type="expression" dxfId="20" priority="4">
      <formula>OR($C$30="Both positive*",$D$30="Both positive*")</formula>
    </cfRule>
  </conditionalFormatting>
  <conditionalFormatting sqref="F37">
    <cfRule type="expression" dxfId="19" priority="3">
      <formula>OR($G$30="Both positive*",$H$30="Both positive*")</formula>
    </cfRule>
  </conditionalFormatting>
  <dataValidations xWindow="581" yWindow="603" count="8">
    <dataValidation type="decimal" operator="greaterThanOrEqual" allowBlank="1" showInputMessage="1" showErrorMessage="1" errorTitle="Input Error" error="Please input losses as a positive number." promptTitle="Profit and Loss" prompt="Please provide loss figures, as a positive value, as per the lastest annual statements." sqref="G17" xr:uid="{8D35C00B-6314-49A8-B09D-37C208D33AC2}">
      <formula1>0</formula1>
    </dataValidation>
    <dataValidation type="custom" allowBlank="1" showInputMessage="1" showErrorMessage="1" errorTitle="Input Error" error="Question 3 requires numerical inputs. Please try again." promptTitle="Share Capital" prompt="Please provide share capital figures as per the lastest annual statements." sqref="G16 C16" xr:uid="{04DDA1AD-85A3-465B-92B1-62D19C5021C6}">
      <formula1>ISNUMBER(C16)</formula1>
    </dataValidation>
    <dataValidation type="custom" allowBlank="1" showInputMessage="1" showErrorMessage="1" errorTitle="Input Error" error="Non-SME questions require numeric inputs. Please try again." sqref="C28:D28 C25:D26 G25:H26 G28:H28" xr:uid="{3E07B125-49CB-4A0C-A125-63BC89E5DD22}">
      <formula1>ISNUMBER(C25)</formula1>
    </dataValidation>
    <dataValidation type="date" operator="greaterThanOrEqual" allowBlank="1" showInputMessage="1" showErrorMessage="1" errorTitle="Date" error="Please provide a date from 2000 onwards" promptTitle="Latest accounting period" prompt="Please provide the date of the latest accounting period in accordance with statutory accounts (dd/mm/yy)" sqref="G24 C24" xr:uid="{7E2168D7-F6D9-40EA-BE68-0C2F26AEA586}">
      <formula1>36526</formula1>
    </dataValidation>
    <dataValidation type="list" allowBlank="1" showInputMessage="1" showErrorMessage="1" errorTitle="Error" error="Please select either &quot;Yes&quot; or &quot;No&quot; from the dropdown menu" sqref="C12 C14 G12 G14 C5:C7" xr:uid="{C64B02E0-6C62-4546-907D-493257B189D3}">
      <formula1>Lkp_YesNo</formula1>
    </dataValidation>
    <dataValidation type="decimal" operator="greaterThanOrEqual" allowBlank="1" showInputMessage="1" showErrorMessage="1" errorTitle="Input Error" error="Please provide the losses as a positive number." promptTitle="Profit and Loss" prompt="Please provide loss figures, as a positive value, as per the lastest annual statements." sqref="C17" xr:uid="{9B82EE01-48BD-424E-9C47-976D139FE5AE}">
      <formula1>0</formula1>
    </dataValidation>
    <dataValidation type="date" operator="greaterThanOrEqual" allowBlank="1" showInputMessage="1" showErrorMessage="1" errorTitle="Date" error="Please provide a date from 2000 onwards" promptTitle="Prior accounting period" prompt="Please provide the date of the prior accounting period in accordance with statutory accounts (dd/mm/yy)" sqref="H24 D24" xr:uid="{2D23DC9B-3B50-455B-9B41-2863CCE1F9B0}">
      <formula1>36526</formula1>
    </dataValidation>
    <dataValidation type="decimal" operator="lessThanOrEqual" allowBlank="1" showInputMessage="1" showErrorMessage="1" errorTitle="Input Error" error="BOOK DEBT must be a number less than or equal to 0. Please try again." promptTitle="Book Debt" prompt="Please provide book debt as a negative value." sqref="G27:H27 C27:D27" xr:uid="{6B4354FD-6F29-4763-8F82-12FC5BC18B25}">
      <formula1>0</formula1>
    </dataValidation>
  </dataValidations>
  <pageMargins left="0.25" right="0.25" top="0.75" bottom="0.75"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expression" priority="53" id="{00000000-000E-0000-0100-000001000000}">
            <xm:f>AND(In_ObligorSME="Yes",Calc_ShareholderFunds="No",Calculations!$G$8=TRUE,$C$2&lt;&gt;"")</xm:f>
            <x14:dxf>
              <fill>
                <patternFill>
                  <bgColor rgb="FF66FF66"/>
                </patternFill>
              </fill>
            </x14:dxf>
          </x14:cfRule>
          <xm:sqref>B20</xm:sqref>
        </x14:conditionalFormatting>
        <x14:conditionalFormatting xmlns:xm="http://schemas.microsoft.com/office/excel/2006/main">
          <x14:cfRule type="expression" priority="60" id="{00000000-000E-0000-0100-000008000000}">
            <xm:f>AND(In_3YrInc="No",Calculations!$G$6=TRUE,$C$2&lt;&gt;"",In_ObligorSME="Yes")</xm:f>
            <x14:dxf>
              <fill>
                <patternFill>
                  <bgColor rgb="FF66FF66"/>
                </patternFill>
              </fill>
            </x14:dxf>
          </x14:cfRule>
          <xm:sqref>B13</xm:sqref>
        </x14:conditionalFormatting>
        <x14:conditionalFormatting xmlns:xm="http://schemas.microsoft.com/office/excel/2006/main">
          <x14:cfRule type="expression" priority="55" id="{00000000-000E-0000-0100-000003000000}">
            <xm:f>AND(In_LossResNeg="No",Calculations!$G$7=TRUE,$C$2&lt;&gt;"",In_ObligorSME="Yes")</xm:f>
            <x14:dxf>
              <fill>
                <patternFill>
                  <bgColor rgb="FF66FF66"/>
                </patternFill>
              </fill>
            </x14:dxf>
          </x14:cfRule>
          <xm:sqref>B15</xm:sqref>
        </x14:conditionalFormatting>
        <x14:conditionalFormatting xmlns:xm="http://schemas.microsoft.com/office/excel/2006/main">
          <x14:cfRule type="expression" priority="52" id="{82E83998-C566-4060-ABDB-794CE3564B1F}">
            <xm:f>Calculations!$G$6=FALSE</xm:f>
            <x14:dxf>
              <font>
                <color theme="0"/>
              </font>
              <fill>
                <patternFill>
                  <bgColor theme="0"/>
                </patternFill>
              </fill>
              <border>
                <left/>
                <right/>
                <top/>
                <bottom/>
                <vertical/>
                <horizontal/>
              </border>
            </x14:dxf>
          </x14:cfRule>
          <xm:sqref>B12:C12</xm:sqref>
        </x14:conditionalFormatting>
        <x14:conditionalFormatting xmlns:xm="http://schemas.microsoft.com/office/excel/2006/main">
          <x14:cfRule type="expression" priority="51" id="{D64B00F1-C756-4D59-8D7C-175A96CC9B15}">
            <xm:f>Calculations!$G$7=FALSE</xm:f>
            <x14:dxf>
              <font>
                <color theme="0"/>
              </font>
              <fill>
                <patternFill>
                  <bgColor theme="0"/>
                </patternFill>
              </fill>
              <border>
                <left/>
                <right/>
                <top/>
                <bottom/>
              </border>
            </x14:dxf>
          </x14:cfRule>
          <xm:sqref>B14:C14</xm:sqref>
        </x14:conditionalFormatting>
        <x14:conditionalFormatting xmlns:xm="http://schemas.microsoft.com/office/excel/2006/main">
          <x14:cfRule type="expression" priority="11" id="{D233C9AD-6149-4DCE-B8EA-F7A83872FC6D}">
            <xm:f>Calculations!$G$10=FALSE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B22:D36</xm:sqref>
        </x14:conditionalFormatting>
        <x14:conditionalFormatting xmlns:xm="http://schemas.microsoft.com/office/excel/2006/main">
          <x14:cfRule type="expression" priority="30" id="{F861AF80-246E-4E13-819B-D332EF3884A6}">
            <xm:f>AND(In_3YrInc_Parent="No",Calculations!$G$20=TRUE,$C$2&lt;&gt;"",In_ObligorSME_Parent="Yes")</xm:f>
            <x14:dxf>
              <fill>
                <patternFill>
                  <bgColor rgb="FF66FF66"/>
                </patternFill>
              </fill>
            </x14:dxf>
          </x14:cfRule>
          <xm:sqref>F13:G13</xm:sqref>
        </x14:conditionalFormatting>
        <x14:conditionalFormatting xmlns:xm="http://schemas.microsoft.com/office/excel/2006/main">
          <x14:cfRule type="expression" priority="28" id="{272A5C56-FCF8-4299-BB4C-12D7046AE27B}">
            <xm:f>Calculations!$G$20=FALSE</xm:f>
            <x14:dxf>
              <font>
                <color theme="0"/>
              </font>
              <fill>
                <patternFill>
                  <bgColor rgb="FFFFFFFF"/>
                </patternFill>
              </fill>
              <border>
                <left/>
                <right/>
                <top/>
                <bottom/>
                <vertical/>
                <horizontal/>
              </border>
            </x14:dxf>
          </x14:cfRule>
          <xm:sqref>F12:G12</xm:sqref>
        </x14:conditionalFormatting>
        <x14:conditionalFormatting xmlns:xm="http://schemas.microsoft.com/office/excel/2006/main">
          <x14:cfRule type="expression" priority="27" id="{3017DA4F-C8C3-406A-B827-9C18AB4E82A6}">
            <xm:f>Calculations!$G$21=FALSE</xm:f>
            <x14:dxf>
              <font>
                <color theme="0"/>
              </font>
              <fill>
                <patternFill>
                  <bgColor theme="0"/>
                </patternFill>
              </fill>
              <border>
                <left/>
                <right/>
                <top/>
                <bottom/>
                <vertical/>
                <horizontal/>
              </border>
            </x14:dxf>
          </x14:cfRule>
          <xm:sqref>F14:G14</xm:sqref>
        </x14:conditionalFormatting>
        <x14:conditionalFormatting xmlns:xm="http://schemas.microsoft.com/office/excel/2006/main">
          <x14:cfRule type="expression" priority="26" id="{82255436-3105-4A2F-A954-1ABD3EE8C474}">
            <xm:f>AND(In_LossResNeg_Parent="No",Calculations!$G$21=TRUE,$C$2&lt;&gt;"",In_ObligorSME_Parent="Yes")</xm:f>
            <x14:dxf>
              <fill>
                <patternFill>
                  <bgColor rgb="FF66FF66"/>
                </patternFill>
              </fill>
            </x14:dxf>
          </x14:cfRule>
          <xm:sqref>F15:G15</xm:sqref>
        </x14:conditionalFormatting>
        <x14:conditionalFormatting xmlns:xm="http://schemas.microsoft.com/office/excel/2006/main">
          <x14:cfRule type="expression" priority="25" id="{329A2D28-8DDD-4A26-BA9D-6391FF16814B}">
            <xm:f>Calculations!$G$22=FALSE</xm:f>
            <x14:dxf>
              <font>
                <color theme="0"/>
              </font>
              <fill>
                <patternFill>
                  <bgColor theme="0"/>
                </patternFill>
              </fill>
              <border>
                <left/>
                <right/>
                <top/>
                <bottom/>
                <vertical/>
                <horizontal/>
              </border>
            </x14:dxf>
          </x14:cfRule>
          <xm:sqref>F16:G19</xm:sqref>
        </x14:conditionalFormatting>
        <x14:conditionalFormatting xmlns:xm="http://schemas.microsoft.com/office/excel/2006/main">
          <x14:cfRule type="expression" priority="24" id="{6DCEA416-72D5-4CB3-AF7C-C341DB3B024B}">
            <xm:f>AND(In_ObligorSME_Parent="Yes",Calc_ShareholderFunds_Parent="No",Calculations!$G$22=TRUE,$C$2&lt;&gt;"")</xm:f>
            <x14:dxf>
              <fill>
                <patternFill>
                  <bgColor rgb="FF66FF66"/>
                </patternFill>
              </fill>
            </x14:dxf>
          </x14:cfRule>
          <xm:sqref>F20</xm:sqref>
        </x14:conditionalFormatting>
        <x14:conditionalFormatting xmlns:xm="http://schemas.microsoft.com/office/excel/2006/main">
          <x14:cfRule type="expression" priority="22" id="{EA7BB991-B622-4937-90F6-5A5F5C84E506}">
            <xm:f>Calculations!$G$24=FALSE</xm:f>
            <x14:dxf>
              <font>
                <color theme="0"/>
              </font>
              <fill>
                <patternFill>
                  <bgColor theme="0"/>
                </patternFill>
              </fill>
              <border>
                <left/>
                <right/>
                <top/>
                <bottom/>
                <vertical/>
                <horizontal/>
              </border>
            </x14:dxf>
          </x14:cfRule>
          <xm:sqref>F22:H36</xm:sqref>
        </x14:conditionalFormatting>
        <x14:conditionalFormatting xmlns:xm="http://schemas.microsoft.com/office/excel/2006/main">
          <x14:cfRule type="expression" priority="19" id="{0501F1A3-4545-4498-99A2-7B36BA7C15DD}">
            <xm:f>Calculations!$G$8=FALSE</xm:f>
            <x14:dxf>
              <font>
                <color theme="0"/>
              </font>
              <fill>
                <patternFill>
                  <bgColor theme="0"/>
                </patternFill>
              </fill>
              <border>
                <left/>
                <right/>
                <top/>
                <bottom/>
                <vertical/>
                <horizontal/>
              </border>
            </x14:dxf>
          </x14:cfRule>
          <xm:sqref>B16:C19</xm:sqref>
        </x14:conditionalFormatting>
        <x14:conditionalFormatting xmlns:xm="http://schemas.microsoft.com/office/excel/2006/main">
          <x14:cfRule type="expression" priority="16" id="{83A180F0-0DE5-4962-8864-E8C68CCB0DAF}">
            <xm:f>Calculations!$G$19=FALSE</xm:f>
            <x14:dxf>
              <font>
                <color theme="0"/>
              </font>
              <fill>
                <patternFill>
                  <bgColor theme="0"/>
                </patternFill>
              </fill>
              <border>
                <left/>
                <right/>
                <bottom/>
                <vertical/>
                <horizontal/>
              </border>
            </x14:dxf>
          </x14:cfRule>
          <xm:sqref>B7:C7</xm:sqref>
        </x14:conditionalFormatting>
        <x14:conditionalFormatting xmlns:xm="http://schemas.microsoft.com/office/excel/2006/main">
          <x14:cfRule type="expression" priority="9" id="{E4C97F3D-2356-48DB-BE2B-26C812933515}">
            <xm:f>AND(Calculations!$G$6=FALSE,Calculations!$G$7=FALSE)</xm:f>
            <x14:dxf>
              <font>
                <color theme="0"/>
              </font>
              <fill>
                <patternFill>
                  <bgColor theme="0"/>
                </patternFill>
              </fill>
              <border>
                <left/>
                <right/>
                <top/>
                <bottom/>
              </border>
            </x14:dxf>
          </x14:cfRule>
          <xm:sqref>B9:C11</xm:sqref>
        </x14:conditionalFormatting>
        <x14:conditionalFormatting xmlns:xm="http://schemas.microsoft.com/office/excel/2006/main">
          <x14:cfRule type="expression" priority="8" id="{DC9DAF01-818A-4C3D-B22B-045B7570B9A4}">
            <xm:f>AND(Calculations!$G$20=FALSE,Calculations!$G$21=FALSE)</xm:f>
            <x14:dxf>
              <font>
                <color theme="0"/>
              </font>
              <fill>
                <patternFill>
                  <bgColor theme="0"/>
                </patternFill>
              </fill>
              <border>
                <left/>
                <right/>
                <top/>
                <bottom/>
                <vertical/>
                <horizontal/>
              </border>
            </x14:dxf>
          </x14:cfRule>
          <xm:sqref>F9:G10</xm:sqref>
        </x14:conditionalFormatting>
        <x14:conditionalFormatting xmlns:xm="http://schemas.microsoft.com/office/excel/2006/main">
          <x14:cfRule type="expression" priority="2" id="{71BA5DE1-9069-4BEC-B1BC-34377AC1D85F}">
            <xm:f>AND(Calculations!$G$10=TRUE,ISBLANK(C24))</xm:f>
            <x14:dxf>
              <font>
                <color rgb="FFFF0000"/>
              </font>
            </x14:dxf>
          </x14:cfRule>
          <xm:sqref>C23 D23</xm:sqref>
        </x14:conditionalFormatting>
        <x14:conditionalFormatting xmlns:xm="http://schemas.microsoft.com/office/excel/2006/main">
          <x14:cfRule type="expression" priority="1" id="{418C250D-87E8-4A0F-95E6-0722CC06B31A}">
            <xm:f>AND(Calculations!$G$24=TRUE,ISBLANK(G24))</xm:f>
            <x14:dxf>
              <font>
                <color rgb="FFFF0000"/>
              </font>
            </x14:dxf>
          </x14:cfRule>
          <xm:sqref>G23 H23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B2068-4B81-4A64-BF28-AA9343DCFFF8}">
  <sheetPr codeName="Sheet3"/>
  <dimension ref="B2:I61"/>
  <sheetViews>
    <sheetView showGridLines="0" workbookViewId="0">
      <selection activeCell="G24" sqref="G24"/>
    </sheetView>
  </sheetViews>
  <sheetFormatPr defaultRowHeight="15" x14ac:dyDescent="0.25"/>
  <cols>
    <col min="1" max="1" width="3.140625" customWidth="1"/>
    <col min="2" max="2" width="18.140625" customWidth="1"/>
    <col min="3" max="3" width="23.42578125" customWidth="1"/>
    <col min="4" max="4" width="17.85546875" bestFit="1" customWidth="1"/>
    <col min="5" max="5" width="17.85546875" customWidth="1"/>
    <col min="6" max="6" width="10.7109375" customWidth="1"/>
    <col min="7" max="7" width="42.42578125" bestFit="1" customWidth="1"/>
    <col min="8" max="8" width="51.85546875" customWidth="1"/>
    <col min="9" max="9" width="50.85546875" customWidth="1"/>
  </cols>
  <sheetData>
    <row r="2" spans="2:9" ht="15.75" thickBot="1" x14ac:dyDescent="0.3">
      <c r="C2" s="23" t="s">
        <v>215</v>
      </c>
      <c r="D2" t="s">
        <v>13</v>
      </c>
      <c r="E2" s="97" t="s">
        <v>128</v>
      </c>
      <c r="F2" t="s">
        <v>14</v>
      </c>
      <c r="G2" s="164" t="s">
        <v>15</v>
      </c>
      <c r="H2" t="s">
        <v>17</v>
      </c>
      <c r="I2" t="s">
        <v>18</v>
      </c>
    </row>
    <row r="3" spans="2:9" x14ac:dyDescent="0.25">
      <c r="C3" s="24" t="s">
        <v>7</v>
      </c>
      <c r="D3" s="27" t="b">
        <f>IF(In_ObligorName="",FALSE,TRUE)</f>
        <v>0</v>
      </c>
      <c r="E3" s="122" t="b">
        <v>1</v>
      </c>
      <c r="F3" s="122" t="b">
        <v>1</v>
      </c>
      <c r="G3" s="122" t="b">
        <v>1</v>
      </c>
      <c r="H3" s="27" t="str">
        <f>IF(D3,"","Please provide the "&amp;C2&amp;" Name on SME Wizard sheet.")</f>
        <v>Please provide the Bank Customer Name on SME Wizard sheet.</v>
      </c>
      <c r="I3" s="28" t="str">
        <f>H3</f>
        <v>Please provide the Bank Customer Name on SME Wizard sheet.</v>
      </c>
    </row>
    <row r="4" spans="2:9" x14ac:dyDescent="0.25">
      <c r="C4" s="25" t="s">
        <v>12</v>
      </c>
      <c r="D4" s="29" t="b">
        <f>IF(In_ObligorSub="",FALSE,TRUE)</f>
        <v>0</v>
      </c>
      <c r="E4" s="29" t="b">
        <f>IF(D4,OR(In_ObligorSub="Yes",In_ObligorSub="No"),TRUE)</f>
        <v>1</v>
      </c>
      <c r="F4" s="121" t="b">
        <v>1</v>
      </c>
      <c r="G4" s="121" t="b">
        <v>1</v>
      </c>
      <c r="H4" s="29" t="str">
        <f>IF(D4,IF(E4,"","Invalid input for subsidiary status- please answer Yes or No"),"Please provide the "&amp;C2&amp;" subsidiary status.")</f>
        <v>Please provide the Bank Customer subsidiary status.</v>
      </c>
      <c r="I4" s="30" t="str">
        <f>I3&amp;IF(H4="","",IF(I3="",H4,CHAR(10)&amp;H4))</f>
        <v>Please provide the Bank Customer Name on SME Wizard sheet.
Please provide the Bank Customer subsidiary status.</v>
      </c>
    </row>
    <row r="5" spans="2:9" x14ac:dyDescent="0.25">
      <c r="C5" s="25" t="s">
        <v>11</v>
      </c>
      <c r="D5" s="29" t="b">
        <f>IF(In_ObligorSME="",FALSE,TRUE)</f>
        <v>0</v>
      </c>
      <c r="E5" s="29" t="b">
        <f>IF(D5,OR(In_ObligorSME="Yes",In_ObligorSME="No"),TRUE)</f>
        <v>1</v>
      </c>
      <c r="F5" s="29" t="b">
        <f>In_ObligorSME="Yes"</f>
        <v>0</v>
      </c>
      <c r="G5" s="121" t="b">
        <v>1</v>
      </c>
      <c r="H5" s="29" t="str">
        <f>IF(D5,IF(E5,"","Invalid input for SME status- please answer Yes or No"),"Please provide the "&amp;C2&amp;" SME status.")</f>
        <v>Please provide the Bank Customer SME status.</v>
      </c>
      <c r="I5" s="30" t="str">
        <f t="shared" ref="I5:I14" si="0">I4&amp;IF(H5="","",IF(I4="",H5,CHAR(10)&amp;H5))</f>
        <v>Please provide the Bank Customer Name on SME Wizard sheet.
Please provide the Bank Customer subsidiary status.
Please provide the Bank Customer SME status.</v>
      </c>
    </row>
    <row r="6" spans="2:9" x14ac:dyDescent="0.25">
      <c r="C6" s="25" t="s">
        <v>8</v>
      </c>
      <c r="D6" s="29" t="b">
        <f>IF(In_3YrInc="",FALSE,TRUE)</f>
        <v>0</v>
      </c>
      <c r="E6" s="29" t="b">
        <f>IF(D6,OR(In_3YrInc="Yes",In_3YrInc="No"),TRUE)</f>
        <v>1</v>
      </c>
      <c r="F6" s="29" t="b">
        <f>In_3YrInc="No"</f>
        <v>0</v>
      </c>
      <c r="G6" s="29" t="b">
        <f>IF(F5,IF(COUNTIF(D3:E5,TRUE)=6,TRUE,FALSE),FALSE)</f>
        <v>0</v>
      </c>
      <c r="H6" s="29" t="str">
        <f>IF(G6,IF(D6,IF(E6,IF(F6,IF(F5,C6&amp;" passed. "&amp;C2&amp;" is an Eligible Person.",C6&amp;" passed."&amp;IF(D14,""," Please now complete non-SME tests.")),""),"Invalid answer to "&amp;C6),"Please complete "&amp;C6&amp;"."),"")</f>
        <v/>
      </c>
      <c r="I6" s="30" t="str">
        <f t="shared" si="0"/>
        <v>Please provide the Bank Customer Name on SME Wizard sheet.
Please provide the Bank Customer subsidiary status.
Please provide the Bank Customer SME status.</v>
      </c>
    </row>
    <row r="7" spans="2:9" x14ac:dyDescent="0.25">
      <c r="C7" s="25" t="s">
        <v>9</v>
      </c>
      <c r="D7" s="29" t="b">
        <f>IF(In_LossResNeg="",FALSE,TRUE)</f>
        <v>0</v>
      </c>
      <c r="E7" s="29" t="b">
        <f>IF(D7,OR(In_LossResNeg="Yes",In_LossResNeg="No"),TRUE)</f>
        <v>1</v>
      </c>
      <c r="F7" s="29" t="b">
        <f>In_LossResNeg="No"</f>
        <v>0</v>
      </c>
      <c r="G7" s="29" t="b">
        <f>IF(D3,IF(AND(D5,E5,F5),IF(F6,FALSE,IF(AND(D6,E6,G6),TRUE,FALSE)),IF(AND(F5=FALSE,D4,D5),TRUE,FALSE)),FALSE)</f>
        <v>0</v>
      </c>
      <c r="H7" s="29" t="str">
        <f>IF(G7,IF(D7,IF(E7,IF(F7, IF(F5,C7&amp;" passed. "&amp;C2&amp;" is an Eligible Person.",C7&amp;" passed."&amp;IF(D14,""," Please now complete non-SME tests.")),""),"Invalid answer to "&amp;C7),"Please complete "&amp;C7&amp;"."),"")</f>
        <v/>
      </c>
      <c r="I7" s="30" t="str">
        <f t="shared" si="0"/>
        <v>Please provide the Bank Customer Name on SME Wizard sheet.
Please provide the Bank Customer subsidiary status.
Please provide the Bank Customer SME status.</v>
      </c>
    </row>
    <row r="8" spans="2:9" x14ac:dyDescent="0.25">
      <c r="C8" s="25" t="s">
        <v>10</v>
      </c>
      <c r="D8" s="29" t="b">
        <f>IF(OR(In_Capital="",In_Profit=""),FALSE,TRUE)</f>
        <v>0</v>
      </c>
      <c r="E8" s="29" t="b">
        <f>IF(D8,AND(ISNUMBER(In_Capital),ISNUMBER(In_Profit),In_Profit&gt;=0),TRUE)</f>
        <v>1</v>
      </c>
      <c r="F8" s="29" t="b">
        <f>IF(AND(E8,G8),IF(D8,IF(OR(Calc_FundsRatio&lt;-50%,Calc_FundsRatio="Share capital negative",Calc_FundsRatio="Share capital zero"),FALSE,TRUE),FALSE),FALSE)</f>
        <v>0</v>
      </c>
      <c r="G8" s="29" t="b">
        <f>IF(F7,FALSE,IF(AND(D7,E7,G7),TRUE,FALSE))</f>
        <v>0</v>
      </c>
      <c r="H8" s="29" t="str">
        <f>IF(G8,IF(D8,IF(E8,IF(AND(F8,F5),C8&amp;" passed. "&amp;C2&amp;" is an Eligible Person.",IF(G9,C8&amp;" passed."&amp;IF(D14,""," Please complete non-SME tests."),"Q3 failed. "&amp;C2&amp;" is not an Eligible Person.")),"Invalid input for "&amp;C8&amp;"."),"Please complete "&amp;C8&amp;"."),"")</f>
        <v/>
      </c>
      <c r="I8" s="30" t="str">
        <f t="shared" si="0"/>
        <v>Please provide the Bank Customer Name on SME Wizard sheet.
Please provide the Bank Customer subsidiary status.
Please provide the Bank Customer SME status.</v>
      </c>
    </row>
    <row r="9" spans="2:9" x14ac:dyDescent="0.25">
      <c r="B9" s="23" t="s">
        <v>16</v>
      </c>
      <c r="C9" s="25" t="s">
        <v>106</v>
      </c>
      <c r="D9" s="29" t="b">
        <f>IF(OR(In_Date1="",In_Date2=""),FALSE,TRUE)</f>
        <v>0</v>
      </c>
      <c r="E9" s="29" t="b">
        <f>IF(D9,AND(ISNUMBER(In_Date1),ISNUMBER(In_Date2)),TRUE)</f>
        <v>1</v>
      </c>
      <c r="F9" s="29" t="b">
        <f>AND(D9,E9)</f>
        <v>0</v>
      </c>
      <c r="G9" s="29" t="b">
        <f>IF(AND(D3,D4,D5),IF(F5,IF(F8,FALSE,IF(AND(D8,E8,G8),IF(Calc_FundsRatio&lt;=-50%,FALSE,IF(In_ObligorSME="No",TRUE,FALSE)),FALSE)),IF(OR(F7,F8),TRUE,FALSE)),FALSE)</f>
        <v>0</v>
      </c>
      <c r="H9" s="29" t="str">
        <f>IF(G9,IF(D9,IF(E9,"","Invalid "&amp;C9&amp;" inputs. Please provide numeric values."),"Please complete "&amp;C9&amp;" fields."),"")</f>
        <v/>
      </c>
      <c r="I9" s="30" t="str">
        <f t="shared" si="0"/>
        <v>Please provide the Bank Customer Name on SME Wizard sheet.
Please provide the Bank Customer subsidiary status.
Please provide the Bank Customer SME status.</v>
      </c>
    </row>
    <row r="10" spans="2:9" x14ac:dyDescent="0.25">
      <c r="C10" s="25" t="s">
        <v>2</v>
      </c>
      <c r="D10" s="29" t="b">
        <f>IF(OR(In_EBITDA1="",In_EBITDA2=""),FALSE,TRUE)</f>
        <v>0</v>
      </c>
      <c r="E10" s="29" t="b">
        <f>IF(D10,AND(ISNUMBER(In_EBITDA1),ISNUMBER(In_EBITDA2)),TRUE)</f>
        <v>1</v>
      </c>
      <c r="F10" s="29" t="b">
        <f>IF(AND(D11,D10,E11,E10),IF(OR(AND(In_EBITDA1&gt;0,In_Interest1&gt;=0),AND(ISNUMBER(Calc_EBITDARatio1),Calc_EBITDARatio1&gt;=1),AND(In_EBITDA2&gt;0,In_Interest2&gt;=0),AND(ISNUMBER(Calc_EBITDARatio2),Calc_EBITDARatio2&gt;=1)),TRUE,FALSE),FALSE)</f>
        <v>0</v>
      </c>
      <c r="G10" s="29" t="b">
        <f>G9</f>
        <v>0</v>
      </c>
      <c r="H10" s="29" t="str">
        <f>IF(G10,IF(D10,IF(E10,"","Invalid "&amp;C10&amp;" inputs. Please provide numeric values."),"Please complete "&amp;C10&amp;" fields."),"")</f>
        <v/>
      </c>
      <c r="I10" s="30" t="str">
        <f t="shared" si="0"/>
        <v>Please provide the Bank Customer Name on SME Wizard sheet.
Please provide the Bank Customer subsidiary status.
Please provide the Bank Customer SME status.</v>
      </c>
    </row>
    <row r="11" spans="2:9" x14ac:dyDescent="0.25">
      <c r="C11" s="25" t="s">
        <v>418</v>
      </c>
      <c r="D11" s="29" t="b">
        <f>IF(OR(In_Interest1="",In_Interest2=""),FALSE,TRUE)</f>
        <v>0</v>
      </c>
      <c r="E11" s="29" t="b">
        <f>IF(D11,AND(ISNUMBER(In_Interest1),ISNUMBER(In_Interest2)),TRUE)</f>
        <v>1</v>
      </c>
      <c r="F11" s="29" t="b">
        <f>IF(AND(D11,D10,E11,E10),IF(OR(AND(In_EBITDA1&gt;0,In_Interest1&gt;=0),AND(ISNUMBER(Calc_EBITDARatio1),Calc_EBITDARatio1&gt;=1),AND(In_EBITDA2&gt;0,In_Interest2&gt;=0),AND(ISNUMBER(Calc_EBITDARatio2),Calc_EBITDARatio2&gt;=1)),TRUE,FALSE),FALSE)</f>
        <v>0</v>
      </c>
      <c r="G11" s="29" t="b">
        <f>G10</f>
        <v>0</v>
      </c>
      <c r="H11" s="29" t="str">
        <f>IF(G11,IF(D11,IF(E11,"","Invalid "&amp;C11&amp;" inputs. Please provide numeric values."),"Please complete "&amp;C11&amp;" fields."),"")</f>
        <v/>
      </c>
      <c r="I11" s="30" t="str">
        <f t="shared" si="0"/>
        <v>Please provide the Bank Customer Name on SME Wizard sheet.
Please provide the Bank Customer subsidiary status.
Please provide the Bank Customer SME status.</v>
      </c>
    </row>
    <row r="12" spans="2:9" x14ac:dyDescent="0.25">
      <c r="C12" s="25" t="s">
        <v>419</v>
      </c>
      <c r="D12" s="29" t="b">
        <f>IF(OR(In_Debt1="",In_Debt2=""),FALSE,TRUE)</f>
        <v>0</v>
      </c>
      <c r="E12" s="29" t="b">
        <f>IF(D12,AND(ISNUMBER(In_Debt1),ISNUMBER(In_Debt2),In_Debt1&lt;=0,In_Debt2&lt;=0),TRUE)</f>
        <v>1</v>
      </c>
      <c r="F12" s="29" t="b">
        <f>IF(AND(D13,D12),IF(OR(AND(ISNUMBER(Calc_DebtRatio1),OR(AND(Calc_DebtRatio1&lt;=7.5,In_Funds1&lt;&gt;0),AND(In_Debt1=0,In_Funds1=0))),AND(ISNUMBER(Calc_DebtRatio2),OR(AND(Calc_DebtRatio2&lt;=7.5,In_Funds2&lt;&gt;0),AND(In_Debt2=0,In_Funds2=0)))),TRUE,FALSE),FALSE)</f>
        <v>0</v>
      </c>
      <c r="G12" s="29" t="b">
        <f>G11</f>
        <v>0</v>
      </c>
      <c r="H12" s="29" t="str">
        <f>IF(G12,IF(D12,IF(E12,"","Invalid "&amp;C12&amp;" inputs."),"Please complete "&amp;C12&amp;" fields."),"")</f>
        <v/>
      </c>
      <c r="I12" s="30" t="str">
        <f t="shared" si="0"/>
        <v>Please provide the Bank Customer Name on SME Wizard sheet.
Please provide the Bank Customer subsidiary status.
Please provide the Bank Customer SME status.</v>
      </c>
    </row>
    <row r="13" spans="2:9" x14ac:dyDescent="0.25">
      <c r="C13" s="25" t="s">
        <v>420</v>
      </c>
      <c r="D13" s="29" t="b">
        <f>IF(OR(In_Funds1="",In_Funds2=""),FALSE,TRUE)</f>
        <v>0</v>
      </c>
      <c r="E13" s="29" t="b">
        <f>IF(D13,AND(ISNUMBER(In_Funds1),ISNUMBER(In_Funds2)),TRUE)</f>
        <v>1</v>
      </c>
      <c r="F13" s="29" t="b">
        <f>IF(AND(D13,D12),IF(OR(AND(ISNUMBER(Calc_DebtRatio1),OR(AND(Calc_DebtRatio1&lt;=7.5,In_Funds1&lt;&gt;0),AND(In_Debt1=0,In_Funds1=0))),AND(ISNUMBER(Calc_DebtRatio2),OR(AND(Calc_DebtRatio2&lt;=7.5,In_Funds2&lt;&gt;0),AND(In_Debt2=0,In_Funds2=0)))),TRUE,FALSE),FALSE)</f>
        <v>0</v>
      </c>
      <c r="G13" s="29" t="b">
        <f>G12</f>
        <v>0</v>
      </c>
      <c r="H13" s="29" t="str">
        <f>IF(G13,IF(D13,IF(E13,"","Invalid "&amp;C13&amp;" inputs. Please provide numeric values."),"Please complete "&amp;C13&amp;" fields."),"")</f>
        <v/>
      </c>
      <c r="I13" s="30" t="str">
        <f t="shared" si="0"/>
        <v>Please provide the Bank Customer Name on SME Wizard sheet.
Please provide the Bank Customer subsidiary status.
Please provide the Bank Customer SME status.</v>
      </c>
    </row>
    <row r="14" spans="2:9" ht="15.75" thickBot="1" x14ac:dyDescent="0.3">
      <c r="C14" s="26" t="s">
        <v>19</v>
      </c>
      <c r="D14" s="31" t="b">
        <f>IF(COUNTIF(D9:D13,TRUE)=5,TRUE,FALSE)</f>
        <v>0</v>
      </c>
      <c r="E14" s="31" t="b">
        <f>IF(COUNTIF(E3:E13,TRUE)=11,TRUE,FALSE)</f>
        <v>1</v>
      </c>
      <c r="F14" s="31" t="b">
        <f>IF(AND(COUNTIF(D10:E13,TRUE)=8,COUNTIF(F10:F13,TRUE)&gt;0),TRUE,FALSE)</f>
        <v>0</v>
      </c>
      <c r="G14" s="31" t="b">
        <f>G13</f>
        <v>0</v>
      </c>
      <c r="H14" s="31" t="str">
        <f>IF(G14,IF(D14,IF(E14,IF(F14,C14&amp;" passed. "&amp;C2&amp;" is an Eligible Person.",C14&amp;" failed. Obligor is not an Eligible Person."),""),""),"")</f>
        <v/>
      </c>
      <c r="I14" s="32" t="str">
        <f t="shared" si="0"/>
        <v>Please provide the Bank Customer Name on SME Wizard sheet.
Please provide the Bank Customer subsidiary status.
Please provide the Bank Customer SME status.</v>
      </c>
    </row>
    <row r="15" spans="2:9" ht="15.75" thickBot="1" x14ac:dyDescent="0.3">
      <c r="I15" s="33" t="str">
        <f>IF(AND(PassFail="Incomplete",PassFail_Parent="Fail"),"Bank Customer: "&amp;CHAR(10)&amp;"Parent Obligor Failed. No more answers required.",IF(AND(In_ObligorSub="Yes",D3,E5,E3),"Bank Customer: "&amp;CHAR(10),"")&amp;I14&amp;IF(H15="","",IF(I14="",H15,CHAR(10)&amp;H15)))</f>
        <v>Please provide the Bank Customer Name on SME Wizard sheet.
Please provide the Bank Customer subsidiary status.
Please provide the Bank Customer SME status.</v>
      </c>
    </row>
    <row r="18" spans="2:9" ht="15.75" thickBot="1" x14ac:dyDescent="0.3">
      <c r="C18" s="23" t="s">
        <v>214</v>
      </c>
      <c r="D18" t="s">
        <v>13</v>
      </c>
      <c r="E18" s="97" t="s">
        <v>128</v>
      </c>
      <c r="F18" t="s">
        <v>14</v>
      </c>
      <c r="G18" t="s">
        <v>15</v>
      </c>
      <c r="H18" t="s">
        <v>17</v>
      </c>
      <c r="I18" t="s">
        <v>18</v>
      </c>
    </row>
    <row r="19" spans="2:9" x14ac:dyDescent="0.25">
      <c r="C19" s="24" t="s">
        <v>165</v>
      </c>
      <c r="D19" s="27" t="b">
        <f>IF(In_ObligorSME_Parent="",FALSE,TRUE)</f>
        <v>0</v>
      </c>
      <c r="E19" s="27" t="b">
        <f>IF(In_ObligorSub="No",D5,IF(D19,OR(In_ObligorSME_Parent="Yes",In_ObligorSME_Parent="No"),TRUE))</f>
        <v>1</v>
      </c>
      <c r="F19" s="27" t="b">
        <f>In_ObligorSME_Parent="Yes"</f>
        <v>0</v>
      </c>
      <c r="G19" s="27" t="b">
        <f>IF(In_ObligorSub="Yes",TRUE,FALSE)</f>
        <v>0</v>
      </c>
      <c r="H19" s="27" t="str">
        <f>IF(G19,IF(D19,IF(E19,"","Invalid "&amp;C19&amp;" input. Please try again."),"Please provide "&amp;C18&amp;" SME status."),"")</f>
        <v/>
      </c>
      <c r="I19" s="28" t="str">
        <f>H19</f>
        <v/>
      </c>
    </row>
    <row r="20" spans="2:9" x14ac:dyDescent="0.25">
      <c r="C20" s="25" t="s">
        <v>8</v>
      </c>
      <c r="D20" s="29" t="b">
        <f>IF(In_3YrInc_Parent="",FALSE,TRUE)</f>
        <v>0</v>
      </c>
      <c r="E20" s="29" t="b">
        <f>IF(D20,OR(In_3YrInc_Parent="Yes",In_3YrInc_Parent="No"),TRUE)</f>
        <v>1</v>
      </c>
      <c r="F20" s="29" t="b">
        <f>In_3YrInc_Parent="No"</f>
        <v>0</v>
      </c>
      <c r="G20" s="29" t="b">
        <f>IF(AND(In_ObligorSub="Yes",F19),IF(AND(D3,D19,E19,G19),TRUE,FALSE))</f>
        <v>0</v>
      </c>
      <c r="H20" s="29" t="str">
        <f>IF(G20,IF(D20,IF(E20,IF(F20,IF(F19,C20&amp;" passed. "&amp;C18&amp;" is an Eligible Person.",C20&amp;" passed."&amp;IF(D27,""," Please now complete non-SME tests.")),""),"Invalid answer to "&amp;C20),"Please complete "&amp;C20&amp;"."),"")</f>
        <v/>
      </c>
      <c r="I20" s="30" t="str">
        <f t="shared" ref="I20:I28" si="1">I19&amp;IF(H20="","",IF(I19="",H20,CHAR(10)&amp;H20))</f>
        <v/>
      </c>
    </row>
    <row r="21" spans="2:9" x14ac:dyDescent="0.25">
      <c r="C21" s="25" t="s">
        <v>9</v>
      </c>
      <c r="D21" s="29" t="b">
        <f>IF(In_LossResNeg_Parent="",FALSE,TRUE)</f>
        <v>0</v>
      </c>
      <c r="E21" s="29" t="b">
        <f>IF(D21,OR(In_LossResNeg_Parent="Yes",In_LossResNeg_Parent="No"),TRUE)</f>
        <v>1</v>
      </c>
      <c r="F21" s="29" t="b">
        <f>In_LossResNeg_Parent="No"</f>
        <v>0</v>
      </c>
      <c r="G21" s="29" t="b">
        <f>IF(In_ObligorSub="Yes",IF(D3,IF(AND(D19,E19,F19),IF(F20,FALSE,IF(AND(D20,E20,G20),TRUE,FALSE)),IF(AND(F19=FALSE,D4,D19),TRUE,FALSE)),FALSE),FALSE)</f>
        <v>0</v>
      </c>
      <c r="H21" s="29" t="str">
        <f>IF(G21,IF(D21,IF(E21,IF(F21,IF(F19,C21&amp;" passed. "&amp;C18&amp;" is an Eligible Person.",C21&amp;" passed."&amp;IF(D28,""," Please now complete non-SME tests.")),""),"Invalid answer to "&amp;C21),"Please complete "&amp;C21&amp;"."),"")</f>
        <v/>
      </c>
      <c r="I21" s="30" t="str">
        <f t="shared" si="1"/>
        <v/>
      </c>
    </row>
    <row r="22" spans="2:9" x14ac:dyDescent="0.25">
      <c r="C22" s="25" t="s">
        <v>10</v>
      </c>
      <c r="D22" s="29" t="b">
        <f>IF(OR(In_Capital_Parent="",In_Profit_Parent=""),FALSE,TRUE)</f>
        <v>0</v>
      </c>
      <c r="E22" s="29" t="b">
        <f>IF(D22,AND(ISNUMBER(In_Capital_Parent),ISNUMBER(In_Profit_Parent),In_Profit_Parent&gt;=0),TRUE)</f>
        <v>1</v>
      </c>
      <c r="F22" s="29" t="b">
        <f>IF(AND(E22,G22),IF(D22,IF(OR(Calc_FundsRatio_Parent&lt;-50%,Calc_FundsRatio_Parent="Share capital negative",Calc_FundsRatio_Parent="Share capital zero"),FALSE,TRUE),FALSE),FALSE)</f>
        <v>0</v>
      </c>
      <c r="G22" s="29" t="b">
        <f>IF(In_ObligorSub="Yes",IF(F21,FALSE,IF(AND(D21,E21,G21),TRUE,FALSE)),FALSE)</f>
        <v>0</v>
      </c>
      <c r="H22" s="29" t="str">
        <f>IF(G22,IF(D22,IF(E22,IF(AND(F22,F19),C22&amp;" passed. "&amp;C18&amp;" is an Eligible Person.",IF(G23,C22&amp;" passed."&amp;IF(D28,""," Please complete non-SME tests."),"Q3 failed. "&amp;C18&amp;" is not an Eligible Person.")),"Invalid input for "&amp;C22&amp;"."),"Please complete "&amp;C22&amp;"."),"")</f>
        <v/>
      </c>
      <c r="I22" s="30" t="str">
        <f t="shared" si="1"/>
        <v/>
      </c>
    </row>
    <row r="23" spans="2:9" x14ac:dyDescent="0.25">
      <c r="B23" s="23" t="s">
        <v>16</v>
      </c>
      <c r="C23" s="25" t="s">
        <v>106</v>
      </c>
      <c r="D23" s="29" t="b">
        <f>IF(OR(In_Date1_Parent="",In_Date2_Parent=""),FALSE,TRUE)</f>
        <v>0</v>
      </c>
      <c r="E23" s="29" t="b">
        <f>IF(D23,AND(ISNUMBER(In_Date1_Parent),ISNUMBER(In_Date2_Parent)),TRUE)</f>
        <v>1</v>
      </c>
      <c r="F23" s="29" t="b">
        <f>AND(D23,E23)</f>
        <v>0</v>
      </c>
      <c r="G23" s="29" t="b">
        <f>IF(AND(D3,D4,D19,In_ObligorSub="Yes"),IF(F19,IF(F22,FALSE,IF(AND(D22,E22,G22),IF(Calc_FundsRatio_Parent&lt;=-50%,FALSE,IF(In_ObligorSME_Parent="No",TRUE,FALSE)),FALSE)),IF(OR(F21,F22),TRUE,FALSE)),FALSE)</f>
        <v>0</v>
      </c>
      <c r="H23" s="29" t="str">
        <f>IF(G23,IF(D23,IF(E23,"","Invalid "&amp;C23&amp;" inputs. Please provide numeric values."),"Please complete "&amp;C23&amp;" fields."),"")</f>
        <v/>
      </c>
      <c r="I23" s="30" t="str">
        <f t="shared" si="1"/>
        <v/>
      </c>
    </row>
    <row r="24" spans="2:9" x14ac:dyDescent="0.25">
      <c r="C24" s="25" t="s">
        <v>2</v>
      </c>
      <c r="D24" s="29" t="b">
        <f>IF(OR(In_EBITDA1_Parent="",In_EBITDA2_Parent=""),FALSE,TRUE)</f>
        <v>0</v>
      </c>
      <c r="E24" s="29" t="b">
        <f>IF(D24,AND(ISNUMBER(In_EBITDA1_Parent),ISNUMBER(In_EBITDA2_Parent)),TRUE)</f>
        <v>1</v>
      </c>
      <c r="F24" s="29" t="b">
        <f>IF(AND(D25,D24,E25,E24),IF(OR(AND(In_EBITDA1_Parent&gt;0,In_Interest1_Parent&gt;=0),AND(ISNUMBER(Calc_EBITDARatio1_Parent),Calc_EBITDARatio1_Parent&gt;=1),AND(In_EBITDA2_Parent&gt;0,In_Interest2_Parent&gt;=0),AND(ISNUMBER(Calc_EBITDARatio2_Parent),Calc_EBITDARatio2_Parent&gt;=1)),TRUE,FALSE),FALSE)</f>
        <v>0</v>
      </c>
      <c r="G24" s="29" t="b">
        <f>G23</f>
        <v>0</v>
      </c>
      <c r="H24" s="29" t="str">
        <f>IF(G24,IF(D24,IF(E24,"","Invalid "&amp;C24&amp;" inputs. Please provide numeric values."),"Please complete "&amp;C24&amp;" fields."),"")</f>
        <v/>
      </c>
      <c r="I24" s="30" t="str">
        <f t="shared" si="1"/>
        <v/>
      </c>
    </row>
    <row r="25" spans="2:9" x14ac:dyDescent="0.25">
      <c r="C25" s="25" t="s">
        <v>418</v>
      </c>
      <c r="D25" s="29" t="b">
        <f>IF(OR(In_Interest1_Parent="",In_Interest2_Parent=""),FALSE,TRUE)</f>
        <v>0</v>
      </c>
      <c r="E25" s="29" t="b">
        <f>IF(D25,AND(ISNUMBER(In_Interest1_Parent),ISNUMBER(In_Interest2_Parent)),TRUE)</f>
        <v>1</v>
      </c>
      <c r="F25" s="29" t="b">
        <f>IF(AND(D25,D24,E25,E24),IF(OR(AND(In_EBITDA1_Parent&gt;0,In_Interest1_Parent&gt;=0),AND(ISNUMBER(Calc_EBITDARatio1_Parent),Calc_EBITDARatio1_Parent&gt;=1),AND(In_EBITDA2_Parent&gt;0,In_Interest2_Parent&gt;=0),AND(ISNUMBER(Calc_EBITDARatio2_Parent),Calc_EBITDARatio2_Parent&gt;=1)),TRUE,FALSE),FALSE)</f>
        <v>0</v>
      </c>
      <c r="G25" s="29" t="b">
        <f>G24</f>
        <v>0</v>
      </c>
      <c r="H25" s="29" t="str">
        <f>IF(G25,IF(D25,IF(E25,"","Invalid "&amp;C25&amp;" inputs. Please provide numeric values."),"Please complete "&amp;C25&amp;" fields."),"")</f>
        <v/>
      </c>
      <c r="I25" s="30" t="str">
        <f t="shared" si="1"/>
        <v/>
      </c>
    </row>
    <row r="26" spans="2:9" x14ac:dyDescent="0.25">
      <c r="C26" s="25" t="s">
        <v>419</v>
      </c>
      <c r="D26" s="29" t="b">
        <f>IF(OR(In_Debt1_Parent="",In_Debt2_Parent=""),FALSE,TRUE)</f>
        <v>0</v>
      </c>
      <c r="E26" s="29" t="b">
        <f>IF(D26,AND(ISNUMBER(In_Debt1_Parent),ISNUMBER(In_Debt2_Parent),In_Debt1_Parent&lt;=0,In_Debt2_Parent&lt;=0),TRUE)</f>
        <v>1</v>
      </c>
      <c r="F26" s="29" t="b">
        <f>IF(AND(D27,D26),IF(OR(AND(ISNUMBER(Calc_DebtRatio1_Parent),OR(AND(Calc_DebtRatio1_Parent&lt;=7.5,In_Funds1_Parent&lt;&gt;0),AND(In_Funds1_Parent=0,In_Debt1_Parent=0))),AND(ISNUMBER(Calc_DebtRatio2_Parent),OR(AND(Calc_DebtRatio2_Parent&lt;=7.5,In_Funds2_Parent&lt;&gt;0),AND(In_Funds2_Parent=0,In_Debt2_Parent=0)))),TRUE,FALSE),FALSE)</f>
        <v>0</v>
      </c>
      <c r="G26" s="29" t="b">
        <f>G25</f>
        <v>0</v>
      </c>
      <c r="H26" s="29" t="str">
        <f>IF(G26,IF(D26,IF(E26,"","Invalid "&amp;C26&amp;" inputs."),"Please complete "&amp;C26&amp;" fields."),"")</f>
        <v/>
      </c>
      <c r="I26" s="30" t="str">
        <f t="shared" si="1"/>
        <v/>
      </c>
    </row>
    <row r="27" spans="2:9" x14ac:dyDescent="0.25">
      <c r="C27" s="25" t="s">
        <v>420</v>
      </c>
      <c r="D27" s="29" t="b">
        <f>IF(OR(In_Funds1_Parent="",In_Funds2_Parent=""),FALSE,TRUE)</f>
        <v>0</v>
      </c>
      <c r="E27" s="29" t="b">
        <f>IF(D27,AND(ISNUMBER(In_Funds1_Parent),ISNUMBER(In_Funds2_Parent)),TRUE)</f>
        <v>1</v>
      </c>
      <c r="F27" s="29" t="b">
        <f>IF(AND(D27,D26),IF(OR(AND(ISNUMBER(Calc_DebtRatio1_Parent),OR(AND(Calc_DebtRatio1_Parent&lt;=7.5,In_Funds1_Parent&lt;&gt;0),AND(In_Funds1_Parent=0,In_Debt1_Parent=0))),AND(ISNUMBER(Calc_DebtRatio2_Parent),OR(AND(Calc_DebtRatio2_Parent&lt;=7.5,In_Funds2_Parent&lt;&gt;0),AND(In_Funds2_Parent=0,In_Debt2_Parent=0)))),TRUE,FALSE),FALSE)</f>
        <v>0</v>
      </c>
      <c r="G27" s="29" t="b">
        <f>G26</f>
        <v>0</v>
      </c>
      <c r="H27" s="29" t="str">
        <f>IF(G27,IF(D27,IF(E27,"","Invalid "&amp;C27&amp;" inputs. Please provide numeric values."),"Please complete "&amp;C27&amp;" fields."),"")</f>
        <v/>
      </c>
      <c r="I27" s="30" t="str">
        <f t="shared" si="1"/>
        <v/>
      </c>
    </row>
    <row r="28" spans="2:9" ht="15.75" thickBot="1" x14ac:dyDescent="0.3">
      <c r="C28" s="26" t="s">
        <v>19</v>
      </c>
      <c r="D28" s="31" t="b">
        <f>IF(COUNTIF(D23:D27,TRUE)=5,TRUE,FALSE)</f>
        <v>0</v>
      </c>
      <c r="E28" s="31" t="b">
        <f>IF(COUNTIF(E20:E27,TRUE)+COUNTIF(E3:E5,TRUE)=11,TRUE,FALSE)</f>
        <v>1</v>
      </c>
      <c r="F28" s="31" t="b">
        <f>IF(AND(COUNTIF(D24:E27,TRUE)=8,COUNTIF(F24:F27,TRUE)&gt;0),TRUE,FALSE)</f>
        <v>0</v>
      </c>
      <c r="G28" s="31" t="b">
        <f>G27</f>
        <v>0</v>
      </c>
      <c r="H28" s="31" t="str">
        <f>IF(G28,IF(D28,IF(E28,IF(F28,C28&amp;" passed. "&amp;C18&amp;" is an Eligible Person.",C28&amp;" failed. "&amp;C18&amp;" is not an Eligible Person."),""),""),"")</f>
        <v/>
      </c>
      <c r="I28" s="32" t="str">
        <f t="shared" si="1"/>
        <v/>
      </c>
    </row>
    <row r="29" spans="2:9" ht="15.75" thickBot="1" x14ac:dyDescent="0.3">
      <c r="I29" s="112" t="str">
        <f>IF(COUNTIF(E3:E5,FALSE)&gt;0,"",IF(AND(PassFail="Fail",PassFail_Parent="Incomplete"),"Parent Obligor: "&amp;CHAR(10)&amp;"Bank Customer Failed. No more answers required.",IF(AND(In_ObligorSub="Yes",D3),"Parent Obligor: "&amp;CHAR(10),"")&amp;I28&amp;IF(H29="","",IF(I28="",H29,CHAR(10)&amp;H29))))</f>
        <v/>
      </c>
    </row>
    <row r="32" spans="2:9" ht="15.75" thickBot="1" x14ac:dyDescent="0.3">
      <c r="C32" s="23" t="s">
        <v>20</v>
      </c>
      <c r="D32" s="23" t="s">
        <v>21</v>
      </c>
      <c r="E32" s="23"/>
      <c r="F32" s="98"/>
      <c r="H32" s="98"/>
      <c r="I32" s="98"/>
    </row>
    <row r="33" spans="2:8" x14ac:dyDescent="0.25">
      <c r="C33" s="24" t="str">
        <f>C2</f>
        <v>Bank Customer</v>
      </c>
      <c r="D33" s="28" t="str">
        <f>IF(COUNTIF(E3:E13,FALSE)&gt;0,"Incomplete",IF(NOT(AND(D3,D4,D5)),"Incomplete",IF(OR(AND(F6,G6),AND(F7,G7),AND(F8,G8)),IF(F5,"Pass",IF(AND(D14,G14),IF(F14,"Pass","Fail"),"Incomplete")),IF(AND(D8,G8),"Fail","Incomplete"))))</f>
        <v>Incomplete</v>
      </c>
      <c r="E33" s="1"/>
    </row>
    <row r="34" spans="2:8" ht="15.75" thickBot="1" x14ac:dyDescent="0.3">
      <c r="C34" s="26" t="str">
        <f>C18</f>
        <v>Parent Obligor</v>
      </c>
      <c r="D34" s="32" t="str">
        <f>IF(COUNTIF(E20:E28,FALSE)&gt;0,"Incomplete",IF(NOT(AND(D3,D4,D5)),"Incomplete",IF(OR(AND(F20,G20),AND(F21,G21),AND(F22,G22)),IF(F19,"Pass",IF(AND(D28,G28),IF(F28,"Pass","Fail"),"Incomplete")),IF(AND(D22,G22),"Fail","Incomplete"))))</f>
        <v>Incomplete</v>
      </c>
      <c r="E34" s="1"/>
    </row>
    <row r="35" spans="2:8" ht="15.75" thickBot="1" x14ac:dyDescent="0.3">
      <c r="C35" s="61" t="s">
        <v>22</v>
      </c>
      <c r="D35" s="149" t="str">
        <f>IF(In_ObligorSub="No",PassFail,IF(AND(PassFail_Parent="Pass",PassFail="Pass"),"Pass",IF(OR(PassFail_Parent="Fail",PassFail="Fail"),"Fail","Incomplete")))</f>
        <v>Incomplete</v>
      </c>
      <c r="E35" s="1"/>
    </row>
    <row r="38" spans="2:8" ht="15.75" thickBot="1" x14ac:dyDescent="0.3">
      <c r="C38" s="23" t="s">
        <v>158</v>
      </c>
      <c r="D38" s="23" t="s">
        <v>160</v>
      </c>
      <c r="E38" s="23" t="s">
        <v>128</v>
      </c>
      <c r="F38" s="23" t="s">
        <v>161</v>
      </c>
      <c r="G38" s="23" t="s">
        <v>17</v>
      </c>
      <c r="H38" s="23" t="s">
        <v>18</v>
      </c>
    </row>
    <row r="39" spans="2:8" x14ac:dyDescent="0.25">
      <c r="B39" s="23" t="s">
        <v>214</v>
      </c>
      <c r="C39" s="106" t="s">
        <v>236</v>
      </c>
      <c r="D39" s="27" t="b">
        <f>IF('SME Wizard'!L4="",FALSE,TRUE)</f>
        <v>0</v>
      </c>
      <c r="E39" s="146" t="b">
        <v>1</v>
      </c>
      <c r="F39" s="146" t="b">
        <v>1</v>
      </c>
      <c r="G39" s="27" t="str">
        <f>IF(D39,IF(E39,IF(F39,"","Applicant is not an SME per EU Guidelines."),C39&amp;" input invalid. Please try again."),"Please provide "&amp;C39&amp;" input.")</f>
        <v>Please provide Parent Obligor Name input.</v>
      </c>
      <c r="H39" s="28" t="str">
        <f>G39</f>
        <v>Please provide Parent Obligor Name input.</v>
      </c>
    </row>
    <row r="40" spans="2:8" x14ac:dyDescent="0.25">
      <c r="C40" s="107" t="s">
        <v>162</v>
      </c>
      <c r="D40" s="29" t="b">
        <f>IF(In_SMECurrency_Parent="",FALSE,TRUE)</f>
        <v>0</v>
      </c>
      <c r="E40" s="29" t="b">
        <f>IF(D40,IF(COUNTIF(Lkp_Currency,In_SMECurrency_Parent)&gt;0,TRUE,FALSE),TRUE)</f>
        <v>1</v>
      </c>
      <c r="F40" s="121" t="b">
        <v>1</v>
      </c>
      <c r="G40" s="29" t="str">
        <f>IF(D40,IF(E40,IF(F40,"","Applicant is not an SME per EU Guidelines."),C40&amp;" input invalid. Please try again."),"Please provide "&amp;C40&amp;" input.")</f>
        <v>Please provide Currency input.</v>
      </c>
      <c r="H40" s="30" t="str">
        <f t="shared" ref="H40:H46" si="2">H39&amp;IF(G40="","",IF(H39="",G40,CHAR(10)&amp;G40))</f>
        <v>Please provide Parent Obligor Name input.
Please provide Currency input.</v>
      </c>
    </row>
    <row r="41" spans="2:8" x14ac:dyDescent="0.25">
      <c r="C41" s="107" t="s">
        <v>163</v>
      </c>
      <c r="D41" s="29" t="b">
        <f>IF(In_FXSpot_Parent="",FALSE,TRUE)</f>
        <v>0</v>
      </c>
      <c r="E41" s="29" t="b">
        <f>IF(D41,AND(ISNUMBER(In_FXSpot_Parent),In_FXSpot_Parent&gt;0),TRUE)</f>
        <v>1</v>
      </c>
      <c r="F41" s="121" t="b">
        <v>1</v>
      </c>
      <c r="G41" s="29" t="str">
        <f>IF(D41,IF(E41,IF(F41,"","Applicant is not an SME per EU Guidelines."),C41&amp;" input invalid. Please try again."),"Please provide "&amp;C41&amp;" input.")</f>
        <v>Please provide Spot FX input.</v>
      </c>
      <c r="H41" s="30" t="str">
        <f t="shared" si="2"/>
        <v>Please provide Parent Obligor Name input.
Please provide Currency input.
Please provide Spot FX input.</v>
      </c>
    </row>
    <row r="42" spans="2:8" x14ac:dyDescent="0.25">
      <c r="C42" s="107" t="s">
        <v>106</v>
      </c>
      <c r="D42" s="29" t="b">
        <f>IF(In_FXDate_Parent="",FALSE,TRUE)</f>
        <v>0</v>
      </c>
      <c r="E42" s="29" t="b">
        <f>IF(D42,AND(ISNUMBER(In_FXDate_Parent),In_FXDate_Parent&gt;0),TRUE)</f>
        <v>1</v>
      </c>
      <c r="F42" s="121" t="b">
        <v>1</v>
      </c>
      <c r="G42" s="29" t="str">
        <f>IF(D42,IF(E42,IF(F42,"","Applicant is not an SME per EU Guidelines."),C42&amp;" input invalid. Please try again."),"Please provide "&amp;C42&amp;" input.")</f>
        <v>Please provide Date input.</v>
      </c>
      <c r="H42" s="30" t="str">
        <f t="shared" ref="H42:H43" si="3">H41&amp;IF(G42="","",IF(H41="",G42,CHAR(10)&amp;G42))</f>
        <v>Please provide Parent Obligor Name input.
Please provide Currency input.
Please provide Spot FX input.
Please provide Date input.</v>
      </c>
    </row>
    <row r="43" spans="2:8" x14ac:dyDescent="0.25">
      <c r="C43" s="107" t="s">
        <v>159</v>
      </c>
      <c r="D43" s="29" t="b">
        <f>IF(In_Employees_Parent="",FALSE,TRUE)</f>
        <v>0</v>
      </c>
      <c r="E43" s="29" t="b">
        <f>IF(D43,AND(ISNUMBER(In_Employees_Parent),In_Employees_Parent&gt;0),TRUE)</f>
        <v>1</v>
      </c>
      <c r="F43" s="29" t="b">
        <f>IF(AND(D43,E43),IF(In_Employees_Parent&lt;250,TRUE,FALSE),FALSE)</f>
        <v>0</v>
      </c>
      <c r="G43" s="29" t="str">
        <f>IF(D43,IF(E43,IF(F43,"","Applicant is not an SME per EU Guidelines."),C43&amp;" input invalid. Please try again."),"Please provide "&amp;C43&amp;" input.")</f>
        <v>Please provide Employees input.</v>
      </c>
      <c r="H43" s="30" t="str">
        <f t="shared" si="3"/>
        <v>Please provide Parent Obligor Name input.
Please provide Currency input.
Please provide Spot FX input.
Please provide Date input.
Please provide Employees input.</v>
      </c>
    </row>
    <row r="44" spans="2:8" x14ac:dyDescent="0.25">
      <c r="C44" s="107" t="s">
        <v>151</v>
      </c>
      <c r="D44" s="29" t="b">
        <f>IF(In_Turnover_Parent="",FALSE,TRUE)</f>
        <v>0</v>
      </c>
      <c r="E44" s="29" t="b">
        <f>IF(D44,IF(AND(ISNUMBER(In_Turnover_Parent),In_Turnover_Parent&gt;=0),TRUE,FALSE),TRUE)</f>
        <v>1</v>
      </c>
      <c r="F44" s="29" t="b">
        <f>IF(AND(D44,E44,D41),IF(In_Turnover_Parent&lt;=50000000/In_FXSpot_Parent,TRUE,FALSE),FALSE)</f>
        <v>0</v>
      </c>
      <c r="G44" s="29" t="str">
        <f>IF(D44,IF(E44,IF(F44,"",""),C44&amp;" input invalid. Please try again."),"Please provide "&amp;C44&amp;" input.")</f>
        <v>Please provide Turnover input.</v>
      </c>
      <c r="H44" s="30" t="str">
        <f t="shared" si="2"/>
        <v>Please provide Parent Obligor Name input.
Please provide Currency input.
Please provide Spot FX input.
Please provide Date input.
Please provide Employees input.
Please provide Turnover input.</v>
      </c>
    </row>
    <row r="45" spans="2:8" x14ac:dyDescent="0.25">
      <c r="C45" s="107" t="s">
        <v>211</v>
      </c>
      <c r="D45" s="29" t="b">
        <f>IF(In_GrossAssets_Parent="",FALSE,TRUE)</f>
        <v>0</v>
      </c>
      <c r="E45" s="29" t="b">
        <f>IF(D45,IF(ISNUMBER(In_GrossAssets_Parent),TRUE,FALSE),TRUE)</f>
        <v>1</v>
      </c>
      <c r="F45" s="29" t="b">
        <f>IF(AND(D45,E45,D41),IF(In_GrossAssets_Parent&lt;=43000000/In_FXSpot_Parent,TRUE,FALSE),FALSE)</f>
        <v>0</v>
      </c>
      <c r="G45" s="29" t="str">
        <f>IF(D45,IF(E45,IF(F45,"",""),C45&amp;" input invalid. Please try again."),"Please provide "&amp;C45&amp;" input.")</f>
        <v>Please provide Balance Sheet total input.</v>
      </c>
      <c r="H45" s="30" t="str">
        <f t="shared" si="2"/>
        <v>Please provide Parent Obligor Name input.
Please provide Currency input.
Please provide Spot FX input.
Please provide Date input.
Please provide Employees input.
Please provide Turnover input.
Please provide Balance Sheet total input.</v>
      </c>
    </row>
    <row r="46" spans="2:8" ht="15.75" thickBot="1" x14ac:dyDescent="0.3">
      <c r="C46" s="108" t="s">
        <v>169</v>
      </c>
      <c r="D46" s="31" t="b">
        <f>IF(COUNTIF(D40:D45,FALSE)&gt;0,FALSE,AND(D44:D45))</f>
        <v>0</v>
      </c>
      <c r="E46" s="31" t="b">
        <f>AND(E44:E45)</f>
        <v>1</v>
      </c>
      <c r="F46" s="31" t="b">
        <f>OR(F44,F45)</f>
        <v>0</v>
      </c>
      <c r="G46" s="31" t="str">
        <f>IF(D46,IF(E46,IF(F46,IF(F43,"Applicant is an SME per EU Guidelines.",""),"Applicant is not an SME per EU Guidelines."),""),"")</f>
        <v/>
      </c>
      <c r="H46" s="32" t="str">
        <f t="shared" si="2"/>
        <v>Please provide Parent Obligor Name input.
Please provide Currency input.
Please provide Spot FX input.
Please provide Date input.
Please provide Employees input.
Please provide Turnover input.
Please provide Balance Sheet total input.</v>
      </c>
    </row>
    <row r="47" spans="2:8" ht="15.75" thickBot="1" x14ac:dyDescent="0.3"/>
    <row r="48" spans="2:8" ht="15.75" thickBot="1" x14ac:dyDescent="0.3">
      <c r="C48" s="61" t="s">
        <v>164</v>
      </c>
      <c r="D48" s="149" t="str">
        <f>IF(COUNTIF($D$40:$D$45,FALSE)&gt;0,"Incomplete",IF(AND(F43,OR(F44,F45)),"Pass","Fail"))</f>
        <v>Incomplete</v>
      </c>
    </row>
    <row r="49" spans="2:8" ht="15.75" thickBot="1" x14ac:dyDescent="0.3">
      <c r="C49" s="61" t="s">
        <v>235</v>
      </c>
      <c r="D49" s="149" t="str">
        <f>IF(Calc_SMEStatus_Parent="Pass",IF(AND(In_Employees_Parent&lt;10,OR(In_Turnover_Parent&lt;=2000000/In_FXSpot_Parent,In_GrossAssets_Parent&lt;=2000000/In_FXSpot_Parent)),"Micro",IF(AND(In_Employees_Parent&lt;50,OR(In_Turnover_Parent&lt;=10000000/In_FXSpot_Parent,In_GrossAssets_Parent&lt;=10000000/In_FXSpot_Parent)),"Small",IF(AND(In_Employees_Parent&lt;250,OR(In_Turnover_Parent&lt;=50000000/In_FXSpot_Parent,In_GrossAssets_Parent&lt;=43000000/In_FXSpot_Parent)),"Medium-sized","Fail"))),Calc_SMEStatus_Parent)</f>
        <v>Incomplete</v>
      </c>
    </row>
    <row r="50" spans="2:8" ht="15.75" thickBot="1" x14ac:dyDescent="0.3">
      <c r="B50" s="23" t="s">
        <v>215</v>
      </c>
    </row>
    <row r="51" spans="2:8" x14ac:dyDescent="0.25">
      <c r="C51" s="106" t="s">
        <v>148</v>
      </c>
      <c r="D51" s="27" t="b">
        <f>IF('SME Wizard'!C4="",FALSE,TRUE)</f>
        <v>0</v>
      </c>
      <c r="E51" s="146" t="b">
        <v>1</v>
      </c>
      <c r="F51" s="146" t="b">
        <v>1</v>
      </c>
      <c r="G51" s="27" t="str">
        <f>IF(D51,IF(E51,IF(F51,"","Applicant is not an SME per EU Guidelines."),C51&amp;" input invalid. Please try again."),"Please provide "&amp;C51&amp;" input.")</f>
        <v>Please provide Bank Customer Name input.</v>
      </c>
      <c r="H51" s="28" t="str">
        <f>G51</f>
        <v>Please provide Bank Customer Name input.</v>
      </c>
    </row>
    <row r="52" spans="2:8" x14ac:dyDescent="0.25">
      <c r="C52" s="107" t="s">
        <v>162</v>
      </c>
      <c r="D52" s="29" t="b">
        <f>IF(In_SMECurrency="",FALSE,TRUE)</f>
        <v>0</v>
      </c>
      <c r="E52" s="29" t="b">
        <f>IF(D52,IF(COUNTIF(Lkp_Currency,In_SMECurrency)&gt;0,TRUE,FALSE),TRUE)</f>
        <v>1</v>
      </c>
      <c r="F52" s="121" t="b">
        <v>1</v>
      </c>
      <c r="G52" s="29" t="str">
        <f>IF(D52,IF(E52,IF(F52,"","Applicant is not an SME per EU Guidelines."),C52&amp;" input invalid. Please try again."),"Please provide "&amp;C52&amp;" input.")</f>
        <v>Please provide Currency input.</v>
      </c>
      <c r="H52" s="30" t="str">
        <f t="shared" ref="H52:H58" si="4">H51&amp;IF(G52="","",IF(H51="",G52,CHAR(10)&amp;G52))</f>
        <v>Please provide Bank Customer Name input.
Please provide Currency input.</v>
      </c>
    </row>
    <row r="53" spans="2:8" x14ac:dyDescent="0.25">
      <c r="C53" s="107" t="s">
        <v>163</v>
      </c>
      <c r="D53" s="29" t="b">
        <f>IF(In_FXSpot="",FALSE,TRUE)</f>
        <v>0</v>
      </c>
      <c r="E53" s="29" t="b">
        <f>IF(D53,AND(ISNUMBER(In_FXSpot),In_FXSpot&gt;0),TRUE)</f>
        <v>1</v>
      </c>
      <c r="F53" s="121" t="b">
        <v>1</v>
      </c>
      <c r="G53" s="29" t="str">
        <f>IF(D53,IF(E53,IF(F53,"","Applicant is not an SME per EU Guidelines."),C53&amp;" input invalid. Please try again."),"Please provide "&amp;C53&amp;" input.")</f>
        <v>Please provide Spot FX input.</v>
      </c>
      <c r="H53" s="30" t="str">
        <f t="shared" si="4"/>
        <v>Please provide Bank Customer Name input.
Please provide Currency input.
Please provide Spot FX input.</v>
      </c>
    </row>
    <row r="54" spans="2:8" x14ac:dyDescent="0.25">
      <c r="C54" s="107" t="s">
        <v>106</v>
      </c>
      <c r="D54" s="29" t="b">
        <f>IF(In_FXDate="",FALSE,TRUE)</f>
        <v>0</v>
      </c>
      <c r="E54" s="29" t="b">
        <f>IF(D54,AND(ISNUMBER(In_FXDate),In_FXDate&gt;0),TRUE)</f>
        <v>1</v>
      </c>
      <c r="F54" s="121" t="b">
        <v>1</v>
      </c>
      <c r="G54" s="29" t="str">
        <f>IF(D54,IF(E54,IF(F54,"","Applicant is not an SME per EU Guidelines."),C54&amp;" input invalid. Please try again."),"Please provide "&amp;C54&amp;" input.")</f>
        <v>Please provide Date input.</v>
      </c>
      <c r="H54" s="30" t="str">
        <f t="shared" si="4"/>
        <v>Please provide Bank Customer Name input.
Please provide Currency input.
Please provide Spot FX input.
Please provide Date input.</v>
      </c>
    </row>
    <row r="55" spans="2:8" x14ac:dyDescent="0.25">
      <c r="C55" s="107" t="s">
        <v>159</v>
      </c>
      <c r="D55" s="29" t="b">
        <f>IF(In_Employees="",FALSE,TRUE)</f>
        <v>0</v>
      </c>
      <c r="E55" s="29" t="b">
        <f>IF(D55,AND(ISNUMBER(In_Employees),In_Employees&gt;0),TRUE)</f>
        <v>1</v>
      </c>
      <c r="F55" s="29" t="b">
        <f>IF(AND(D55,E55),IF(In_Employees&lt;250,TRUE,FALSE),FALSE)</f>
        <v>0</v>
      </c>
      <c r="G55" s="29" t="str">
        <f>IF(D55,IF(E55,IF(F55,"","Applicant is not an SME per EU Guidelines."),C55&amp;" input invalid. Please try again."),"Please provide "&amp;C55&amp;" input.")</f>
        <v>Please provide Employees input.</v>
      </c>
      <c r="H55" s="30" t="str">
        <f t="shared" si="4"/>
        <v>Please provide Bank Customer Name input.
Please provide Currency input.
Please provide Spot FX input.
Please provide Date input.
Please provide Employees input.</v>
      </c>
    </row>
    <row r="56" spans="2:8" x14ac:dyDescent="0.25">
      <c r="C56" s="107" t="s">
        <v>151</v>
      </c>
      <c r="D56" s="29" t="b">
        <f>IF(In_Turnover="",FALSE,TRUE)</f>
        <v>0</v>
      </c>
      <c r="E56" s="29" t="b">
        <f>IF(D56,IF(AND(ISNUMBER(In_Turnover),In_Turnover&gt;=0),TRUE,FALSE),TRUE)</f>
        <v>1</v>
      </c>
      <c r="F56" s="29" t="b">
        <f>IF(AND(D56,E56,D53),IF(In_Turnover&lt;=50000000/In_FXSpot,TRUE,FALSE),FALSE)</f>
        <v>0</v>
      </c>
      <c r="G56" s="29" t="str">
        <f>IF(D56,IF(E56,IF(F56,"",""),C56&amp;" input invalid. Please try again."),"Please provide "&amp;C56&amp;" input.")</f>
        <v>Please provide Turnover input.</v>
      </c>
      <c r="H56" s="30" t="str">
        <f t="shared" si="4"/>
        <v>Please provide Bank Customer Name input.
Please provide Currency input.
Please provide Spot FX input.
Please provide Date input.
Please provide Employees input.
Please provide Turnover input.</v>
      </c>
    </row>
    <row r="57" spans="2:8" x14ac:dyDescent="0.25">
      <c r="C57" s="107" t="s">
        <v>211</v>
      </c>
      <c r="D57" s="29" t="b">
        <f>IF(In_GrossAssets="",FALSE,TRUE)</f>
        <v>0</v>
      </c>
      <c r="E57" s="29" t="b">
        <f>IF(D57,IF(ISNUMBER(In_GrossAssets),TRUE,FALSE),TRUE)</f>
        <v>1</v>
      </c>
      <c r="F57" s="29" t="b">
        <f>IF(AND(D57,E57,D53),IF(In_GrossAssets&lt;=43000000/In_FXSpot,TRUE,FALSE),FALSE)</f>
        <v>0</v>
      </c>
      <c r="G57" s="29" t="str">
        <f>IF(D57,IF(E57,IF(F57,"",""),C57&amp;" input invalid. Please try again."),"Please provide "&amp;C57&amp;" input.")</f>
        <v>Please provide Balance Sheet total input.</v>
      </c>
      <c r="H57" s="30" t="str">
        <f t="shared" si="4"/>
        <v>Please provide Bank Customer Name input.
Please provide Currency input.
Please provide Spot FX input.
Please provide Date input.
Please provide Employees input.
Please provide Turnover input.
Please provide Balance Sheet total input.</v>
      </c>
    </row>
    <row r="58" spans="2:8" ht="15.75" thickBot="1" x14ac:dyDescent="0.3">
      <c r="C58" s="108" t="s">
        <v>169</v>
      </c>
      <c r="D58" s="31" t="b">
        <f>IF(COUNTIF(D52:D57,FALSE)&gt;0,FALSE,AND(D56:D57))</f>
        <v>0</v>
      </c>
      <c r="E58" s="31" t="b">
        <f>AND(E56:E57)</f>
        <v>1</v>
      </c>
      <c r="F58" s="31" t="b">
        <f>OR(F56,F57)</f>
        <v>0</v>
      </c>
      <c r="G58" s="31" t="str">
        <f>IF(D58,IF(E58,IF(F58,IF(F55,"Applicant is an SME per EU Guidelines.",""),"Applicant is not an SME per EU Guidelines."),""),"")</f>
        <v/>
      </c>
      <c r="H58" s="32" t="str">
        <f t="shared" si="4"/>
        <v>Please provide Bank Customer Name input.
Please provide Currency input.
Please provide Spot FX input.
Please provide Date input.
Please provide Employees input.
Please provide Turnover input.
Please provide Balance Sheet total input.</v>
      </c>
    </row>
    <row r="59" spans="2:8" ht="15.75" thickBot="1" x14ac:dyDescent="0.3"/>
    <row r="60" spans="2:8" ht="15.75" thickBot="1" x14ac:dyDescent="0.3">
      <c r="C60" s="61" t="s">
        <v>164</v>
      </c>
      <c r="D60" s="149" t="str">
        <f>IF(COUNTIF($D$52:$D$57,FALSE)&gt;0,"Incomplete",IF(AND(F55,OR(F56,F57)),"Pass","Fail"))</f>
        <v>Incomplete</v>
      </c>
    </row>
    <row r="61" spans="2:8" ht="15.75" thickBot="1" x14ac:dyDescent="0.3">
      <c r="C61" s="61" t="s">
        <v>235</v>
      </c>
      <c r="D61" s="149" t="str">
        <f>IF(Calc_SMEStatus="Pass",IF(AND(In_Employees&lt;10,OR(In_Turnover&lt;=2000000/In_FXSpot,In_GrossAssets&lt;=2000000/In_FXSpot)),"Micro",IF(AND(In_Employees&lt;50,OR(In_Turnover&lt;=10000000/In_FXSpot,In_GrossAssets&lt;=10000000/In_FXSpot)),"Small",IF(AND(In_Employees&lt;250,OR(In_Turnover&lt;=50000000/In_FXSpot,In_GrossAssets&lt;=43000000/In_FXSpot)),"Medium-sized","Fail"))),Calc_SMEStatus)</f>
        <v>Incomplete</v>
      </c>
    </row>
  </sheetData>
  <sheetProtection algorithmName="SHA-512" hashValue="TSzPOMZEtc/7t0mqfeFjXFMgZcUKRInvypLgyEBuNmUeXUkuNr0I0rYdQ8ysTbbuREwdscOgzWPF3Rcfghq6tQ==" saltValue="7s6Z74u9AdvfwUrY5WDCzQ==" spinCount="100000"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4EB1-379C-4765-9034-1F49F1A21265}">
  <sheetPr codeName="Sheet4"/>
  <dimension ref="A1:C4"/>
  <sheetViews>
    <sheetView workbookViewId="0"/>
  </sheetViews>
  <sheetFormatPr defaultRowHeight="15" x14ac:dyDescent="0.25"/>
  <sheetData>
    <row r="1" spans="1:3" x14ac:dyDescent="0.25">
      <c r="A1" t="s">
        <v>4</v>
      </c>
      <c r="B1" t="s">
        <v>152</v>
      </c>
      <c r="C1" t="s">
        <v>203</v>
      </c>
    </row>
    <row r="2" spans="1:3" x14ac:dyDescent="0.25">
      <c r="A2" t="s">
        <v>5</v>
      </c>
      <c r="B2" t="s">
        <v>153</v>
      </c>
      <c r="C2" s="132" t="s">
        <v>204</v>
      </c>
    </row>
    <row r="3" spans="1:3" x14ac:dyDescent="0.25">
      <c r="B3" t="s">
        <v>154</v>
      </c>
      <c r="C3" t="s">
        <v>205</v>
      </c>
    </row>
    <row r="4" spans="1:3" x14ac:dyDescent="0.25">
      <c r="B4" t="s">
        <v>155</v>
      </c>
      <c r="C4" s="132" t="s">
        <v>206</v>
      </c>
    </row>
  </sheetData>
  <sheetProtection algorithmName="SHA-512" hashValue="tk168Q5UxRnSpJB20fsjhv37VP/n8d4FYSaW+0g1wUEwjz30kaDZJ2tpw72f9nxi0u+mnKGDGS7SyzZVWp6sDg==" saltValue="0pD71hPfDgsWjDs59bARtg==" spinCount="100000"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78</vt:i4>
      </vt:variant>
    </vt:vector>
  </HeadingPairs>
  <TitlesOfParts>
    <vt:vector size="80" baseType="lpstr">
      <vt:lpstr>SME Wizard</vt:lpstr>
      <vt:lpstr>Financial Difficulty Tests</vt:lpstr>
      <vt:lpstr>Calc_3YrInc</vt:lpstr>
      <vt:lpstr>Calc_DebtRatio1</vt:lpstr>
      <vt:lpstr>Calc_DebtRatio1_Parent</vt:lpstr>
      <vt:lpstr>Calc_DebtRatio2</vt:lpstr>
      <vt:lpstr>Calc_DebtRatio2_Parent</vt:lpstr>
      <vt:lpstr>Calc_DebtTest</vt:lpstr>
      <vt:lpstr>Calc_DebtTest_Parent</vt:lpstr>
      <vt:lpstr>Calc_EBITDARatio1</vt:lpstr>
      <vt:lpstr>Calc_EBITDARatio1_Parent</vt:lpstr>
      <vt:lpstr>Calc_EBITDARatio2</vt:lpstr>
      <vt:lpstr>Calc_EBITDARatio2_Parent</vt:lpstr>
      <vt:lpstr>Calc_EBITDATest</vt:lpstr>
      <vt:lpstr>Calc_EBITDATest_Parent</vt:lpstr>
      <vt:lpstr>Calc_FundsRatio</vt:lpstr>
      <vt:lpstr>Calc_FundsRatio_Parent</vt:lpstr>
      <vt:lpstr>Calc_LossResNeg</vt:lpstr>
      <vt:lpstr>Calc_ShareholderFunds</vt:lpstr>
      <vt:lpstr>Calc_ShareholderFunds_Parent</vt:lpstr>
      <vt:lpstr>Calc_SMEStatus</vt:lpstr>
      <vt:lpstr>Calc_SMEStatus_Parent</vt:lpstr>
      <vt:lpstr>Calc_SMEType</vt:lpstr>
      <vt:lpstr>Calc_SMEType_Parent</vt:lpstr>
      <vt:lpstr>In_3YrInc</vt:lpstr>
      <vt:lpstr>In_3YrInc_Parent</vt:lpstr>
      <vt:lpstr>In_Capital</vt:lpstr>
      <vt:lpstr>In_Capital_Parent</vt:lpstr>
      <vt:lpstr>In_Date1</vt:lpstr>
      <vt:lpstr>In_Date1_Parent</vt:lpstr>
      <vt:lpstr>In_Date2</vt:lpstr>
      <vt:lpstr>In_Date2_Parent</vt:lpstr>
      <vt:lpstr>In_Debt1</vt:lpstr>
      <vt:lpstr>In_Debt1_Parent</vt:lpstr>
      <vt:lpstr>In_Debt2</vt:lpstr>
      <vt:lpstr>In_Debt2_Parent</vt:lpstr>
      <vt:lpstr>In_EBITDA1</vt:lpstr>
      <vt:lpstr>In_EBITDA1_Parent</vt:lpstr>
      <vt:lpstr>In_EBITDA2</vt:lpstr>
      <vt:lpstr>In_EBITDA2_Parent</vt:lpstr>
      <vt:lpstr>In_Employees</vt:lpstr>
      <vt:lpstr>In_Employees_Parent</vt:lpstr>
      <vt:lpstr>In_Funds1</vt:lpstr>
      <vt:lpstr>In_Funds1_Parent</vt:lpstr>
      <vt:lpstr>In_Funds2</vt:lpstr>
      <vt:lpstr>In_Funds2_Parent</vt:lpstr>
      <vt:lpstr>In_FXDate</vt:lpstr>
      <vt:lpstr>In_FXDate_Parent</vt:lpstr>
      <vt:lpstr>In_FXSpot</vt:lpstr>
      <vt:lpstr>In_FXSpot_Parent</vt:lpstr>
      <vt:lpstr>In_GrossAssets</vt:lpstr>
      <vt:lpstr>In_GrossAssets_Parent</vt:lpstr>
      <vt:lpstr>In_Interest1</vt:lpstr>
      <vt:lpstr>In_Interest1_Parent</vt:lpstr>
      <vt:lpstr>In_Interest2</vt:lpstr>
      <vt:lpstr>In_Interest2_Parent</vt:lpstr>
      <vt:lpstr>In_LossResNeg</vt:lpstr>
      <vt:lpstr>In_LossResNeg_Parent</vt:lpstr>
      <vt:lpstr>In_ObligorName</vt:lpstr>
      <vt:lpstr>In_ObligorSME</vt:lpstr>
      <vt:lpstr>In_ObligorSME_Parent</vt:lpstr>
      <vt:lpstr>In_ObligorSub</vt:lpstr>
      <vt:lpstr>In_Profit</vt:lpstr>
      <vt:lpstr>In_Profit_Parent</vt:lpstr>
      <vt:lpstr>In_SMECurrency</vt:lpstr>
      <vt:lpstr>In_SMECurrency_Parent</vt:lpstr>
      <vt:lpstr>In_Turnover</vt:lpstr>
      <vt:lpstr>In_Turnover_Parent</vt:lpstr>
      <vt:lpstr>Lkp_Currency</vt:lpstr>
      <vt:lpstr>Lkp_VersionNumber</vt:lpstr>
      <vt:lpstr>Lkp_YesNo</vt:lpstr>
      <vt:lpstr>Msg</vt:lpstr>
      <vt:lpstr>Msg_Parent</vt:lpstr>
      <vt:lpstr>Msg_SMEWiz</vt:lpstr>
      <vt:lpstr>Msg_SMEWiz_Parent</vt:lpstr>
      <vt:lpstr>PassFail</vt:lpstr>
      <vt:lpstr>PassFail_Overall</vt:lpstr>
      <vt:lpstr>PassFail_Parent</vt:lpstr>
      <vt:lpstr>'Financial Difficulty Tests'!Print_Area</vt:lpstr>
      <vt:lpstr>'SME Wizard'!Print_Area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Grey</dc:creator>
  <cp:lastModifiedBy>Nicholas Bate</cp:lastModifiedBy>
  <cp:lastPrinted>2020-01-22T14:51:06Z</cp:lastPrinted>
  <dcterms:created xsi:type="dcterms:W3CDTF">2018-09-20T14:49:45Z</dcterms:created>
  <dcterms:modified xsi:type="dcterms:W3CDTF">2020-01-22T15:19:49Z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-1118211515</vt:i4>
  </property>
  <property fmtid="{D5CDD505-2E9C-101B-9397-08002B2CF9AE}" pid="3" name="_NewReviewCycle">
    <vt:lpwstr/>
  </property>
  <property fmtid="{D5CDD505-2E9C-101B-9397-08002B2CF9AE}" pid="4" name="_EmailSubject">
    <vt:lpwstr>Financial Difficulty Calculator v1.2.0 - 28 Jan 2020</vt:lpwstr>
  </property>
  <property fmtid="{D5CDD505-2E9C-101B-9397-08002B2CF9AE}" pid="5" name="_AuthorEmail">
    <vt:lpwstr>William.Grey@ukexportfinance.gov.uk</vt:lpwstr>
  </property>
  <property fmtid="{D5CDD505-2E9C-101B-9397-08002B2CF9AE}" pid="6" name="_AuthorEmailDisplayName">
    <vt:lpwstr>William Grey</vt:lpwstr>
  </property>
  <property fmtid="{D5CDD505-2E9C-101B-9397-08002B2CF9AE}" pid="7" name="_PreviousAdHocReviewCycleID">
    <vt:i4>439664810</vt:i4>
  </property>
</Properties>
</file>