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P:\Documents\Documents\Amendments\"/>
    </mc:Choice>
  </mc:AlternateContent>
  <xr:revisionPtr revIDLastSave="0" documentId="8_{AD2680E5-52A1-428D-BDD9-3DC26A829B43}" xr6:coauthVersionLast="40" xr6:coauthVersionMax="40" xr10:uidLastSave="{00000000-0000-0000-0000-000000000000}"/>
  <bookViews>
    <workbookView xWindow="0" yWindow="0" windowWidth="28800" windowHeight="12225" firstSheet="2" activeTab="2" xr2:uid="{DC3990BC-DFCC-49F3-820B-2EE888423175}"/>
  </bookViews>
  <sheets>
    <sheet name="Welcome" sheetId="6" state="veryHidden" r:id="rId1"/>
    <sheet name="Documentation" sheetId="5" state="veryHidden" r:id="rId2"/>
    <sheet name="Interface" sheetId="2" r:id="rId3"/>
    <sheet name="SME Wizard" sheetId="7" r:id="rId4"/>
    <sheet name="Calculations" sheetId="4" state="veryHidden" r:id="rId5"/>
    <sheet name="DDL" sheetId="3" state="veryHidden" r:id="rId6"/>
  </sheets>
  <definedNames>
    <definedName name="Calc_3YrInc">Interface!$D$11</definedName>
    <definedName name="Calc_DebtRatio1">Interface!$C$30</definedName>
    <definedName name="Calc_DebtRatio1_Sub">Interface!$H$30</definedName>
    <definedName name="Calc_DebtRatio2">Interface!$D$30</definedName>
    <definedName name="Calc_DebtRatio2_Sub">Interface!$I$30</definedName>
    <definedName name="Calc_DebtTest">Interface!$C$34</definedName>
    <definedName name="Calc_DebtTest_Sub">Interface!$H$34</definedName>
    <definedName name="Calc_EBITDARatio1">Interface!$C$29</definedName>
    <definedName name="Calc_EBITDARatio1_Sub">Interface!$H$29</definedName>
    <definedName name="Calc_EBITDARatio2">Interface!$D$29</definedName>
    <definedName name="Calc_EBITDARatio2_Sub">Interface!$I$29</definedName>
    <definedName name="Calc_EBITDATest">Interface!$C$33</definedName>
    <definedName name="Calc_EBITDATest_Sub">Interface!$H$33</definedName>
    <definedName name="Calc_FundsRatio">Interface!$C$17</definedName>
    <definedName name="Calc_FundsRatio_Sub">Interface!$H$17</definedName>
    <definedName name="Calc_GrossAssetsTarget">'SME Wizard'!$D$17</definedName>
    <definedName name="Calc_LossResNeg">Interface!$D$13</definedName>
    <definedName name="Calc_ShareholderFunds">Interface!$C$18</definedName>
    <definedName name="Calc_ShareholderFunds_Sub">Interface!$H$18</definedName>
    <definedName name="Calc_SMEStatus">Calculations!$D$51</definedName>
    <definedName name="Calc_TurnoverTarget">'SME Wizard'!$D$16</definedName>
    <definedName name="In_3YrInc">Interface!$C$11</definedName>
    <definedName name="In_3YrInc_Sub">Interface!$H$11</definedName>
    <definedName name="In_Capital">Interface!$C$15</definedName>
    <definedName name="In_Capital_Sub">Interface!$H$15</definedName>
    <definedName name="In_Date1">Interface!$C$23</definedName>
    <definedName name="In_Date1_Sub">Interface!$H$23</definedName>
    <definedName name="In_Date2">Interface!$D$23</definedName>
    <definedName name="In_Date2_Sub">Interface!$I$23</definedName>
    <definedName name="In_Debt1">Interface!$C$26</definedName>
    <definedName name="In_Debt1_Sub">Interface!$H$26</definedName>
    <definedName name="In_Debt2">Interface!$D$26</definedName>
    <definedName name="In_Debt2_Sub">Interface!$I$26</definedName>
    <definedName name="In_EBITDA1">Interface!$C$24</definedName>
    <definedName name="In_EBITDA1_Sub">Interface!$H$24</definedName>
    <definedName name="In_EBITDA2">Interface!$D$24</definedName>
    <definedName name="In_EBITDA2_Sub">Interface!$I$24</definedName>
    <definedName name="In_Employees">'SME Wizard'!$D$9</definedName>
    <definedName name="In_Funds1">Interface!$C$27</definedName>
    <definedName name="In_Funds1_Sub">Interface!$H$27</definedName>
    <definedName name="In_Funds2">Interface!$D$27</definedName>
    <definedName name="In_Funds2_Sub">Interface!$I$27</definedName>
    <definedName name="In_FXDate">'SME Wizard'!$D$6</definedName>
    <definedName name="In_FXSpot">'SME Wizard'!$D$5</definedName>
    <definedName name="In_GrossAssets">'SME Wizard'!$D$11</definedName>
    <definedName name="In_Interest1">Interface!$C$25</definedName>
    <definedName name="In_Interest1_Sub">Interface!$H$25</definedName>
    <definedName name="In_Interest2">Interface!$D$25</definedName>
    <definedName name="In_Interest2_Sub">Interface!$I$25</definedName>
    <definedName name="In_LossResNeg">Interface!$C$13</definedName>
    <definedName name="In_LossResNeg_Sub">Interface!$H$13</definedName>
    <definedName name="In_ObligorName">Interface!$C$4</definedName>
    <definedName name="In_ObligorSME">Interface!$C$6</definedName>
    <definedName name="In_ObligorSMESub">Interface!$C$7</definedName>
    <definedName name="In_ObligorSub">Interface!$C$5</definedName>
    <definedName name="In_Profit">Interface!$C$16</definedName>
    <definedName name="In_Profit_Sub">Interface!$H$16</definedName>
    <definedName name="In_SMECurrency">'SME Wizard'!$D$4</definedName>
    <definedName name="In_Turnover">'SME Wizard'!$D$10</definedName>
    <definedName name="Lkp_Currency">DDL!$B$1:$B$4</definedName>
    <definedName name="Lkp_YesNo">DDL!$A$1:$A$2</definedName>
    <definedName name="Msg_Parent">Calculations!$I$15</definedName>
    <definedName name="Msg_SMEWiz">Calculations!$H$49</definedName>
    <definedName name="Msg_Sub">Calculations!$I$29</definedName>
    <definedName name="PassFail_Overall">Calculations!$D$35</definedName>
    <definedName name="PassFail_Parent">Calculations!$D$33</definedName>
    <definedName name="PassFail_Sub">Calculations!$D$34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4" l="1"/>
  <c r="F19" i="4"/>
  <c r="G19" i="4" l="1"/>
  <c r="D45" i="4" l="1"/>
  <c r="E45" i="4" l="1"/>
  <c r="F45" i="4" s="1"/>
  <c r="G45" i="4" l="1"/>
  <c r="G9" i="2"/>
  <c r="B9" i="2"/>
  <c r="B11" i="2"/>
  <c r="C11" i="7" l="1"/>
  <c r="C10" i="7"/>
  <c r="B7" i="2" l="1"/>
  <c r="B6" i="2"/>
  <c r="D48" i="4"/>
  <c r="D47" i="4"/>
  <c r="D46" i="4"/>
  <c r="E46" i="4" s="1"/>
  <c r="D44" i="4"/>
  <c r="D43" i="4"/>
  <c r="D17" i="7"/>
  <c r="D16" i="7"/>
  <c r="D49" i="4" l="1"/>
  <c r="F46" i="4"/>
  <c r="G46" i="4" s="1"/>
  <c r="E43" i="4"/>
  <c r="F43" i="4" s="1"/>
  <c r="E48" i="4"/>
  <c r="E47" i="4"/>
  <c r="E44" i="4"/>
  <c r="C18" i="4"/>
  <c r="C34" i="4" s="1"/>
  <c r="C2" i="4"/>
  <c r="B21" i="2"/>
  <c r="F48" i="4" l="1"/>
  <c r="G48" i="4" s="1"/>
  <c r="E49" i="4"/>
  <c r="G43" i="4"/>
  <c r="H43" i="4" s="1"/>
  <c r="F47" i="4"/>
  <c r="G47" i="4" s="1"/>
  <c r="C33" i="4"/>
  <c r="F44" i="4"/>
  <c r="D3" i="4"/>
  <c r="D51" i="4" l="1"/>
  <c r="D20" i="7" s="1"/>
  <c r="F49" i="4"/>
  <c r="G49" i="4" s="1"/>
  <c r="G44" i="4"/>
  <c r="H44" i="4" s="1"/>
  <c r="H3" i="4"/>
  <c r="D20" i="4"/>
  <c r="E20" i="4" s="1"/>
  <c r="H45" i="4" l="1"/>
  <c r="H46" i="4" s="1"/>
  <c r="H47" i="4" s="1"/>
  <c r="H48" i="4" s="1"/>
  <c r="F20" i="4"/>
  <c r="D6" i="4"/>
  <c r="D4" i="4"/>
  <c r="D5" i="4"/>
  <c r="F6" i="4" l="1"/>
  <c r="D7" i="4" s="1"/>
  <c r="F7" i="4" s="1"/>
  <c r="H49" i="4"/>
  <c r="H4" i="7" s="1"/>
  <c r="D19" i="4"/>
  <c r="E19" i="4" s="1"/>
  <c r="E4" i="4"/>
  <c r="E5" i="4"/>
  <c r="D21" i="4"/>
  <c r="E6" i="4"/>
  <c r="I3" i="4"/>
  <c r="H5" i="4" l="1"/>
  <c r="G6" i="4"/>
  <c r="H4" i="4"/>
  <c r="I4" i="4" s="1"/>
  <c r="E21" i="4"/>
  <c r="F21" i="4"/>
  <c r="D22" i="4" s="1"/>
  <c r="E7" i="4"/>
  <c r="E22" i="4" l="1"/>
  <c r="G7" i="4"/>
  <c r="D8" i="4"/>
  <c r="I5" i="4"/>
  <c r="G20" i="4" l="1"/>
  <c r="E8" i="4"/>
  <c r="G8" i="4"/>
  <c r="H19" i="4" l="1"/>
  <c r="I19" i="4" s="1"/>
  <c r="G21" i="4"/>
  <c r="B18" i="2"/>
  <c r="G18" i="2"/>
  <c r="C17" i="2"/>
  <c r="C18" i="2" s="1"/>
  <c r="H21" i="4" l="1"/>
  <c r="H20" i="4"/>
  <c r="I20" i="4" s="1"/>
  <c r="I21" i="4" s="1"/>
  <c r="G22" i="4"/>
  <c r="F8" i="4"/>
  <c r="G9" i="4" l="1"/>
  <c r="H17" i="2"/>
  <c r="H18" i="2" s="1"/>
  <c r="G10" i="4"/>
  <c r="D12" i="4"/>
  <c r="D9" i="4"/>
  <c r="E9" i="4" s="1"/>
  <c r="D11" i="4"/>
  <c r="D13" i="4"/>
  <c r="D10" i="4"/>
  <c r="F22" i="4" l="1"/>
  <c r="D23" i="4" s="1"/>
  <c r="E23" i="4" s="1"/>
  <c r="D29" i="2"/>
  <c r="D24" i="4"/>
  <c r="E24" i="4" s="1"/>
  <c r="D14" i="4"/>
  <c r="H8" i="4" s="1"/>
  <c r="C29" i="2"/>
  <c r="H9" i="4"/>
  <c r="F9" i="4"/>
  <c r="D26" i="4" l="1"/>
  <c r="E26" i="4" s="1"/>
  <c r="D27" i="4"/>
  <c r="D28" i="4" s="1"/>
  <c r="H7" i="4"/>
  <c r="H6" i="4"/>
  <c r="I6" i="4" s="1"/>
  <c r="D25" i="4"/>
  <c r="G23" i="4"/>
  <c r="G24" i="4" s="1"/>
  <c r="I29" i="2" s="1"/>
  <c r="F23" i="4"/>
  <c r="F10" i="4"/>
  <c r="F11" i="4"/>
  <c r="E25" i="4"/>
  <c r="E27" i="4"/>
  <c r="C33" i="2"/>
  <c r="G25" i="4" l="1"/>
  <c r="G26" i="4" s="1"/>
  <c r="G27" i="4" s="1"/>
  <c r="G28" i="4" s="1"/>
  <c r="E28" i="4"/>
  <c r="D34" i="4" s="1"/>
  <c r="I7" i="4"/>
  <c r="I8" i="4" s="1"/>
  <c r="I9" i="4" s="1"/>
  <c r="H29" i="2"/>
  <c r="F24" i="4" s="1"/>
  <c r="H24" i="4"/>
  <c r="H22" i="4"/>
  <c r="I22" i="4" s="1"/>
  <c r="H23" i="4"/>
  <c r="F25" i="4"/>
  <c r="H25" i="4"/>
  <c r="H27" i="4"/>
  <c r="H26" i="4"/>
  <c r="H30" i="2"/>
  <c r="I30" i="2"/>
  <c r="I23" i="4" l="1"/>
  <c r="I24" i="4" s="1"/>
  <c r="I25" i="4" s="1"/>
  <c r="I26" i="4" s="1"/>
  <c r="I27" i="4" s="1"/>
  <c r="H33" i="2"/>
  <c r="F26" i="4"/>
  <c r="F27" i="4"/>
  <c r="H34" i="2"/>
  <c r="G35" i="2" l="1"/>
  <c r="F28" i="4"/>
  <c r="E13" i="4"/>
  <c r="E12" i="4"/>
  <c r="E11" i="4"/>
  <c r="E10" i="4"/>
  <c r="D33" i="4" l="1"/>
  <c r="H28" i="4"/>
  <c r="I28" i="4"/>
  <c r="I29" i="4" s="1"/>
  <c r="E14" i="4"/>
  <c r="G11" i="4"/>
  <c r="H11" i="4" l="1"/>
  <c r="H10" i="4"/>
  <c r="I10" i="4" s="1"/>
  <c r="G12" i="4"/>
  <c r="H12" i="4" s="1"/>
  <c r="I11" i="4" l="1"/>
  <c r="G13" i="4"/>
  <c r="C30" i="2" s="1"/>
  <c r="H13" i="4" l="1"/>
  <c r="D30" i="2"/>
  <c r="G14" i="4"/>
  <c r="C34" i="2" l="1"/>
  <c r="B35" i="2" s="1"/>
  <c r="F12" i="4"/>
  <c r="F13" i="4"/>
  <c r="F14" i="4" s="1"/>
  <c r="I12" i="4"/>
  <c r="I13" i="4" s="1"/>
  <c r="H14" i="4" l="1"/>
  <c r="D35" i="4"/>
  <c r="C2" i="2" s="1"/>
  <c r="I14" i="4"/>
  <c r="I15" i="4" s="1"/>
  <c r="G19" i="2" l="1"/>
  <c r="B14" i="2"/>
  <c r="G14" i="2"/>
  <c r="B12" i="2"/>
  <c r="G12" i="2"/>
  <c r="B19" i="2"/>
  <c r="G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Grey</author>
  </authors>
  <commentList>
    <comment ref="C11" authorId="0" shapeId="0" xr:uid="{C15A19A6-DB82-4315-AA44-436E60AB6A1A}">
      <text>
        <r>
          <rPr>
            <b/>
            <sz val="9"/>
            <color indexed="81"/>
            <rFont val="Tahoma"/>
            <family val="2"/>
          </rPr>
          <t xml:space="preserve">William Grey:
EU Guidance =
11. The balance sheet total referred to in paragraphs 1 to 7 of this Article shall consist of the total value of the assets in A to E under 'Assets' in the layout set out in Annex III or of the assets in A to E in the layout set out in Annex IV.
ANNEX III
</t>
        </r>
        <r>
          <rPr>
            <b/>
            <sz val="9"/>
            <color indexed="81"/>
            <rFont val="Tahoma"/>
            <family val="2"/>
          </rPr>
          <t xml:space="preserve">
A. Subscribed capital unpaid of which there has been called</t>
        </r>
        <r>
          <rPr>
            <sz val="9"/>
            <color indexed="81"/>
            <rFont val="Tahoma"/>
            <family val="2"/>
          </rPr>
          <t xml:space="preserve">
</t>
        </r>
        <r>
          <rPr>
            <b/>
            <sz val="9"/>
            <color indexed="81"/>
            <rFont val="Tahoma"/>
            <family val="2"/>
          </rPr>
          <t xml:space="preserve">B. Formation expenses
</t>
        </r>
        <r>
          <rPr>
            <sz val="9"/>
            <color indexed="81"/>
            <rFont val="Tahoma"/>
            <family val="2"/>
          </rPr>
          <t xml:space="preserve">
</t>
        </r>
        <r>
          <rPr>
            <b/>
            <sz val="9"/>
            <color indexed="81"/>
            <rFont val="Tahoma"/>
            <family val="2"/>
          </rPr>
          <t>C. Fixed assets</t>
        </r>
        <r>
          <rPr>
            <sz val="9"/>
            <color indexed="81"/>
            <rFont val="Tahoma"/>
            <family val="2"/>
          </rPr>
          <t xml:space="preserve">
I. Intangible assets
1. Costs of development, in so far as national law permits their being shown as assets.
2. Concessions, patents, licences, trade marks and similar rights and assets, if they were:
(a) acquired for valuable consideration and need not be shown under C (I) (3); or
(b) created by the undertaking itself, in so far as national law permits their being shown as assets.
3. Goodwill, to the extent that it was acquired for valuable consideration.
4. Payments on account.
Tangible assets
1. Land and buildings.
2. Plant and machinery.
3. Other fixtures and fittings, tools and equipment.
4. Payments on account and tangible assets in the course of construction.
Financial assets
1. Shares in affiliated undertakings.
2. Loans to affiliated undertakings.
3. Participating interests.
4. Loans to undertakings with which the undertaking is linked by virtue of participating interests.
5. Investments held as fixed assets.
6. Other loans.
</t>
        </r>
        <r>
          <rPr>
            <b/>
            <sz val="9"/>
            <color indexed="81"/>
            <rFont val="Tahoma"/>
            <family val="2"/>
          </rPr>
          <t>D. Current assets</t>
        </r>
        <r>
          <rPr>
            <sz val="9"/>
            <color indexed="81"/>
            <rFont val="Tahoma"/>
            <family val="2"/>
          </rPr>
          <t xml:space="preserve">
I. Stocks
1. Raw materials and consumables.
2. Work in progress.
3. Finished goods and goods for resale.
4. Payments on account.EN L 182/60 Official Journal of the European Union 29.6.2013
II. Debtors
(Amounts becoming due and payable after more than one year shall be shown separately for each item.)
1. Trade debtors.
2. Amounts owed by affiliated undertakings.
3. Amounts owed by undertakings with which the undertaking is linked by virtue of participating interests.
4. Other debtors.
5. Subscribed capital called but not paid (unless national law provides that called-up capital is to be shown as an asset under A).
6. Prepayments and accrued income (unless national law provides that such items are to be shown as assets under E).
III. Investments
1. Shares in affiliated undertakings.
2. Own shares (with an indication of their nominal value or, in the absence of a nominal value, their accounting par value), to the extent that national law permits their being shown in the balance sheet.
3. Other investments.
IV. Cash at bank and in hand
</t>
        </r>
        <r>
          <rPr>
            <b/>
            <sz val="9"/>
            <color indexed="81"/>
            <rFont val="Tahoma"/>
            <family val="2"/>
          </rPr>
          <t>E. Prepayments and accrued income</t>
        </r>
        <r>
          <rPr>
            <sz val="9"/>
            <color indexed="81"/>
            <rFont val="Tahoma"/>
            <family val="2"/>
          </rPr>
          <t xml:space="preserve">
(Unless national law provides that such items are to be shown as assets under D (II) (6).)</t>
        </r>
      </text>
    </comment>
  </commentList>
</comments>
</file>

<file path=xl/sharedStrings.xml><?xml version="1.0" encoding="utf-8"?>
<sst xmlns="http://schemas.openxmlformats.org/spreadsheetml/2006/main" count="424" uniqueCount="340">
  <si>
    <t>SME TESTS</t>
  </si>
  <si>
    <t xml:space="preserve">Result </t>
  </si>
  <si>
    <t>Description</t>
  </si>
  <si>
    <t>EBITDA</t>
  </si>
  <si>
    <t>Net interest</t>
  </si>
  <si>
    <t>ADDITIONAL NON-SME TESTS</t>
  </si>
  <si>
    <t>Yes</t>
  </si>
  <si>
    <t>No</t>
  </si>
  <si>
    <t>Input</t>
  </si>
  <si>
    <t>Name</t>
  </si>
  <si>
    <t>Question 1</t>
  </si>
  <si>
    <t>Question 2</t>
  </si>
  <si>
    <t>Question 3</t>
  </si>
  <si>
    <t>Obligor SME</t>
  </si>
  <si>
    <t>Obligor Subsidiary</t>
  </si>
  <si>
    <t>Question Completed?</t>
  </si>
  <si>
    <t>Test Passed?</t>
  </si>
  <si>
    <t>Show Question</t>
  </si>
  <si>
    <t>Non-SME Questions</t>
  </si>
  <si>
    <t>Message</t>
  </si>
  <si>
    <t>Cumulative Message</t>
  </si>
  <si>
    <t>Non-SME Tests</t>
  </si>
  <si>
    <t>Pass/Fail Status</t>
  </si>
  <si>
    <t>Current Status</t>
  </si>
  <si>
    <t>Total</t>
  </si>
  <si>
    <t>Overall Result</t>
  </si>
  <si>
    <t>Instructions</t>
  </si>
  <si>
    <t>Technical Documentation</t>
  </si>
  <si>
    <t>Excel Calculations</t>
  </si>
  <si>
    <t>Cells</t>
  </si>
  <si>
    <t>Worksheets</t>
  </si>
  <si>
    <t>Calculation</t>
  </si>
  <si>
    <t>Purpose</t>
  </si>
  <si>
    <t>Location</t>
  </si>
  <si>
    <t>Named Ranges</t>
  </si>
  <si>
    <t>Range</t>
  </si>
  <si>
    <t>Lkp_YesNo</t>
  </si>
  <si>
    <t>=IF(PassFail_Overall&lt;&gt;"Incomplete","Overall result: "&amp;PassFail_Overall,"")</t>
  </si>
  <si>
    <t>C2</t>
  </si>
  <si>
    <t>Interface</t>
  </si>
  <si>
    <t>Returns the overall pass/fail result based on the inputs.</t>
  </si>
  <si>
    <t>C16, G16</t>
  </si>
  <si>
    <t>Calculates the Overall Shareholders Funds at both parent and sub level (if applicable)</t>
  </si>
  <si>
    <t>=IF(AND(Calculations!F6=TRUE,In_3YrInc="No"),"There are no further questions to answer. The obligor is not in financial difficulty.","")</t>
  </si>
  <si>
    <t>B11:C11, F11:G11</t>
  </si>
  <si>
    <t>Returns a pass message at parent/sub level (if applicable) if the first question is passed.</t>
  </si>
  <si>
    <t>Returns a pass message at parent/sub level (if applicable) if the second question is passed.</t>
  </si>
  <si>
    <t>=IF(AND(Calculations!F7=TRUE,In_LossResNeg="No"),"There are no further questions to answer. The obligor is not in financial difficulty.","")</t>
  </si>
  <si>
    <t>B13:C13, F13:G13</t>
  </si>
  <si>
    <t>=IF(Calc_FundsRatio="","",IF(OR(In_Capital="",In_Profit=""),"",IF(Calc_FundsRatio&lt;=-50%,"Yes","No")))</t>
  </si>
  <si>
    <t>C17, G17</t>
  </si>
  <si>
    <t>Returns a pass/fail message based on the Funds ratio, and whether or not the entity is an SME. Will also stay blank if additional answers are needed.</t>
  </si>
  <si>
    <t>Returns a yes/no response to question 3 based on the calulcated change in funds ratio</t>
  </si>
  <si>
    <t>B13:D13, F13:H13</t>
  </si>
  <si>
    <t>Calculates the EBITDA to Interest ratios</t>
  </si>
  <si>
    <t>Calculates the Debt to Funds ratios</t>
  </si>
  <si>
    <t>C32, G32</t>
  </si>
  <si>
    <t>Returns a Yes/No message indicating if the entity has passed the Debt to Funds ratio test</t>
  </si>
  <si>
    <t>C33, G33</t>
  </si>
  <si>
    <t>Returns a Yes/No message indicating if the entity has passed the EBITDA to Interest ratio test</t>
  </si>
  <si>
    <t>B34:D34, F34:H34</t>
  </si>
  <si>
    <t>Returns a message indicating whether the entity has passed the non-SME tests (EBITDA ratio and Debt ratio), by passing at least one of the two tests.</t>
  </si>
  <si>
    <t>Calculations</t>
  </si>
  <si>
    <t>=IF(In_ObligorName="",FALSE,TRUE)</t>
  </si>
  <si>
    <t>Indicates if input fields have been completed.</t>
  </si>
  <si>
    <t>Indicates if the input field is completed, but does not require it to be completed if the previous test was passed.</t>
  </si>
  <si>
    <t>Checks if the non-SME tests have all been completed successfully.</t>
  </si>
  <si>
    <t>Calculates if a test is passed. Each test cannot be declared past if the previous test has not been completed (to avoid cases where the model is reused and fields are not properly cleared).</t>
  </si>
  <si>
    <t>Calc_3YrInc</t>
  </si>
  <si>
    <t>=Interface!$D$10</t>
  </si>
  <si>
    <t>Calc_DebtRatio1</t>
  </si>
  <si>
    <t>=Interface!$C$29</t>
  </si>
  <si>
    <t>Calc_DebtRatio1_Sub</t>
  </si>
  <si>
    <t>=Interface!$H$29</t>
  </si>
  <si>
    <t>Calc_DebtRatio2</t>
  </si>
  <si>
    <t>=Interface!$D$29</t>
  </si>
  <si>
    <t>Calc_DebtRatio2_Sub</t>
  </si>
  <si>
    <t>=Interface!$I$29</t>
  </si>
  <si>
    <t>Calc_DebtTest</t>
  </si>
  <si>
    <t>=Interface!$C$32</t>
  </si>
  <si>
    <t>Calc_EBITDARatio1</t>
  </si>
  <si>
    <t>=Interface!$C$28</t>
  </si>
  <si>
    <t>Calc_EBITDARatio1_Sub</t>
  </si>
  <si>
    <t>=Interface!$H$28</t>
  </si>
  <si>
    <t>Calc_EBITDARatio2</t>
  </si>
  <si>
    <t>=Interface!$D$28</t>
  </si>
  <si>
    <t>Calc_EBITDARatio2_Sub</t>
  </si>
  <si>
    <t>=Interface!$I$28</t>
  </si>
  <si>
    <t>Calc_EBITDATest</t>
  </si>
  <si>
    <t>=Interface!$C$33</t>
  </si>
  <si>
    <t>Calc_FundsRatio</t>
  </si>
  <si>
    <t>=Interface!$C$16</t>
  </si>
  <si>
    <t>Calc_FundsRatio_Sub</t>
  </si>
  <si>
    <t>=Interface!$H$16</t>
  </si>
  <si>
    <t>Calc_LossResNeg</t>
  </si>
  <si>
    <t>=Interface!$D$12</t>
  </si>
  <si>
    <t>Calc_ShareholderFunds</t>
  </si>
  <si>
    <t>=Interface!$C$17</t>
  </si>
  <si>
    <t>Calc_ShareholderFunds_Sub</t>
  </si>
  <si>
    <t>=Interface!$H$17</t>
  </si>
  <si>
    <t>In_3YrInc</t>
  </si>
  <si>
    <t>=Interface!$C$10</t>
  </si>
  <si>
    <t>In_3YrInc_Sub</t>
  </si>
  <si>
    <t>=Interface!$H$10</t>
  </si>
  <si>
    <t>In_Capital</t>
  </si>
  <si>
    <t>=Interface!$C$14</t>
  </si>
  <si>
    <t>In_Capital_Sub</t>
  </si>
  <si>
    <t>=Interface!$H$14</t>
  </si>
  <si>
    <t>In_Date1</t>
  </si>
  <si>
    <t>=Interface!$C$22</t>
  </si>
  <si>
    <t>In_Date1_Sub</t>
  </si>
  <si>
    <t>=Interface!$H$22</t>
  </si>
  <si>
    <t>In_Date2</t>
  </si>
  <si>
    <t>=Interface!$D$22</t>
  </si>
  <si>
    <t>In_Date2_Sub</t>
  </si>
  <si>
    <t>=Interface!$I$22</t>
  </si>
  <si>
    <t>In_Debt1</t>
  </si>
  <si>
    <t>=Interface!$C$25</t>
  </si>
  <si>
    <t>In_Debt1_Sub</t>
  </si>
  <si>
    <t>=Interface!$H$25</t>
  </si>
  <si>
    <t>In_Debt2</t>
  </si>
  <si>
    <t>=Interface!$D$25</t>
  </si>
  <si>
    <t>In_Debt2_Sub</t>
  </si>
  <si>
    <t>=Interface!$I$25</t>
  </si>
  <si>
    <t>In_EBITDA1</t>
  </si>
  <si>
    <t>=Interface!$C$23</t>
  </si>
  <si>
    <t>In_EBITDA1_Sub</t>
  </si>
  <si>
    <t>=Interface!$H$23</t>
  </si>
  <si>
    <t>In_EBITDA2</t>
  </si>
  <si>
    <t>=Interface!$D$23</t>
  </si>
  <si>
    <t>In_EBITDA2_Sub</t>
  </si>
  <si>
    <t>=Interface!$I$23</t>
  </si>
  <si>
    <t>In_Funds1</t>
  </si>
  <si>
    <t>=Interface!$C$26</t>
  </si>
  <si>
    <t>In_Funds1_Sub</t>
  </si>
  <si>
    <t>=Interface!$H$26</t>
  </si>
  <si>
    <t>In_Funds2</t>
  </si>
  <si>
    <t>=Interface!$D$26</t>
  </si>
  <si>
    <t>In_Funds2_Sub</t>
  </si>
  <si>
    <t>=Interface!$I$26</t>
  </si>
  <si>
    <t>In_Interest1</t>
  </si>
  <si>
    <t>=Interface!$C$24</t>
  </si>
  <si>
    <t>In_Interest1_Sub</t>
  </si>
  <si>
    <t>=Interface!$H$24</t>
  </si>
  <si>
    <t>In_Interest2</t>
  </si>
  <si>
    <t>=Interface!$D$24</t>
  </si>
  <si>
    <t>In_Interest2_Sub</t>
  </si>
  <si>
    <t>=Interface!$I$24</t>
  </si>
  <si>
    <t>In_LossResNeg</t>
  </si>
  <si>
    <t>=Interface!$C$12</t>
  </si>
  <si>
    <t>In_LossResNeg_Sub</t>
  </si>
  <si>
    <t>=Interface!$H$12</t>
  </si>
  <si>
    <t>In_ObligorName</t>
  </si>
  <si>
    <t>=Interface!$C$4</t>
  </si>
  <si>
    <t>In_ObligorSME</t>
  </si>
  <si>
    <t>=Interface!$C$5</t>
  </si>
  <si>
    <t>In_ObligorSub</t>
  </si>
  <si>
    <t>=Interface!$C$6</t>
  </si>
  <si>
    <t>In_Profit</t>
  </si>
  <si>
    <t>=Interface!$C$15</t>
  </si>
  <si>
    <t>In_Profit_Sub</t>
  </si>
  <si>
    <t>=Interface!$H$15</t>
  </si>
  <si>
    <t>=DDL!$A$1:$A$2</t>
  </si>
  <si>
    <t>Msg_Parent</t>
  </si>
  <si>
    <t>Msg_Sub</t>
  </si>
  <si>
    <t>PassFail_Overall</t>
  </si>
  <si>
    <t>PassFail_Parent</t>
  </si>
  <si>
    <t>PassFail_Sub</t>
  </si>
  <si>
    <t>Application</t>
  </si>
  <si>
    <t xml:space="preserve">   Name</t>
  </si>
  <si>
    <t>Location and filename</t>
  </si>
  <si>
    <t>Owner</t>
  </si>
  <si>
    <t>Developer</t>
  </si>
  <si>
    <t>Shadowed owner</t>
  </si>
  <si>
    <t>Version numbering structure</t>
  </si>
  <si>
    <t>v.0.0.0</t>
  </si>
  <si>
    <t>Location of version number</t>
  </si>
  <si>
    <t>Documentation</t>
  </si>
  <si>
    <t>Scope</t>
  </si>
  <si>
    <t>Legends and standards</t>
  </si>
  <si>
    <t>Input cells</t>
  </si>
  <si>
    <t>To type in</t>
  </si>
  <si>
    <t>Range names</t>
  </si>
  <si>
    <t>Formulae</t>
  </si>
  <si>
    <t>Protection</t>
  </si>
  <si>
    <t>Visual Basic</t>
  </si>
  <si>
    <t>Add-ins</t>
  </si>
  <si>
    <t>NONE</t>
  </si>
  <si>
    <t>Notes</t>
  </si>
  <si>
    <t>Type</t>
  </si>
  <si>
    <t>Welcome</t>
  </si>
  <si>
    <t>Basic Documentation</t>
  </si>
  <si>
    <t>Admin</t>
  </si>
  <si>
    <t>User interface</t>
  </si>
  <si>
    <t>Outputs</t>
  </si>
  <si>
    <t>Version History</t>
  </si>
  <si>
    <t>Version</t>
  </si>
  <si>
    <t>Detail</t>
  </si>
  <si>
    <t>Editor</t>
  </si>
  <si>
    <t>Date</t>
  </si>
  <si>
    <t>Reason</t>
  </si>
  <si>
    <t>Parameter Update</t>
  </si>
  <si>
    <t>v0.10</t>
  </si>
  <si>
    <t>Will Gaines</t>
  </si>
  <si>
    <t>WARNING: This sheet is for internal use only and should be hidden before external circulation.</t>
  </si>
  <si>
    <t>Financial Difficulty Test Model</t>
  </si>
  <si>
    <t>Circulated by Short Term to banks and customers as an initial check to see if they may be eligbile for UKEF support.</t>
  </si>
  <si>
    <t>G:\ORA\ACTIVITIES\Business Group Support\Financial Difficulty Model</t>
  </si>
  <si>
    <t>William Grey</t>
  </si>
  <si>
    <t>Current: Will Gaines</t>
  </si>
  <si>
    <t>Below - as this model is for external use, the version number will not be included in the title.</t>
  </si>
  <si>
    <t>"Documentation" worksheet</t>
  </si>
  <si>
    <t>Technical</t>
  </si>
  <si>
    <t>No fill - Red Text</t>
  </si>
  <si>
    <t>All sheets password protected, only Interface sheet should be shown upon external circulation.</t>
  </si>
  <si>
    <t>None</t>
  </si>
  <si>
    <t>Main user interface for inputs and results of Financial Difficulty test</t>
  </si>
  <si>
    <t>Calculates the results of the tests, as well as what questions should be visible to the user when.</t>
  </si>
  <si>
    <t>As this model is intended for external use, there is no VBA used, as many companies view this as a security risk. All hiding/revealing of inputs is therefore done via conditional formatting</t>
  </si>
  <si>
    <t>Draft Version for review, based on initial request from STB.</t>
  </si>
  <si>
    <t>Initial request email saved in folder: E:\CEX\Development\E-mails_audit\Other models\Financial Difficulty Model_20180924</t>
  </si>
  <si>
    <t>Financial Difficulty Model</t>
  </si>
  <si>
    <t>Calc_DebtTest_Sub</t>
  </si>
  <si>
    <t>=Interface!$H$32</t>
  </si>
  <si>
    <t>Calc_EBITDATest_Sub</t>
  </si>
  <si>
    <t>=Interface!$H$33</t>
  </si>
  <si>
    <t>=Calculations!$D$32</t>
  </si>
  <si>
    <t>DDL</t>
  </si>
  <si>
    <t>Dropdown lists</t>
  </si>
  <si>
    <t>Valid Input</t>
  </si>
  <si>
    <t>=IF(AND(Calculations!G8,Calculations!E8),IF(Calculations!D8,IF(In_Capital=0,0,In_Profit/ABS(In_Capital)),""),"")</t>
  </si>
  <si>
    <t>=IF(Calc_ShareholderFunds="Yes","Obligor is in financial difficulty and ineligibile for UKEF support.",IF(AND(Calculations!G8=TRUE,In_ObligorSME="Yes",Calc_ShareholderFunds="No"),"There are no further questions to answer. The obligor is not in financial difficulty.",""))</t>
  </si>
  <si>
    <t>=IF(Calculations!G10,IF(AND(ISNUMBER(In_EBITDA1),ISNUMBER(In_Interest1)),IF(In_Interest1=0,0,(ABS(In_EBITDA1)/In_Interest1)),""),"")</t>
  </si>
  <si>
    <t>C28, D28, G28, H28</t>
  </si>
  <si>
    <t>=IF(Calculations!G13,IF(AND(ISNUMBER(In_Debt1),ISNUMBER(In_Funds1)),IF(In_Funds1=0,0,ABS(In_Debt1)/In_Funds1),""),"")</t>
  </si>
  <si>
    <t>C29, D29, G29, H29</t>
  </si>
  <si>
    <t>=IF(OR(Calc_EBITDARatio1="",Calc_EBITDARatio2=""),"",IF(OR(Calc_EBITDARatio1&gt;1,Calc_EBITDARatio2&gt;1),"Pass",IF(AND(Calc_EBITDARatio1=0,Calc_EBITDARatio2=0),"Pass","Fail")))</t>
  </si>
  <si>
    <t>=IF(OR(Calc_DebtRatio1="",Calc_DebtRatio2=""),"",IF(OR(Calc_DebtRatio1&lt;7.5,Calc_DebtRatio2&lt;7.5),IF(AND(Calc_DebtRatio1&lt;0,Calc_DebtRatio2&lt;0),"Fail","Pass"),"Fail"))</t>
  </si>
  <si>
    <t>=IF(OR(Calc_DebtTest="",Calc_EBITDATest=""),"",IF(OR(Calc_DebtTest="Pass",Calc_EBITDATest="Pass"),"Obligor is not in financial difficulty.","Obligor is in financial difficulty, and is not eligibile for UKEF support."))</t>
  </si>
  <si>
    <t>=IF(In_ObligorSub="No",Msg_Parent,Msg_Parent&amp;CHAR(10)&amp;Msg_Sub)</t>
  </si>
  <si>
    <t>G4:G6</t>
  </si>
  <si>
    <t>Returns the instructions to the user from the calculations sheet.</t>
  </si>
  <si>
    <t>=IF(F6,FALSE,IF(In_LossResNeg="",FALSE,TRUE))</t>
  </si>
  <si>
    <t>D3:D6, D17</t>
  </si>
  <si>
    <t>D7:D13, D20:D26</t>
  </si>
  <si>
    <t>D14, D27</t>
  </si>
  <si>
    <t>=IF(COUNTIF(D9:D13,TRUE)=5,TRUE,FALSE)</t>
  </si>
  <si>
    <t>=IF(D4,OR(In_ObligorSME="Yes",In_ObligorSME="No"),TRUE)</t>
  </si>
  <si>
    <t>E4:E13, E19:E26</t>
  </si>
  <si>
    <t>E14, E27</t>
  </si>
  <si>
    <t>=IF(COUNTIF(E3:E13,TRUE)=11,TRUE,FALSE)</t>
  </si>
  <si>
    <t>Calculates if test answers are valid. Where a question has not been completed, this defaults to a pass</t>
  </si>
  <si>
    <t>Calculates if the non-SME tests have valid answers</t>
  </si>
  <si>
    <t>=IF(D6,IF(In_3YrInc="No",TRUE,FALSE),FALSE)</t>
  </si>
  <si>
    <t>F6:F13,F19:F26</t>
  </si>
  <si>
    <t>F14, F27</t>
  </si>
  <si>
    <t>=IF(AND(COUNTIF(D10:E13,TRUE)=8,COUNTIF(F10:F13,TRUE)&gt;0),TRUE,FALSE)</t>
  </si>
  <si>
    <t>Calculates if the non-SME tests are passed, and in as before it defaults to FALSE where a previous test has been passed.</t>
  </si>
  <si>
    <t>G6:G9, G19:G22</t>
  </si>
  <si>
    <t>=IF(COUNTIF(D3:E5,TRUE)=6,TRUE,FALSE)</t>
  </si>
  <si>
    <t>Calculates whether a question should be shown or not. This calculation is also used to supress messages on later questions being shown when users change answers to earlier questions.</t>
  </si>
  <si>
    <t>=IF(D4,IF(E4,"","Invalid input for SME status- please answer Yes or No"),"Please provide the obligor SME status.")</t>
  </si>
  <si>
    <t>H5:H14, H19:H27</t>
  </si>
  <si>
    <t>Returns instructions and/or error messages to the user.</t>
  </si>
  <si>
    <t>I4:I14, I19:I27</t>
  </si>
  <si>
    <t>=I3&amp;IF(H4="","",IF(I3="",H4,CHAR(10)&amp;H4))</t>
  </si>
  <si>
    <t>Generates the cumulative error message and/or instruction</t>
  </si>
  <si>
    <t>I15</t>
  </si>
  <si>
    <t>=IF(AND(In_ObligorSub="Yes",D3,D4,E4,E3),"Parent Entity:"&amp;CHAR(10),"")&amp;I14&amp;IF(H15="","",IF(I14="",H15,CHAR(10)&amp;H15))</t>
  </si>
  <si>
    <t>Changes the error message depending on whether the obligor is a subsidiary or not</t>
  </si>
  <si>
    <t>D32, D33</t>
  </si>
  <si>
    <t>=IF(COUNTIF(E3:E13,FALSE)&gt;0,"Incomplete",IF(NOT(AND(D3,D4,D5)),"Incomplete",IF(OR(F6,F7,F8,AND(F14,G10)),"Pass",IF(AND(D8,G8,NOT(F8),NOT(G10)),"Fail",IF(AND(D10,D11,D12,D13,NOT(F14)),"Fail","Incomplete")))))</t>
  </si>
  <si>
    <t>Calculates the total result for each entity (parent and subsidiary)</t>
  </si>
  <si>
    <t>D34</t>
  </si>
  <si>
    <t>=IF(In_ObligorSub="No",PassFail_Parent,IF(OR(PassFail_Parent="Incomplete",PassFail_Sub="Incomplete"),"Incomplete",IF(OR(PassFail_Parent="Fail",PassFail_Sub="Fail"),"Fail",IF(AND(PassFail_Parent="Pass",PassFail_Sub="Pass"),"Pass","Incomplete"))))</t>
  </si>
  <si>
    <t>Generates the total pass/fail result based on the individual results of the parent and subsidiary entities.</t>
  </si>
  <si>
    <t>=Calculations!$I$15</t>
  </si>
  <si>
    <t>=Calculations!$I$28</t>
  </si>
  <si>
    <t>=Calculations!$D$34</t>
  </si>
  <si>
    <t>=Calculations!$D$33</t>
  </si>
  <si>
    <t>Conditional Formatting</t>
  </si>
  <si>
    <t>Format</t>
  </si>
  <si>
    <t>B8:C10, B12:C12, B14:D17, B20:D34, G8:H10, G12:H12, G14:I17, G20:H34</t>
  </si>
  <si>
    <t>=Calculations!$G$6=FALSE</t>
  </si>
  <si>
    <t>Comments</t>
  </si>
  <si>
    <t>White fill, white text, no borders.</t>
  </si>
  <si>
    <t>Used to block out questions based on results of other questions. The 'show questions' fields in the calculations tab is used to control these (see above for details).</t>
  </si>
  <si>
    <t>B11:C11, G11:H11, B13:C13, G13:H13, B18:D18, G18:I18</t>
  </si>
  <si>
    <t>Black text, bold, no border</t>
  </si>
  <si>
    <t>Gives an answer when either parent or subsidiary entities pass one of the first 3 questions.</t>
  </si>
  <si>
    <t>Gives an answer when either parent or subsidiary entities fail one of the first 3 questions.</t>
  </si>
  <si>
    <t>=AND(In_3YrInc="No",Calculations!$G$6=TRUE)</t>
  </si>
  <si>
    <t xml:space="preserve"> B18:D18, G18:I18</t>
  </si>
  <si>
    <t>=Calc_ShareholderFunds="Yes"</t>
  </si>
  <si>
    <t>Bank Customer Name</t>
  </si>
  <si>
    <t>Is the Bank Customer a subsidiary?</t>
  </si>
  <si>
    <t>Q.1. Has the Bank Customer been incorporated for more than 3 years?</t>
  </si>
  <si>
    <t>Q.2. Has the sum of Accumulated Losses in aggregate been negative?</t>
  </si>
  <si>
    <t>a) Fully Paid Up Share Capital + Share Premium</t>
  </si>
  <si>
    <t>INPUT IF BANK CUSTOMER IS NON-SME</t>
  </si>
  <si>
    <t>Please provide figures as evidenced by the last two accounting periods in accordance with statutory accounts.</t>
  </si>
  <si>
    <t xml:space="preserve">Book Debt </t>
  </si>
  <si>
    <t>Equity</t>
  </si>
  <si>
    <t>EBITDA / Net Interest Ratio</t>
  </si>
  <si>
    <t>Book Debt / Equity Ratio</t>
  </si>
  <si>
    <t>During the last two accounting periods, was EBITDA to Net Interest ratio above 1.0x?</t>
  </si>
  <si>
    <t>During the last two accounting periods, was Book Debt to Equity below 7.5x?</t>
  </si>
  <si>
    <t>At least one test must pass to be considered not in financial difficulty.</t>
  </si>
  <si>
    <t>Turnover</t>
  </si>
  <si>
    <t>Inputs</t>
  </si>
  <si>
    <t>GBP</t>
  </si>
  <si>
    <t>EUR</t>
  </si>
  <si>
    <t>USD</t>
  </si>
  <si>
    <t>JPY</t>
  </si>
  <si>
    <t>FX spot rate (Curr/EUR)</t>
  </si>
  <si>
    <t>SME criteria</t>
  </si>
  <si>
    <r>
      <t xml:space="preserve">Turnover </t>
    </r>
    <r>
      <rPr>
        <b/>
        <sz val="11"/>
        <color indexed="8"/>
        <rFont val="Calibri"/>
        <family val="2"/>
      </rPr>
      <t>less than or equal to</t>
    </r>
  </si>
  <si>
    <t>(EUR 50,000,000)</t>
  </si>
  <si>
    <r>
      <t xml:space="preserve">No. of employees </t>
    </r>
    <r>
      <rPr>
        <b/>
        <sz val="11"/>
        <color indexed="8"/>
        <rFont val="Calibri"/>
        <family val="2"/>
      </rPr>
      <t>less than</t>
    </r>
  </si>
  <si>
    <r>
      <t>Gross Assets</t>
    </r>
    <r>
      <rPr>
        <b/>
        <sz val="11"/>
        <color indexed="8"/>
        <rFont val="Calibri"/>
        <family val="2"/>
      </rPr>
      <t xml:space="preserve"> less than or equal to</t>
    </r>
  </si>
  <si>
    <t>(EUR 43,000,000)</t>
  </si>
  <si>
    <t>SME Wizard Calculations</t>
  </si>
  <si>
    <t>Applicant SME Status</t>
  </si>
  <si>
    <t>Employees</t>
  </si>
  <si>
    <t>Gross Assets</t>
  </si>
  <si>
    <t>Complete</t>
  </si>
  <si>
    <t>Passed</t>
  </si>
  <si>
    <t>Currency</t>
  </si>
  <si>
    <t>Spot FX</t>
  </si>
  <si>
    <t>SME Status</t>
  </si>
  <si>
    <t>Subsidiary SME Status</t>
  </si>
  <si>
    <t>No of Employees</t>
  </si>
  <si>
    <t>b) Accumulated Profit/Losses (if losses, insert as negative figure)</t>
  </si>
  <si>
    <t>Latest Accounting Period</t>
  </si>
  <si>
    <t>Prior Accounting Period</t>
  </si>
  <si>
    <t>Date of FX Spot rate (dd/mm/yyyy)</t>
  </si>
  <si>
    <t>Spot FX Date</t>
  </si>
  <si>
    <t>OR</t>
  </si>
  <si>
    <t>Please provide figures below as evidenced by the latest accounting period in accordance with statutory accounts.</t>
  </si>
  <si>
    <t>Financial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</si>
</sst>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_ ;[Red]\-#,##0.00\ "/>
    <numFmt numFmtId="165" formatCode="0.0%"/>
    <numFmt numFmtId="166" formatCode="#,##0.0000;[Red]\-#,##0.0000"/>
  </numFmts>
  <fonts count="25" x14ac:knownFonts="1">
    <font>
      <sz val="11"/>
      <color theme="1"/>
      <name val="Calibri"/>
      <family val="2"/>
      <scheme val="minor"/>
    </font>
    <font>
      <sz val="11"/>
      <color theme="1"/>
      <name val="Calibri"/>
      <family val="2"/>
      <scheme val="minor"/>
    </font>
    <font>
      <b/>
      <sz val="11"/>
      <color theme="1"/>
      <name val="Calibri"/>
      <family val="2"/>
      <scheme val="minor"/>
    </font>
    <font>
      <sz val="11"/>
      <color rgb="FF0070C0"/>
      <name val="Calibri"/>
      <family val="2"/>
      <scheme val="minor"/>
    </font>
    <font>
      <sz val="11"/>
      <color theme="4" tint="-0.249977111117893"/>
      <name val="Calibri"/>
      <family val="2"/>
      <scheme val="minor"/>
    </font>
    <font>
      <b/>
      <sz val="11"/>
      <color rgb="FFFF0000"/>
      <name val="Calibri"/>
      <family val="2"/>
      <scheme val="minor"/>
    </font>
    <font>
      <sz val="11"/>
      <name val="Calibri"/>
      <family val="2"/>
      <scheme val="minor"/>
    </font>
    <font>
      <b/>
      <i/>
      <sz val="11"/>
      <color theme="1"/>
      <name val="Calibri"/>
      <family val="2"/>
      <scheme val="minor"/>
    </font>
    <font>
      <b/>
      <sz val="11"/>
      <color rgb="FF0070C0"/>
      <name val="Calibri"/>
      <family val="2"/>
      <scheme val="minor"/>
    </font>
    <font>
      <sz val="11"/>
      <color rgb="FFFF0000"/>
      <name val="Calibri"/>
      <family val="2"/>
      <scheme val="minor"/>
    </font>
    <font>
      <b/>
      <sz val="14"/>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sz val="16"/>
      <name val="Arial"/>
      <family val="2"/>
    </font>
    <font>
      <sz val="12"/>
      <name val="Arial"/>
      <family val="2"/>
    </font>
    <font>
      <b/>
      <sz val="10"/>
      <name val="Arial"/>
      <family val="2"/>
    </font>
    <font>
      <sz val="10"/>
      <name val="Arial"/>
      <family val="2"/>
    </font>
    <font>
      <b/>
      <sz val="14"/>
      <color indexed="10"/>
      <name val="Arial"/>
      <family val="2"/>
    </font>
    <font>
      <sz val="10"/>
      <color indexed="10"/>
      <name val="Arial"/>
      <family val="2"/>
    </font>
    <font>
      <sz val="10"/>
      <color rgb="FFFF0000"/>
      <name val="Arial"/>
      <family val="2"/>
    </font>
    <font>
      <b/>
      <sz val="9"/>
      <color indexed="81"/>
      <name val="Tahoma"/>
      <family val="2"/>
    </font>
    <font>
      <sz val="9"/>
      <color indexed="81"/>
      <name val="Tahoma"/>
      <family val="2"/>
    </font>
    <font>
      <b/>
      <sz val="11"/>
      <color indexed="8"/>
      <name val="Calibri"/>
      <family val="2"/>
    </font>
    <font>
      <b/>
      <sz val="16"/>
      <color rgb="FFFF00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indexed="9"/>
        <bgColor indexed="64"/>
      </patternFill>
    </fill>
    <fill>
      <patternFill patternType="solid">
        <fgColor rgb="FF66FF66"/>
        <bgColor indexed="64"/>
      </patternFill>
    </fill>
    <fill>
      <patternFill patternType="solid">
        <fgColor rgb="FFFF0000"/>
        <bgColor indexed="64"/>
      </patternFill>
    </fill>
  </fills>
  <borders count="41">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cellStyleXfs>
  <cellXfs count="201">
    <xf numFmtId="0" fontId="0" fillId="0" borderId="0" xfId="0"/>
    <xf numFmtId="0" fontId="0" fillId="0" borderId="0" xfId="0" applyBorder="1"/>
    <xf numFmtId="0" fontId="2" fillId="7" borderId="5" xfId="0" applyFont="1" applyFill="1" applyBorder="1"/>
    <xf numFmtId="0" fontId="0" fillId="0" borderId="13" xfId="0" applyBorder="1"/>
    <xf numFmtId="0" fontId="2" fillId="4" borderId="5" xfId="0" applyFont="1" applyFill="1" applyBorder="1"/>
    <xf numFmtId="0" fontId="2" fillId="7" borderId="5" xfId="0" applyFont="1" applyFill="1" applyBorder="1" applyAlignment="1">
      <alignment horizontal="left"/>
    </xf>
    <xf numFmtId="0" fontId="0" fillId="0" borderId="21" xfId="0" applyFill="1" applyBorder="1"/>
    <xf numFmtId="0" fontId="7" fillId="5" borderId="5" xfId="0" applyFont="1" applyFill="1" applyBorder="1" applyAlignment="1">
      <alignment horizontal="right"/>
    </xf>
    <xf numFmtId="0" fontId="7" fillId="5" borderId="7" xfId="0" applyFont="1" applyFill="1" applyBorder="1" applyAlignment="1">
      <alignment horizontal="right"/>
    </xf>
    <xf numFmtId="0" fontId="2" fillId="9" borderId="24" xfId="0" applyFont="1" applyFill="1" applyBorder="1" applyAlignment="1">
      <alignment horizontal="center" vertical="center"/>
    </xf>
    <xf numFmtId="0" fontId="2" fillId="9" borderId="25" xfId="0" applyFont="1" applyFill="1" applyBorder="1" applyAlignment="1">
      <alignment horizontal="center" vertical="center"/>
    </xf>
    <xf numFmtId="0" fontId="0" fillId="0" borderId="26" xfId="0" applyBorder="1"/>
    <xf numFmtId="43" fontId="2" fillId="5" borderId="20" xfId="1" applyNumberFormat="1" applyFont="1" applyFill="1" applyBorder="1" applyAlignment="1">
      <alignment horizontal="right"/>
    </xf>
    <xf numFmtId="43" fontId="2" fillId="5" borderId="22" xfId="1" applyFont="1" applyFill="1" applyBorder="1"/>
    <xf numFmtId="0" fontId="2" fillId="4" borderId="27" xfId="0" applyFont="1" applyFill="1" applyBorder="1"/>
    <xf numFmtId="0" fontId="0" fillId="0" borderId="19" xfId="0" applyBorder="1"/>
    <xf numFmtId="0" fontId="3" fillId="0" borderId="27" xfId="0" applyFont="1" applyBorder="1" applyAlignment="1">
      <alignment horizontal="left" vertical="top" wrapText="1"/>
    </xf>
    <xf numFmtId="0" fontId="2" fillId="2" borderId="27"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7" xfId="0" applyFont="1" applyFill="1" applyBorder="1" applyAlignment="1">
      <alignment horizontal="center" vertical="center"/>
    </xf>
    <xf numFmtId="0" fontId="6" fillId="0" borderId="7" xfId="0" applyFont="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left" wrapText="1"/>
    </xf>
    <xf numFmtId="43" fontId="2" fillId="5" borderId="17" xfId="1" applyNumberFormat="1" applyFont="1" applyFill="1" applyBorder="1" applyAlignment="1">
      <alignment horizontal="right"/>
    </xf>
    <xf numFmtId="43" fontId="2" fillId="5" borderId="29" xfId="1" applyFont="1" applyFill="1" applyBorder="1"/>
    <xf numFmtId="0" fontId="2" fillId="8" borderId="28" xfId="0" applyFont="1" applyFill="1" applyBorder="1" applyAlignment="1">
      <alignment horizontal="center" vertical="center"/>
    </xf>
    <xf numFmtId="0" fontId="2" fillId="8" borderId="30" xfId="0" applyFont="1" applyFill="1" applyBorder="1" applyAlignment="1">
      <alignment horizontal="center" vertical="center"/>
    </xf>
    <xf numFmtId="0" fontId="2" fillId="8" borderId="4" xfId="0" applyFont="1" applyFill="1" applyBorder="1" applyAlignment="1">
      <alignment horizontal="center" vertical="center"/>
    </xf>
    <xf numFmtId="0" fontId="3" fillId="0" borderId="7" xfId="0" applyFont="1" applyBorder="1" applyAlignment="1">
      <alignment horizontal="left" vertical="top" wrapText="1"/>
    </xf>
    <xf numFmtId="0" fontId="9" fillId="0" borderId="24" xfId="0" applyFont="1" applyFill="1" applyBorder="1" applyAlignment="1">
      <alignment horizontal="center" vertical="center"/>
    </xf>
    <xf numFmtId="0" fontId="9" fillId="0" borderId="8"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0" xfId="0" applyFont="1"/>
    <xf numFmtId="0" fontId="0" fillId="10" borderId="27" xfId="0" applyFill="1" applyBorder="1"/>
    <xf numFmtId="0" fontId="0" fillId="10" borderId="5" xfId="0" applyFill="1" applyBorder="1"/>
    <xf numFmtId="0" fontId="0" fillId="10" borderId="7" xfId="0" applyFill="1" applyBorder="1"/>
    <xf numFmtId="0" fontId="9" fillId="0" borderId="24" xfId="0" applyFont="1" applyBorder="1"/>
    <xf numFmtId="0" fontId="9" fillId="0" borderId="25" xfId="0" applyFont="1" applyBorder="1"/>
    <xf numFmtId="0" fontId="9" fillId="0" borderId="6" xfId="0" applyFont="1" applyBorder="1"/>
    <xf numFmtId="0" fontId="9" fillId="0" borderId="12" xfId="0" applyFont="1" applyBorder="1"/>
    <xf numFmtId="0" fontId="9" fillId="0" borderId="8" xfId="0" applyFont="1" applyBorder="1"/>
    <xf numFmtId="0" fontId="9" fillId="0" borderId="19" xfId="0" applyFont="1" applyBorder="1"/>
    <xf numFmtId="0" fontId="9" fillId="0" borderId="31" xfId="0" applyFont="1" applyBorder="1"/>
    <xf numFmtId="0" fontId="2" fillId="2" borderId="31" xfId="0" applyFont="1" applyFill="1" applyBorder="1" applyAlignment="1">
      <alignment horizontal="center" vertical="center"/>
    </xf>
    <xf numFmtId="0" fontId="8" fillId="6" borderId="19" xfId="0" applyFont="1" applyFill="1" applyBorder="1" applyAlignment="1" applyProtection="1">
      <alignment horizontal="center" vertical="center"/>
      <protection locked="0"/>
    </xf>
    <xf numFmtId="0" fontId="8" fillId="6" borderId="2" xfId="0" applyFont="1" applyFill="1" applyBorder="1" applyAlignment="1" applyProtection="1">
      <alignment horizontal="center" vertical="center"/>
      <protection locked="0"/>
    </xf>
    <xf numFmtId="0" fontId="0" fillId="0" borderId="0" xfId="0" quotePrefix="1"/>
    <xf numFmtId="0" fontId="0" fillId="0" borderId="25" xfId="0" applyBorder="1"/>
    <xf numFmtId="0" fontId="8" fillId="6" borderId="25" xfId="0" applyFont="1" applyFill="1" applyBorder="1" applyAlignment="1" applyProtection="1">
      <alignment horizontal="center" vertical="center"/>
      <protection locked="0"/>
    </xf>
    <xf numFmtId="0" fontId="8" fillId="6" borderId="12" xfId="0" applyFont="1" applyFill="1" applyBorder="1" applyAlignment="1" applyProtection="1">
      <alignment horizontal="center" vertical="center"/>
      <protection locked="0"/>
    </xf>
    <xf numFmtId="0" fontId="13" fillId="0" borderId="0" xfId="0" applyFont="1" applyAlignment="1">
      <alignment horizontal="center" vertical="center"/>
    </xf>
    <xf numFmtId="0" fontId="14" fillId="0" borderId="0" xfId="0" applyFont="1" applyFill="1" applyAlignment="1">
      <alignment vertical="top"/>
    </xf>
    <xf numFmtId="0" fontId="0" fillId="0" borderId="0" xfId="0" applyFill="1" applyAlignment="1">
      <alignment vertical="top" wrapText="1"/>
    </xf>
    <xf numFmtId="0" fontId="0" fillId="0" borderId="0" xfId="0" applyFill="1"/>
    <xf numFmtId="0" fontId="15" fillId="0" borderId="0" xfId="0" applyFont="1" applyFill="1"/>
    <xf numFmtId="0" fontId="0" fillId="0" borderId="0" xfId="0" applyNumberFormat="1" applyFill="1" applyAlignment="1">
      <alignment vertical="top"/>
    </xf>
    <xf numFmtId="0" fontId="0" fillId="0" borderId="0" xfId="0" applyNumberFormat="1" applyFill="1" applyAlignment="1">
      <alignment vertical="top" wrapText="1"/>
    </xf>
    <xf numFmtId="0" fontId="12" fillId="11" borderId="0" xfId="0" applyFont="1" applyFill="1"/>
    <xf numFmtId="0" fontId="0" fillId="11" borderId="0" xfId="0" applyFill="1"/>
    <xf numFmtId="0" fontId="16" fillId="11" borderId="0" xfId="0" applyFont="1" applyFill="1"/>
    <xf numFmtId="0" fontId="17" fillId="0" borderId="6" xfId="0" applyFont="1" applyFill="1" applyBorder="1" applyAlignment="1">
      <alignment wrapText="1"/>
    </xf>
    <xf numFmtId="0" fontId="0" fillId="0" borderId="0" xfId="0" applyNumberFormat="1" applyFill="1"/>
    <xf numFmtId="0" fontId="17" fillId="0" borderId="6" xfId="0" quotePrefix="1" applyFont="1" applyFill="1" applyBorder="1" applyAlignment="1">
      <alignment wrapText="1"/>
    </xf>
    <xf numFmtId="0" fontId="0" fillId="0" borderId="0" xfId="0" applyFill="1" applyAlignment="1">
      <alignment vertical="top"/>
    </xf>
    <xf numFmtId="0" fontId="0" fillId="0" borderId="12" xfId="0" applyBorder="1" applyAlignment="1">
      <alignment wrapText="1"/>
    </xf>
    <xf numFmtId="0" fontId="17" fillId="0" borderId="8" xfId="0" applyFont="1" applyBorder="1"/>
    <xf numFmtId="0" fontId="17" fillId="0" borderId="19" xfId="0" applyFont="1" applyBorder="1" applyAlignment="1">
      <alignment wrapText="1"/>
    </xf>
    <xf numFmtId="0" fontId="17" fillId="0" borderId="0" xfId="4" applyNumberFormat="1" applyFill="1" applyBorder="1"/>
    <xf numFmtId="0" fontId="1" fillId="0" borderId="0" xfId="5" applyBorder="1"/>
    <xf numFmtId="0" fontId="17" fillId="0" borderId="0" xfId="4" applyNumberFormat="1" applyFont="1" applyFill="1" applyBorder="1"/>
    <xf numFmtId="0" fontId="17" fillId="0" borderId="6" xfId="0" applyFont="1" applyBorder="1" applyAlignment="1"/>
    <xf numFmtId="0" fontId="17" fillId="0" borderId="6" xfId="0" applyFont="1" applyFill="1" applyBorder="1" applyAlignment="1"/>
    <xf numFmtId="0" fontId="0" fillId="0" borderId="16" xfId="0" applyBorder="1"/>
    <xf numFmtId="0" fontId="0" fillId="10" borderId="1" xfId="0" applyFill="1" applyBorder="1"/>
    <xf numFmtId="0" fontId="0" fillId="0" borderId="35" xfId="0" applyBorder="1"/>
    <xf numFmtId="0" fontId="0" fillId="0" borderId="18" xfId="0" applyBorder="1"/>
    <xf numFmtId="0" fontId="0" fillId="0" borderId="10" xfId="0" applyBorder="1"/>
    <xf numFmtId="0" fontId="0" fillId="0" borderId="11" xfId="0" applyBorder="1"/>
    <xf numFmtId="0" fontId="0" fillId="0" borderId="36" xfId="0" applyBorder="1"/>
    <xf numFmtId="0" fontId="16" fillId="0" borderId="0" xfId="0" applyFont="1"/>
    <xf numFmtId="0" fontId="17" fillId="0" borderId="27" xfId="0" applyFont="1" applyBorder="1" applyAlignment="1">
      <alignment vertical="top"/>
    </xf>
    <xf numFmtId="0" fontId="0" fillId="0" borderId="25" xfId="0" applyBorder="1" applyAlignment="1">
      <alignment horizontal="left" wrapText="1"/>
    </xf>
    <xf numFmtId="0" fontId="0" fillId="0" borderId="5" xfId="0" applyBorder="1" applyAlignment="1">
      <alignment horizontal="left" vertical="top" indent="1"/>
    </xf>
    <xf numFmtId="0" fontId="0" fillId="0" borderId="12" xfId="0" applyBorder="1" applyAlignment="1">
      <alignment horizontal="left" wrapText="1"/>
    </xf>
    <xf numFmtId="0" fontId="17" fillId="0" borderId="12" xfId="0" applyFont="1" applyBorder="1" applyAlignment="1">
      <alignment horizontal="left" wrapText="1"/>
    </xf>
    <xf numFmtId="15" fontId="17" fillId="0" borderId="12" xfId="0" applyNumberFormat="1" applyFont="1" applyBorder="1" applyAlignment="1">
      <alignment horizontal="left" wrapText="1"/>
    </xf>
    <xf numFmtId="0" fontId="0" fillId="0" borderId="7" xfId="0" applyBorder="1" applyAlignment="1">
      <alignment horizontal="left" vertical="top" indent="1"/>
    </xf>
    <xf numFmtId="0" fontId="0" fillId="0" borderId="19" xfId="0" applyBorder="1" applyAlignment="1">
      <alignment horizontal="left" wrapText="1"/>
    </xf>
    <xf numFmtId="0" fontId="0" fillId="0" borderId="0" xfId="0" applyAlignment="1">
      <alignment horizontal="left" vertical="top" indent="1"/>
    </xf>
    <xf numFmtId="0" fontId="0" fillId="0" borderId="0" xfId="0" applyAlignment="1">
      <alignment horizontal="left" wrapText="1"/>
    </xf>
    <xf numFmtId="0" fontId="16" fillId="0" borderId="0" xfId="0" applyFont="1" applyAlignment="1">
      <alignment horizontal="left" vertical="top"/>
    </xf>
    <xf numFmtId="0" fontId="0" fillId="0" borderId="27" xfId="0" applyBorder="1" applyAlignment="1">
      <alignment horizontal="left" vertical="top" indent="1"/>
    </xf>
    <xf numFmtId="0" fontId="17" fillId="0" borderId="25" xfId="0" applyFont="1" applyBorder="1" applyAlignment="1">
      <alignment horizontal="left" wrapText="1"/>
    </xf>
    <xf numFmtId="0" fontId="0" fillId="0" borderId="0" xfId="0" applyAlignment="1">
      <alignment vertical="top"/>
    </xf>
    <xf numFmtId="0" fontId="19" fillId="0" borderId="19" xfId="0" applyFont="1" applyBorder="1" applyAlignment="1">
      <alignment horizontal="left" wrapText="1"/>
    </xf>
    <xf numFmtId="0" fontId="16" fillId="0" borderId="0" xfId="0" applyFont="1" applyAlignment="1">
      <alignment vertical="top"/>
    </xf>
    <xf numFmtId="0" fontId="19" fillId="0" borderId="0" xfId="0" applyFont="1" applyAlignment="1">
      <alignment horizontal="left" wrapText="1"/>
    </xf>
    <xf numFmtId="0" fontId="16" fillId="0" borderId="27" xfId="0" applyFont="1" applyBorder="1" applyAlignment="1">
      <alignment vertical="top"/>
    </xf>
    <xf numFmtId="0" fontId="16" fillId="0" borderId="24" xfId="0" applyFont="1" applyBorder="1" applyAlignment="1">
      <alignment vertical="top"/>
    </xf>
    <xf numFmtId="0" fontId="16" fillId="0" borderId="25" xfId="0" applyFont="1" applyBorder="1" applyAlignment="1">
      <alignment vertical="top"/>
    </xf>
    <xf numFmtId="0" fontId="17" fillId="0" borderId="5" xfId="0" applyFont="1" applyBorder="1" applyAlignment="1">
      <alignment vertical="top"/>
    </xf>
    <xf numFmtId="0" fontId="0" fillId="0" borderId="6" xfId="0" applyBorder="1" applyAlignment="1">
      <alignment horizontal="left" wrapText="1"/>
    </xf>
    <xf numFmtId="0" fontId="0" fillId="0" borderId="12" xfId="0" applyBorder="1" applyAlignment="1">
      <alignment vertical="top"/>
    </xf>
    <xf numFmtId="0" fontId="0" fillId="0" borderId="5" xfId="0" applyBorder="1" applyAlignment="1">
      <alignment vertical="top"/>
    </xf>
    <xf numFmtId="0" fontId="17" fillId="0" borderId="7" xfId="0" applyFont="1" applyBorder="1" applyAlignment="1">
      <alignment vertical="top"/>
    </xf>
    <xf numFmtId="0" fontId="17" fillId="0" borderId="8" xfId="0" applyFont="1" applyBorder="1" applyAlignment="1">
      <alignment horizontal="left" wrapText="1"/>
    </xf>
    <xf numFmtId="0" fontId="17" fillId="0" borderId="19" xfId="0" applyFont="1" applyBorder="1" applyAlignment="1">
      <alignment vertical="top"/>
    </xf>
    <xf numFmtId="0" fontId="16" fillId="0" borderId="24" xfId="0" applyFont="1" applyBorder="1" applyAlignment="1">
      <alignment horizontal="left" wrapText="1"/>
    </xf>
    <xf numFmtId="0" fontId="16" fillId="0" borderId="24" xfId="0" applyFont="1" applyBorder="1"/>
    <xf numFmtId="0" fontId="16" fillId="0" borderId="25" xfId="0" applyFont="1" applyBorder="1" applyAlignment="1">
      <alignment horizontal="left" wrapText="1"/>
    </xf>
    <xf numFmtId="0" fontId="0" fillId="0" borderId="6" xfId="0" applyBorder="1"/>
    <xf numFmtId="14" fontId="0" fillId="0" borderId="6" xfId="0" applyNumberFormat="1" applyBorder="1"/>
    <xf numFmtId="0" fontId="0" fillId="0" borderId="12" xfId="0" applyBorder="1"/>
    <xf numFmtId="0" fontId="17" fillId="0" borderId="7" xfId="0" applyFont="1" applyFill="1" applyBorder="1" applyAlignment="1">
      <alignment vertical="top"/>
    </xf>
    <xf numFmtId="0" fontId="17" fillId="0" borderId="8" xfId="0" applyFont="1" applyBorder="1" applyAlignment="1">
      <alignment wrapText="1"/>
    </xf>
    <xf numFmtId="14" fontId="0" fillId="0" borderId="8" xfId="0" applyNumberFormat="1" applyBorder="1"/>
    <xf numFmtId="0" fontId="0" fillId="0" borderId="0" xfId="0" applyNumberFormat="1"/>
    <xf numFmtId="0" fontId="17" fillId="0" borderId="0" xfId="0" applyNumberFormat="1" applyFont="1"/>
    <xf numFmtId="0" fontId="8" fillId="6" borderId="25" xfId="0" applyFont="1" applyFill="1" applyBorder="1" applyAlignment="1" applyProtection="1">
      <alignment horizontal="left" vertical="center"/>
      <protection locked="0"/>
    </xf>
    <xf numFmtId="0" fontId="20" fillId="0" borderId="12" xfId="0" applyFont="1" applyFill="1" applyBorder="1" applyAlignment="1">
      <alignment horizontal="left" wrapText="1"/>
    </xf>
    <xf numFmtId="14" fontId="8" fillId="6" borderId="6" xfId="0" applyNumberFormat="1" applyFont="1" applyFill="1" applyBorder="1" applyAlignment="1" applyProtection="1">
      <alignment horizontal="center"/>
      <protection locked="0"/>
    </xf>
    <xf numFmtId="14" fontId="8" fillId="6" borderId="17" xfId="0" applyNumberFormat="1" applyFont="1" applyFill="1" applyBorder="1" applyAlignment="1" applyProtection="1">
      <alignment horizontal="center"/>
      <protection locked="0"/>
    </xf>
    <xf numFmtId="38" fontId="8" fillId="6" borderId="6" xfId="0" applyNumberFormat="1" applyFont="1" applyFill="1" applyBorder="1" applyProtection="1">
      <protection locked="0"/>
    </xf>
    <xf numFmtId="38" fontId="8" fillId="6" borderId="17" xfId="0" applyNumberFormat="1" applyFont="1" applyFill="1" applyBorder="1" applyProtection="1">
      <protection locked="0"/>
    </xf>
    <xf numFmtId="38" fontId="8" fillId="6" borderId="12" xfId="0" applyNumberFormat="1" applyFont="1" applyFill="1" applyBorder="1" applyProtection="1">
      <protection locked="0"/>
    </xf>
    <xf numFmtId="38" fontId="8" fillId="6" borderId="20" xfId="0" applyNumberFormat="1" applyFont="1" applyFill="1" applyBorder="1" applyProtection="1">
      <protection locked="0"/>
    </xf>
    <xf numFmtId="0" fontId="0" fillId="0" borderId="0" xfId="0" applyAlignment="1">
      <alignment horizontal="center"/>
    </xf>
    <xf numFmtId="0" fontId="0" fillId="0" borderId="0" xfId="0" applyFont="1"/>
    <xf numFmtId="0" fontId="13" fillId="2" borderId="1" xfId="0" applyFont="1" applyFill="1" applyBorder="1" applyAlignment="1">
      <alignment horizontal="center" vertical="center"/>
    </xf>
    <xf numFmtId="0" fontId="0" fillId="0" borderId="6" xfId="0" applyBorder="1" applyAlignment="1">
      <alignment wrapText="1"/>
    </xf>
    <xf numFmtId="0" fontId="0" fillId="0" borderId="6" xfId="0" quotePrefix="1" applyFill="1" applyBorder="1" applyAlignment="1">
      <alignment vertical="top" wrapText="1"/>
    </xf>
    <xf numFmtId="0" fontId="0" fillId="0" borderId="6" xfId="0" applyFill="1" applyBorder="1" applyAlignment="1">
      <alignment wrapText="1"/>
    </xf>
    <xf numFmtId="0" fontId="2" fillId="12" borderId="6" xfId="0" applyFont="1" applyFill="1" applyBorder="1"/>
    <xf numFmtId="0" fontId="2" fillId="13" borderId="6" xfId="0" applyFont="1" applyFill="1" applyBorder="1"/>
    <xf numFmtId="0" fontId="2" fillId="7" borderId="5" xfId="0" applyFont="1" applyFill="1" applyBorder="1" applyAlignment="1">
      <alignment wrapText="1"/>
    </xf>
    <xf numFmtId="0" fontId="2" fillId="7" borderId="7" xfId="0" applyFont="1" applyFill="1" applyBorder="1"/>
    <xf numFmtId="0" fontId="0" fillId="0" borderId="0" xfId="0" applyFill="1" applyBorder="1" applyAlignment="1">
      <alignment horizontal="right"/>
    </xf>
    <xf numFmtId="0" fontId="0" fillId="0" borderId="27" xfId="0" applyBorder="1"/>
    <xf numFmtId="0" fontId="0" fillId="0" borderId="24" xfId="0" applyBorder="1"/>
    <xf numFmtId="0" fontId="0" fillId="0" borderId="5" xfId="0" applyBorder="1"/>
    <xf numFmtId="0" fontId="0" fillId="0" borderId="7" xfId="0" applyBorder="1"/>
    <xf numFmtId="0" fontId="0" fillId="0" borderId="8" xfId="0" applyBorder="1"/>
    <xf numFmtId="0" fontId="2" fillId="7" borderId="1" xfId="0" applyFont="1" applyFill="1" applyBorder="1"/>
    <xf numFmtId="0" fontId="2" fillId="7" borderId="27" xfId="0" applyFont="1" applyFill="1" applyBorder="1"/>
    <xf numFmtId="43" fontId="9" fillId="0" borderId="6" xfId="1" applyFont="1" applyBorder="1"/>
    <xf numFmtId="43" fontId="9" fillId="0" borderId="24" xfId="1" applyFont="1" applyBorder="1"/>
    <xf numFmtId="43" fontId="9" fillId="0" borderId="8" xfId="1" applyFont="1" applyBorder="1"/>
    <xf numFmtId="0" fontId="9" fillId="0" borderId="19" xfId="0" applyFont="1" applyBorder="1" applyAlignment="1">
      <alignment horizontal="center"/>
    </xf>
    <xf numFmtId="0" fontId="9" fillId="0" borderId="12" xfId="0" applyFont="1" applyBorder="1" applyAlignment="1">
      <alignment horizontal="center"/>
    </xf>
    <xf numFmtId="0" fontId="2" fillId="2" borderId="1" xfId="0" applyFont="1" applyFill="1" applyBorder="1" applyAlignment="1">
      <alignment horizontal="center" vertical="center"/>
    </xf>
    <xf numFmtId="0" fontId="9" fillId="0" borderId="34" xfId="0" applyFont="1" applyBorder="1"/>
    <xf numFmtId="38" fontId="2" fillId="6" borderId="12" xfId="1" applyNumberFormat="1" applyFont="1" applyFill="1" applyBorder="1" applyAlignment="1" applyProtection="1">
      <alignment horizontal="center" vertical="center"/>
      <protection locked="0"/>
    </xf>
    <xf numFmtId="166" fontId="2" fillId="6" borderId="12" xfId="1" applyNumberFormat="1" applyFont="1" applyFill="1" applyBorder="1" applyAlignment="1" applyProtection="1">
      <alignment horizontal="center" vertical="center"/>
      <protection locked="0"/>
    </xf>
    <xf numFmtId="38" fontId="2" fillId="6" borderId="12" xfId="1" applyNumberFormat="1" applyFont="1" applyFill="1" applyBorder="1" applyAlignment="1" applyProtection="1">
      <alignment vertical="center"/>
      <protection locked="0"/>
    </xf>
    <xf numFmtId="38" fontId="2" fillId="6" borderId="29" xfId="0" applyNumberFormat="1" applyFont="1" applyFill="1" applyBorder="1" applyAlignment="1" applyProtection="1">
      <alignment vertical="center"/>
      <protection locked="0"/>
    </xf>
    <xf numFmtId="14" fontId="2" fillId="6" borderId="12" xfId="1" applyNumberFormat="1" applyFont="1" applyFill="1" applyBorder="1" applyAlignment="1" applyProtection="1">
      <alignment horizontal="center" vertical="center"/>
      <protection locked="0"/>
    </xf>
    <xf numFmtId="0" fontId="24" fillId="0" borderId="2" xfId="0" applyFont="1" applyBorder="1" applyAlignment="1">
      <alignment horizontal="center" vertical="center"/>
    </xf>
    <xf numFmtId="164" fontId="8" fillId="6" borderId="25" xfId="0" applyNumberFormat="1" applyFont="1" applyFill="1" applyBorder="1" applyProtection="1">
      <protection locked="0"/>
    </xf>
    <xf numFmtId="164" fontId="8" fillId="6" borderId="12" xfId="0" applyNumberFormat="1" applyFont="1" applyFill="1" applyBorder="1" applyProtection="1">
      <protection locked="0"/>
    </xf>
    <xf numFmtId="165" fontId="5" fillId="0" borderId="19" xfId="2" applyNumberFormat="1" applyFont="1" applyFill="1" applyBorder="1"/>
    <xf numFmtId="0" fontId="5" fillId="0" borderId="2" xfId="0" applyFont="1" applyFill="1" applyBorder="1" applyAlignment="1">
      <alignment horizontal="center" vertical="center"/>
    </xf>
    <xf numFmtId="0" fontId="0" fillId="3" borderId="2" xfId="0" applyFont="1" applyFill="1" applyBorder="1" applyAlignment="1">
      <alignment horizontal="center"/>
    </xf>
    <xf numFmtId="0" fontId="0" fillId="0" borderId="38" xfId="0" applyBorder="1"/>
    <xf numFmtId="0" fontId="0" fillId="0" borderId="39" xfId="0" applyBorder="1"/>
    <xf numFmtId="0" fontId="9" fillId="0" borderId="40" xfId="0" applyFont="1" applyBorder="1"/>
    <xf numFmtId="0" fontId="18" fillId="0" borderId="0" xfId="0" applyFont="1" applyAlignment="1">
      <alignment horizontal="left" wrapText="1"/>
    </xf>
    <xf numFmtId="0" fontId="10" fillId="0" borderId="23" xfId="0" applyFont="1" applyFill="1" applyBorder="1" applyAlignment="1">
      <alignment horizontal="center" vertical="center"/>
    </xf>
    <xf numFmtId="0" fontId="10" fillId="0" borderId="15" xfId="0" applyFont="1" applyFill="1" applyBorder="1" applyAlignment="1" applyProtection="1">
      <alignment horizontal="center" vertical="center"/>
    </xf>
    <xf numFmtId="0" fontId="10" fillId="0" borderId="15" xfId="0" applyFont="1" applyFill="1" applyBorder="1" applyAlignment="1">
      <alignment horizontal="center" vertical="center"/>
    </xf>
    <xf numFmtId="0" fontId="11" fillId="10" borderId="32" xfId="0" applyFont="1" applyFill="1" applyBorder="1" applyAlignment="1">
      <alignment horizontal="center" vertical="center" wrapText="1"/>
    </xf>
    <xf numFmtId="0" fontId="11" fillId="10" borderId="33" xfId="0" applyFont="1" applyFill="1" applyBorder="1" applyAlignment="1">
      <alignment horizontal="center" vertical="center" wrapText="1"/>
    </xf>
    <xf numFmtId="0" fontId="11" fillId="10" borderId="34"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5" fillId="0" borderId="13" xfId="0" applyFont="1" applyFill="1" applyBorder="1" applyAlignment="1">
      <alignment horizontal="center"/>
    </xf>
    <xf numFmtId="0" fontId="5" fillId="0" borderId="37" xfId="0" applyFont="1" applyFill="1" applyBorder="1" applyAlignment="1">
      <alignment horizontal="center"/>
    </xf>
    <xf numFmtId="0" fontId="5" fillId="0" borderId="36" xfId="0" applyFont="1" applyFill="1" applyBorder="1" applyAlignment="1">
      <alignment horizontal="center"/>
    </xf>
    <xf numFmtId="0" fontId="2" fillId="8" borderId="14" xfId="0" applyFont="1" applyFill="1" applyBorder="1" applyAlignment="1">
      <alignment horizontal="center" vertical="center"/>
    </xf>
    <xf numFmtId="0" fontId="2" fillId="8" borderId="23" xfId="0" applyFont="1" applyFill="1" applyBorder="1" applyAlignment="1">
      <alignment horizontal="center" vertical="center"/>
    </xf>
    <xf numFmtId="0" fontId="2" fillId="8" borderId="18" xfId="0" applyFont="1" applyFill="1" applyBorder="1" applyAlignment="1">
      <alignment horizontal="center" vertical="center"/>
    </xf>
    <xf numFmtId="0" fontId="4" fillId="3" borderId="4"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7" borderId="32" xfId="0" applyFont="1" applyFill="1" applyBorder="1" applyAlignment="1">
      <alignment horizontal="center" vertical="center"/>
    </xf>
    <xf numFmtId="0" fontId="2" fillId="7" borderId="34" xfId="0" applyFont="1"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2" fillId="2" borderId="35"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3" borderId="5" xfId="0" applyFill="1" applyBorder="1" applyAlignment="1">
      <alignment horizontal="center" wrapText="1"/>
    </xf>
    <xf numFmtId="0" fontId="0" fillId="3" borderId="12" xfId="0" applyFill="1" applyBorder="1" applyAlignment="1">
      <alignment horizontal="center" wrapText="1"/>
    </xf>
    <xf numFmtId="0" fontId="0" fillId="3" borderId="35" xfId="0" applyFill="1" applyBorder="1" applyAlignment="1">
      <alignment horizontal="center" vertical="center" wrapText="1"/>
    </xf>
    <xf numFmtId="0" fontId="0" fillId="3" borderId="23"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37" xfId="0" applyFill="1" applyBorder="1" applyAlignment="1">
      <alignment horizontal="center" vertical="center" wrapText="1"/>
    </xf>
    <xf numFmtId="0" fontId="0" fillId="3" borderId="36" xfId="0" applyFill="1" applyBorder="1" applyAlignment="1">
      <alignment horizontal="center" vertical="center" wrapText="1"/>
    </xf>
    <xf numFmtId="0" fontId="12" fillId="0" borderId="0" xfId="0" applyFont="1" applyAlignment="1">
      <alignment horizontal="center"/>
    </xf>
  </cellXfs>
  <cellStyles count="6">
    <cellStyle name="Comma" xfId="1" builtinId="3"/>
    <cellStyle name="Normal" xfId="0" builtinId="0"/>
    <cellStyle name="Normal 3" xfId="3" xr:uid="{C2E9D189-6146-47DB-BB7B-E745E47CE95B}"/>
    <cellStyle name="Normal 4" xfId="5" xr:uid="{21041FE1-9009-497A-8DBF-8FE77199777B}"/>
    <cellStyle name="Normal 4 4" xfId="4" xr:uid="{495A66D0-962D-4CF8-9E53-F99CF8AA61FC}"/>
    <cellStyle name="Percent" xfId="2" builtinId="5"/>
  </cellStyles>
  <dxfs count="19">
    <dxf>
      <font>
        <color theme="0"/>
      </font>
      <fill>
        <patternFill>
          <bgColor theme="0"/>
        </patternFill>
      </fill>
      <border>
        <left/>
        <right/>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66FF66"/>
        </patternFill>
      </fill>
    </dxf>
    <dxf>
      <font>
        <color theme="0"/>
      </font>
      <fill>
        <patternFill>
          <bgColor theme="0"/>
        </patternFill>
      </fill>
      <border>
        <left/>
        <right/>
        <top/>
        <bottom/>
        <vertical/>
        <horizontal/>
      </border>
    </dxf>
    <dxf>
      <fill>
        <patternFill>
          <bgColor rgb="FF66FF66"/>
        </patternFill>
      </fill>
    </dxf>
    <dxf>
      <font>
        <color theme="0"/>
      </font>
      <fill>
        <patternFill>
          <bgColor theme="0"/>
        </patternFill>
      </fill>
      <border>
        <left/>
        <right/>
        <top/>
        <bottom/>
        <vertical/>
        <horizontal/>
      </border>
    </dxf>
    <dxf>
      <font>
        <color theme="0"/>
      </font>
      <fill>
        <patternFill>
          <bgColor rgb="FFFFFFFF"/>
        </patternFill>
      </fill>
      <border>
        <left/>
        <right/>
        <top/>
        <bottom/>
        <vertical/>
        <horizontal/>
      </border>
    </dxf>
    <dxf>
      <fill>
        <patternFill>
          <bgColor rgb="FF66FF66"/>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right/>
        <top/>
        <bottom/>
      </border>
    </dxf>
    <dxf>
      <font>
        <color theme="0"/>
      </font>
      <fill>
        <patternFill>
          <bgColor theme="0"/>
        </patternFill>
      </fill>
      <border>
        <left/>
        <right/>
        <top/>
        <bottom/>
        <vertical/>
        <horizontal/>
      </border>
    </dxf>
    <dxf>
      <fill>
        <patternFill>
          <bgColor rgb="FF66FF66"/>
        </patternFill>
      </fill>
    </dxf>
    <dxf>
      <fill>
        <patternFill>
          <bgColor rgb="FF66FF66"/>
        </patternFill>
      </fill>
    </dxf>
    <dxf>
      <fill>
        <patternFill>
          <bgColor rgb="FF66FF66"/>
        </patternFill>
      </fill>
    </dxf>
    <dxf>
      <font>
        <color auto="1"/>
      </font>
      <fill>
        <patternFill>
          <bgColor rgb="FF66FF66"/>
        </patternFill>
      </fill>
    </dxf>
    <dxf>
      <font>
        <color auto="1"/>
      </font>
      <fill>
        <patternFill>
          <bgColor rgb="FFFF3B3B"/>
        </patternFill>
      </fill>
    </dxf>
    <dxf>
      <fill>
        <patternFill>
          <bgColor rgb="FFFF0000"/>
        </patternFill>
      </fill>
    </dxf>
    <dxf>
      <fill>
        <patternFill>
          <bgColor rgb="FFFF0000"/>
        </patternFill>
      </fill>
      <border>
        <vertical/>
        <horizontal/>
      </border>
    </dxf>
  </dxfs>
  <tableStyles count="0" defaultTableStyle="TableStyleMedium2" defaultPivotStyle="PivotStyleLight16"/>
  <colors>
    <mruColors>
      <color rgb="FF66FF66"/>
      <color rgb="FFFF3B3B"/>
      <color rgb="FFFF0000"/>
      <color rgb="FF66FF33"/>
      <color rgb="FFFFFFFF"/>
      <color rgb="FF00FF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1B344-46F9-4241-8A46-1F7E7708DDDF}">
  <sheetPr codeName="Sheet5"/>
  <dimension ref="B1:G226"/>
  <sheetViews>
    <sheetView topLeftCell="A13" workbookViewId="0">
      <selection activeCell="D33" sqref="D33"/>
    </sheetView>
  </sheetViews>
  <sheetFormatPr defaultRowHeight="14.25" x14ac:dyDescent="0.45"/>
  <cols>
    <col min="1" max="1" width="12.3984375" bestFit="1" customWidth="1"/>
    <col min="2" max="2" width="43.59765625" customWidth="1"/>
    <col min="3" max="3" width="74.59765625" customWidth="1"/>
    <col min="4" max="4" width="14.86328125" customWidth="1"/>
    <col min="5" max="5" width="15.1328125" customWidth="1"/>
    <col min="6" max="6" width="57.1328125" customWidth="1"/>
    <col min="7" max="7" width="47" customWidth="1"/>
  </cols>
  <sheetData>
    <row r="1" spans="2:3" ht="38.25" customHeight="1" x14ac:dyDescent="0.5">
      <c r="B1" s="165" t="s">
        <v>204</v>
      </c>
      <c r="C1" s="165"/>
    </row>
    <row r="3" spans="2:3" ht="14.65" thickBot="1" x14ac:dyDescent="0.5">
      <c r="B3" s="79" t="s">
        <v>168</v>
      </c>
    </row>
    <row r="4" spans="2:3" x14ac:dyDescent="0.45">
      <c r="B4" s="80" t="s">
        <v>169</v>
      </c>
      <c r="C4" s="81" t="s">
        <v>205</v>
      </c>
    </row>
    <row r="5" spans="2:3" ht="28.5" x14ac:dyDescent="0.45">
      <c r="B5" s="82" t="s">
        <v>32</v>
      </c>
      <c r="C5" s="83" t="s">
        <v>206</v>
      </c>
    </row>
    <row r="6" spans="2:3" x14ac:dyDescent="0.45">
      <c r="B6" s="82" t="s">
        <v>170</v>
      </c>
      <c r="C6" s="84" t="s">
        <v>207</v>
      </c>
    </row>
    <row r="7" spans="2:3" x14ac:dyDescent="0.45">
      <c r="B7" s="82" t="s">
        <v>171</v>
      </c>
      <c r="C7" s="84" t="s">
        <v>208</v>
      </c>
    </row>
    <row r="8" spans="2:3" x14ac:dyDescent="0.45">
      <c r="B8" s="82" t="s">
        <v>172</v>
      </c>
      <c r="C8" s="84" t="s">
        <v>209</v>
      </c>
    </row>
    <row r="9" spans="2:3" x14ac:dyDescent="0.45">
      <c r="B9" s="82" t="s">
        <v>173</v>
      </c>
      <c r="C9" s="83"/>
    </row>
    <row r="10" spans="2:3" x14ac:dyDescent="0.45">
      <c r="B10" s="82" t="s">
        <v>174</v>
      </c>
      <c r="C10" s="85" t="s">
        <v>175</v>
      </c>
    </row>
    <row r="11" spans="2:3" ht="14.65" thickBot="1" x14ac:dyDescent="0.5">
      <c r="B11" s="86" t="s">
        <v>176</v>
      </c>
      <c r="C11" s="87" t="s">
        <v>210</v>
      </c>
    </row>
    <row r="12" spans="2:3" x14ac:dyDescent="0.45">
      <c r="B12" s="88"/>
      <c r="C12" s="89"/>
    </row>
    <row r="13" spans="2:3" ht="14.65" thickBot="1" x14ac:dyDescent="0.5">
      <c r="B13" s="90" t="s">
        <v>177</v>
      </c>
      <c r="C13" s="89"/>
    </row>
    <row r="14" spans="2:3" x14ac:dyDescent="0.45">
      <c r="B14" s="91" t="s">
        <v>33</v>
      </c>
      <c r="C14" s="92" t="s">
        <v>211</v>
      </c>
    </row>
    <row r="15" spans="2:3" ht="14.65" thickBot="1" x14ac:dyDescent="0.5">
      <c r="B15" s="86" t="s">
        <v>178</v>
      </c>
      <c r="C15" s="87" t="s">
        <v>212</v>
      </c>
    </row>
    <row r="16" spans="2:3" x14ac:dyDescent="0.45">
      <c r="B16" s="93"/>
      <c r="C16" s="89"/>
    </row>
    <row r="17" spans="2:4" ht="14.65" thickBot="1" x14ac:dyDescent="0.5">
      <c r="B17" s="90" t="s">
        <v>179</v>
      </c>
      <c r="C17" s="89"/>
    </row>
    <row r="18" spans="2:4" x14ac:dyDescent="0.45">
      <c r="B18" s="91" t="s">
        <v>180</v>
      </c>
      <c r="C18" s="118" t="s">
        <v>181</v>
      </c>
    </row>
    <row r="19" spans="2:4" x14ac:dyDescent="0.45">
      <c r="B19" s="82" t="s">
        <v>182</v>
      </c>
      <c r="C19" s="83" t="s">
        <v>6</v>
      </c>
    </row>
    <row r="20" spans="2:4" x14ac:dyDescent="0.45">
      <c r="B20" s="82" t="s">
        <v>183</v>
      </c>
      <c r="C20" s="119" t="s">
        <v>213</v>
      </c>
    </row>
    <row r="21" spans="2:4" ht="28.5" x14ac:dyDescent="0.45">
      <c r="B21" s="82" t="s">
        <v>184</v>
      </c>
      <c r="C21" s="83" t="s">
        <v>214</v>
      </c>
    </row>
    <row r="22" spans="2:4" x14ac:dyDescent="0.45">
      <c r="B22" s="82" t="s">
        <v>185</v>
      </c>
      <c r="C22" s="83" t="s">
        <v>215</v>
      </c>
    </row>
    <row r="23" spans="2:4" ht="14.65" thickBot="1" x14ac:dyDescent="0.5">
      <c r="B23" s="86" t="s">
        <v>186</v>
      </c>
      <c r="C23" s="94" t="s">
        <v>187</v>
      </c>
    </row>
    <row r="24" spans="2:4" x14ac:dyDescent="0.45">
      <c r="B24" s="93"/>
      <c r="C24" s="89"/>
    </row>
    <row r="25" spans="2:4" ht="39" x14ac:dyDescent="0.45">
      <c r="B25" s="95" t="s">
        <v>188</v>
      </c>
      <c r="C25" s="96" t="s">
        <v>218</v>
      </c>
    </row>
    <row r="26" spans="2:4" x14ac:dyDescent="0.45">
      <c r="B26" s="93"/>
      <c r="C26" s="89"/>
    </row>
    <row r="27" spans="2:4" x14ac:dyDescent="0.45">
      <c r="B27" s="93"/>
      <c r="C27" s="89"/>
    </row>
    <row r="28" spans="2:4" ht="14.65" thickBot="1" x14ac:dyDescent="0.5">
      <c r="B28" s="95" t="s">
        <v>30</v>
      </c>
      <c r="C28" s="89"/>
    </row>
    <row r="29" spans="2:4" x14ac:dyDescent="0.45">
      <c r="B29" s="97" t="s">
        <v>9</v>
      </c>
      <c r="C29" s="98" t="s">
        <v>2</v>
      </c>
      <c r="D29" s="99" t="s">
        <v>189</v>
      </c>
    </row>
    <row r="30" spans="2:4" x14ac:dyDescent="0.45">
      <c r="B30" s="100" t="s">
        <v>190</v>
      </c>
      <c r="C30" s="101" t="s">
        <v>191</v>
      </c>
      <c r="D30" s="102" t="s">
        <v>192</v>
      </c>
    </row>
    <row r="31" spans="2:4" x14ac:dyDescent="0.45">
      <c r="B31" s="100" t="s">
        <v>177</v>
      </c>
      <c r="C31" s="101" t="s">
        <v>27</v>
      </c>
      <c r="D31" s="102" t="s">
        <v>192</v>
      </c>
    </row>
    <row r="32" spans="2:4" x14ac:dyDescent="0.45">
      <c r="B32" s="100" t="s">
        <v>227</v>
      </c>
      <c r="C32" s="101" t="s">
        <v>228</v>
      </c>
      <c r="D32" s="102" t="s">
        <v>192</v>
      </c>
    </row>
    <row r="33" spans="2:7" x14ac:dyDescent="0.45">
      <c r="B33" s="103" t="s">
        <v>39</v>
      </c>
      <c r="C33" s="101" t="s">
        <v>216</v>
      </c>
      <c r="D33" s="102" t="s">
        <v>193</v>
      </c>
    </row>
    <row r="34" spans="2:7" ht="26.65" thickBot="1" x14ac:dyDescent="0.5">
      <c r="B34" s="104" t="s">
        <v>62</v>
      </c>
      <c r="C34" s="105" t="s">
        <v>217</v>
      </c>
      <c r="D34" s="106" t="s">
        <v>194</v>
      </c>
    </row>
    <row r="35" spans="2:7" x14ac:dyDescent="0.45">
      <c r="B35" s="93"/>
      <c r="C35" s="89"/>
    </row>
    <row r="36" spans="2:7" ht="14.65" thickBot="1" x14ac:dyDescent="0.5">
      <c r="B36" s="95" t="s">
        <v>195</v>
      </c>
      <c r="C36" s="89"/>
    </row>
    <row r="37" spans="2:7" x14ac:dyDescent="0.45">
      <c r="B37" s="97" t="s">
        <v>196</v>
      </c>
      <c r="C37" s="107" t="s">
        <v>197</v>
      </c>
      <c r="D37" s="108" t="s">
        <v>198</v>
      </c>
      <c r="E37" s="107" t="s">
        <v>199</v>
      </c>
      <c r="F37" s="109" t="s">
        <v>200</v>
      </c>
      <c r="G37" s="109" t="s">
        <v>201</v>
      </c>
    </row>
    <row r="38" spans="2:7" ht="28.5" x14ac:dyDescent="0.45">
      <c r="B38" s="103" t="s">
        <v>202</v>
      </c>
      <c r="C38" s="101" t="s">
        <v>219</v>
      </c>
      <c r="D38" s="110" t="s">
        <v>203</v>
      </c>
      <c r="E38" s="111">
        <v>43384</v>
      </c>
      <c r="F38" s="64" t="s">
        <v>220</v>
      </c>
      <c r="G38" s="112"/>
    </row>
    <row r="39" spans="2:7" ht="14.65" thickBot="1" x14ac:dyDescent="0.5">
      <c r="B39" s="113"/>
      <c r="C39" s="114"/>
      <c r="D39" s="65"/>
      <c r="E39" s="115"/>
      <c r="F39" s="66"/>
      <c r="G39" s="66"/>
    </row>
    <row r="45" spans="2:7" x14ac:dyDescent="0.45">
      <c r="B45" s="116"/>
      <c r="C45" s="116"/>
    </row>
    <row r="46" spans="2:7" x14ac:dyDescent="0.45">
      <c r="B46" s="116"/>
      <c r="C46" s="116"/>
    </row>
    <row r="47" spans="2:7" x14ac:dyDescent="0.45">
      <c r="B47" s="116"/>
      <c r="C47" s="116"/>
    </row>
    <row r="48" spans="2:7" x14ac:dyDescent="0.45">
      <c r="B48" s="116"/>
      <c r="C48" s="116"/>
    </row>
    <row r="49" spans="2:3" x14ac:dyDescent="0.45">
      <c r="B49" s="116"/>
      <c r="C49" s="116"/>
    </row>
    <row r="50" spans="2:3" x14ac:dyDescent="0.45">
      <c r="B50" s="116"/>
      <c r="C50" s="116"/>
    </row>
    <row r="51" spans="2:3" x14ac:dyDescent="0.45">
      <c r="B51" s="116"/>
      <c r="C51" s="116"/>
    </row>
    <row r="52" spans="2:3" x14ac:dyDescent="0.45">
      <c r="B52" s="116"/>
      <c r="C52" s="116"/>
    </row>
    <row r="53" spans="2:3" x14ac:dyDescent="0.45">
      <c r="B53" s="116"/>
      <c r="C53" s="116"/>
    </row>
    <row r="54" spans="2:3" x14ac:dyDescent="0.45">
      <c r="B54" s="116"/>
      <c r="C54" s="116"/>
    </row>
    <row r="55" spans="2:3" x14ac:dyDescent="0.45">
      <c r="B55" s="116"/>
      <c r="C55" s="116"/>
    </row>
    <row r="56" spans="2:3" x14ac:dyDescent="0.45">
      <c r="B56" s="116"/>
      <c r="C56" s="116"/>
    </row>
    <row r="57" spans="2:3" x14ac:dyDescent="0.45">
      <c r="B57" s="116"/>
      <c r="C57" s="116"/>
    </row>
    <row r="58" spans="2:3" x14ac:dyDescent="0.45">
      <c r="B58" s="116"/>
      <c r="C58" s="116"/>
    </row>
    <row r="59" spans="2:3" x14ac:dyDescent="0.45">
      <c r="B59" s="116"/>
      <c r="C59" s="116"/>
    </row>
    <row r="60" spans="2:3" x14ac:dyDescent="0.45">
      <c r="B60" s="116"/>
      <c r="C60" s="116"/>
    </row>
    <row r="61" spans="2:3" x14ac:dyDescent="0.45">
      <c r="B61" s="116"/>
      <c r="C61" s="116"/>
    </row>
    <row r="62" spans="2:3" x14ac:dyDescent="0.45">
      <c r="B62" s="116"/>
      <c r="C62" s="116"/>
    </row>
    <row r="63" spans="2:3" x14ac:dyDescent="0.45">
      <c r="B63" s="116"/>
      <c r="C63" s="116"/>
    </row>
    <row r="64" spans="2:3" x14ac:dyDescent="0.45">
      <c r="B64" s="116"/>
      <c r="C64" s="116"/>
    </row>
    <row r="65" spans="2:3" x14ac:dyDescent="0.45">
      <c r="B65" s="116"/>
      <c r="C65" s="116"/>
    </row>
    <row r="66" spans="2:3" x14ac:dyDescent="0.45">
      <c r="B66" s="117"/>
      <c r="C66" s="116"/>
    </row>
    <row r="67" spans="2:3" x14ac:dyDescent="0.45">
      <c r="B67" s="116"/>
      <c r="C67" s="116"/>
    </row>
    <row r="68" spans="2:3" x14ac:dyDescent="0.45">
      <c r="B68" s="116"/>
      <c r="C68" s="116"/>
    </row>
    <row r="69" spans="2:3" x14ac:dyDescent="0.45">
      <c r="B69" s="116"/>
      <c r="C69" s="116"/>
    </row>
    <row r="70" spans="2:3" x14ac:dyDescent="0.45">
      <c r="B70" s="116"/>
      <c r="C70" s="116"/>
    </row>
    <row r="71" spans="2:3" x14ac:dyDescent="0.45">
      <c r="B71" s="116"/>
      <c r="C71" s="116"/>
    </row>
    <row r="72" spans="2:3" x14ac:dyDescent="0.45">
      <c r="B72" s="116"/>
      <c r="C72" s="116"/>
    </row>
    <row r="73" spans="2:3" x14ac:dyDescent="0.45">
      <c r="B73" s="116"/>
      <c r="C73" s="116"/>
    </row>
    <row r="74" spans="2:3" x14ac:dyDescent="0.45">
      <c r="B74" s="116"/>
      <c r="C74" s="116"/>
    </row>
    <row r="75" spans="2:3" x14ac:dyDescent="0.45">
      <c r="B75" s="116"/>
      <c r="C75" s="116"/>
    </row>
    <row r="76" spans="2:3" x14ac:dyDescent="0.45">
      <c r="B76" s="116"/>
      <c r="C76" s="116"/>
    </row>
    <row r="77" spans="2:3" x14ac:dyDescent="0.45">
      <c r="B77" s="116"/>
      <c r="C77" s="116"/>
    </row>
    <row r="78" spans="2:3" x14ac:dyDescent="0.45">
      <c r="B78" s="116"/>
      <c r="C78" s="116"/>
    </row>
    <row r="79" spans="2:3" x14ac:dyDescent="0.45">
      <c r="B79" s="116"/>
      <c r="C79" s="116"/>
    </row>
    <row r="80" spans="2:3" x14ac:dyDescent="0.45">
      <c r="B80" s="116"/>
      <c r="C80" s="116"/>
    </row>
    <row r="81" spans="2:3" x14ac:dyDescent="0.45">
      <c r="B81" s="116"/>
      <c r="C81" s="116"/>
    </row>
    <row r="82" spans="2:3" x14ac:dyDescent="0.45">
      <c r="B82" s="116"/>
      <c r="C82" s="116"/>
    </row>
    <row r="83" spans="2:3" x14ac:dyDescent="0.45">
      <c r="B83" s="116"/>
      <c r="C83" s="116"/>
    </row>
    <row r="84" spans="2:3" x14ac:dyDescent="0.45">
      <c r="B84" s="116"/>
      <c r="C84" s="116"/>
    </row>
    <row r="85" spans="2:3" x14ac:dyDescent="0.45">
      <c r="B85" s="116"/>
      <c r="C85" s="116"/>
    </row>
    <row r="86" spans="2:3" x14ac:dyDescent="0.45">
      <c r="B86" s="116"/>
      <c r="C86" s="116"/>
    </row>
    <row r="87" spans="2:3" x14ac:dyDescent="0.45">
      <c r="B87" s="116"/>
      <c r="C87" s="116"/>
    </row>
    <row r="88" spans="2:3" x14ac:dyDescent="0.45">
      <c r="B88" s="116"/>
      <c r="C88" s="116"/>
    </row>
    <row r="89" spans="2:3" x14ac:dyDescent="0.45">
      <c r="B89" s="116"/>
      <c r="C89" s="116"/>
    </row>
    <row r="90" spans="2:3" x14ac:dyDescent="0.45">
      <c r="B90" s="116"/>
      <c r="C90" s="116"/>
    </row>
    <row r="91" spans="2:3" x14ac:dyDescent="0.45">
      <c r="B91" s="116"/>
      <c r="C91" s="116"/>
    </row>
    <row r="92" spans="2:3" x14ac:dyDescent="0.45">
      <c r="B92" s="116"/>
      <c r="C92" s="116"/>
    </row>
    <row r="93" spans="2:3" x14ac:dyDescent="0.45">
      <c r="B93" s="116"/>
      <c r="C93" s="116"/>
    </row>
    <row r="94" spans="2:3" x14ac:dyDescent="0.45">
      <c r="B94" s="116"/>
      <c r="C94" s="116"/>
    </row>
    <row r="95" spans="2:3" x14ac:dyDescent="0.45">
      <c r="B95" s="116"/>
      <c r="C95" s="116"/>
    </row>
    <row r="96" spans="2:3" x14ac:dyDescent="0.45">
      <c r="B96" s="116"/>
      <c r="C96" s="116"/>
    </row>
    <row r="97" spans="2:3" x14ac:dyDescent="0.45">
      <c r="B97" s="116"/>
      <c r="C97" s="116"/>
    </row>
    <row r="98" spans="2:3" x14ac:dyDescent="0.45">
      <c r="B98" s="116"/>
      <c r="C98" s="116"/>
    </row>
    <row r="99" spans="2:3" x14ac:dyDescent="0.45">
      <c r="B99" s="116"/>
      <c r="C99" s="116"/>
    </row>
    <row r="100" spans="2:3" x14ac:dyDescent="0.45">
      <c r="B100" s="116"/>
      <c r="C100" s="116"/>
    </row>
    <row r="101" spans="2:3" x14ac:dyDescent="0.45">
      <c r="B101" s="116"/>
      <c r="C101" s="116"/>
    </row>
    <row r="102" spans="2:3" x14ac:dyDescent="0.45">
      <c r="B102" s="116"/>
      <c r="C102" s="116"/>
    </row>
    <row r="103" spans="2:3" x14ac:dyDescent="0.45">
      <c r="B103" s="116"/>
      <c r="C103" s="116"/>
    </row>
    <row r="104" spans="2:3" x14ac:dyDescent="0.45">
      <c r="B104" s="116"/>
      <c r="C104" s="116"/>
    </row>
    <row r="105" spans="2:3" x14ac:dyDescent="0.45">
      <c r="B105" s="116"/>
      <c r="C105" s="116"/>
    </row>
    <row r="106" spans="2:3" x14ac:dyDescent="0.45">
      <c r="B106" s="116"/>
      <c r="C106" s="116"/>
    </row>
    <row r="107" spans="2:3" x14ac:dyDescent="0.45">
      <c r="B107" s="116"/>
      <c r="C107" s="116"/>
    </row>
    <row r="108" spans="2:3" x14ac:dyDescent="0.45">
      <c r="B108" s="116"/>
      <c r="C108" s="116"/>
    </row>
    <row r="109" spans="2:3" x14ac:dyDescent="0.45">
      <c r="B109" s="116"/>
      <c r="C109" s="116"/>
    </row>
    <row r="110" spans="2:3" x14ac:dyDescent="0.45">
      <c r="B110" s="116"/>
      <c r="C110" s="116"/>
    </row>
    <row r="111" spans="2:3" x14ac:dyDescent="0.45">
      <c r="B111" s="116"/>
      <c r="C111" s="116"/>
    </row>
    <row r="112" spans="2:3" x14ac:dyDescent="0.45">
      <c r="B112" s="116"/>
      <c r="C112" s="116"/>
    </row>
    <row r="113" spans="2:3" x14ac:dyDescent="0.45">
      <c r="B113" s="116"/>
      <c r="C113" s="116"/>
    </row>
    <row r="114" spans="2:3" x14ac:dyDescent="0.45">
      <c r="B114" s="116"/>
      <c r="C114" s="116"/>
    </row>
    <row r="115" spans="2:3" x14ac:dyDescent="0.45">
      <c r="B115" s="116"/>
      <c r="C115" s="116"/>
    </row>
    <row r="116" spans="2:3" x14ac:dyDescent="0.45">
      <c r="B116" s="116"/>
      <c r="C116" s="116"/>
    </row>
    <row r="117" spans="2:3" x14ac:dyDescent="0.45">
      <c r="B117" s="116"/>
      <c r="C117" s="116"/>
    </row>
    <row r="118" spans="2:3" x14ac:dyDescent="0.45">
      <c r="B118" s="116"/>
      <c r="C118" s="116"/>
    </row>
    <row r="119" spans="2:3" x14ac:dyDescent="0.45">
      <c r="B119" s="116"/>
      <c r="C119" s="116"/>
    </row>
    <row r="120" spans="2:3" x14ac:dyDescent="0.45">
      <c r="B120" s="116"/>
      <c r="C120" s="116"/>
    </row>
    <row r="121" spans="2:3" x14ac:dyDescent="0.45">
      <c r="B121" s="116"/>
      <c r="C121" s="116"/>
    </row>
    <row r="122" spans="2:3" x14ac:dyDescent="0.45">
      <c r="B122" s="116"/>
      <c r="C122" s="116"/>
    </row>
    <row r="123" spans="2:3" x14ac:dyDescent="0.45">
      <c r="B123" s="116"/>
      <c r="C123" s="116"/>
    </row>
    <row r="124" spans="2:3" x14ac:dyDescent="0.45">
      <c r="B124" s="116"/>
      <c r="C124" s="116"/>
    </row>
    <row r="125" spans="2:3" x14ac:dyDescent="0.45">
      <c r="B125" s="116"/>
      <c r="C125" s="116"/>
    </row>
    <row r="126" spans="2:3" x14ac:dyDescent="0.45">
      <c r="B126" s="116"/>
      <c r="C126" s="116"/>
    </row>
    <row r="127" spans="2:3" x14ac:dyDescent="0.45">
      <c r="B127" s="116"/>
      <c r="C127" s="116"/>
    </row>
    <row r="128" spans="2:3" x14ac:dyDescent="0.45">
      <c r="B128" s="116"/>
      <c r="C128" s="116"/>
    </row>
    <row r="129" spans="2:3" x14ac:dyDescent="0.45">
      <c r="B129" s="116"/>
      <c r="C129" s="116"/>
    </row>
    <row r="130" spans="2:3" x14ac:dyDescent="0.45">
      <c r="B130" s="116"/>
      <c r="C130" s="116"/>
    </row>
    <row r="131" spans="2:3" x14ac:dyDescent="0.45">
      <c r="B131" s="116"/>
      <c r="C131" s="116"/>
    </row>
    <row r="132" spans="2:3" x14ac:dyDescent="0.45">
      <c r="B132" s="116"/>
      <c r="C132" s="116"/>
    </row>
    <row r="133" spans="2:3" x14ac:dyDescent="0.45">
      <c r="B133" s="116"/>
      <c r="C133" s="116"/>
    </row>
    <row r="134" spans="2:3" x14ac:dyDescent="0.45">
      <c r="B134" s="116"/>
      <c r="C134" s="116"/>
    </row>
    <row r="135" spans="2:3" x14ac:dyDescent="0.45">
      <c r="B135" s="116"/>
      <c r="C135" s="116"/>
    </row>
    <row r="136" spans="2:3" x14ac:dyDescent="0.45">
      <c r="B136" s="116"/>
      <c r="C136" s="116"/>
    </row>
    <row r="137" spans="2:3" x14ac:dyDescent="0.45">
      <c r="B137" s="116"/>
      <c r="C137" s="116"/>
    </row>
    <row r="138" spans="2:3" x14ac:dyDescent="0.45">
      <c r="B138" s="116"/>
      <c r="C138" s="116"/>
    </row>
    <row r="139" spans="2:3" x14ac:dyDescent="0.45">
      <c r="B139" s="116"/>
      <c r="C139" s="116"/>
    </row>
    <row r="140" spans="2:3" x14ac:dyDescent="0.45">
      <c r="B140" s="116"/>
      <c r="C140" s="116"/>
    </row>
    <row r="141" spans="2:3" x14ac:dyDescent="0.45">
      <c r="B141" s="116"/>
      <c r="C141" s="116"/>
    </row>
    <row r="142" spans="2:3" x14ac:dyDescent="0.45">
      <c r="B142" s="116"/>
      <c r="C142" s="116"/>
    </row>
    <row r="143" spans="2:3" x14ac:dyDescent="0.45">
      <c r="B143" s="116"/>
      <c r="C143" s="116"/>
    </row>
    <row r="144" spans="2:3" x14ac:dyDescent="0.45">
      <c r="B144" s="116"/>
      <c r="C144" s="116"/>
    </row>
    <row r="145" spans="2:3" x14ac:dyDescent="0.45">
      <c r="B145" s="116"/>
      <c r="C145" s="116"/>
    </row>
    <row r="146" spans="2:3" x14ac:dyDescent="0.45">
      <c r="B146" s="116"/>
      <c r="C146" s="116"/>
    </row>
    <row r="147" spans="2:3" x14ac:dyDescent="0.45">
      <c r="B147" s="116"/>
      <c r="C147" s="116"/>
    </row>
    <row r="148" spans="2:3" x14ac:dyDescent="0.45">
      <c r="B148" s="116"/>
      <c r="C148" s="116"/>
    </row>
    <row r="149" spans="2:3" x14ac:dyDescent="0.45">
      <c r="B149" s="116"/>
      <c r="C149" s="116"/>
    </row>
    <row r="150" spans="2:3" x14ac:dyDescent="0.45">
      <c r="B150" s="116"/>
      <c r="C150" s="116"/>
    </row>
    <row r="151" spans="2:3" x14ac:dyDescent="0.45">
      <c r="B151" s="116"/>
      <c r="C151" s="116"/>
    </row>
    <row r="152" spans="2:3" x14ac:dyDescent="0.45">
      <c r="B152" s="116"/>
      <c r="C152" s="116"/>
    </row>
    <row r="153" spans="2:3" x14ac:dyDescent="0.45">
      <c r="B153" s="116"/>
      <c r="C153" s="116"/>
    </row>
    <row r="154" spans="2:3" x14ac:dyDescent="0.45">
      <c r="B154" s="116"/>
      <c r="C154" s="116"/>
    </row>
    <row r="155" spans="2:3" x14ac:dyDescent="0.45">
      <c r="B155" s="116"/>
      <c r="C155" s="116"/>
    </row>
    <row r="156" spans="2:3" x14ac:dyDescent="0.45">
      <c r="B156" s="116"/>
      <c r="C156" s="116"/>
    </row>
    <row r="157" spans="2:3" x14ac:dyDescent="0.45">
      <c r="B157" s="116"/>
      <c r="C157" s="116"/>
    </row>
    <row r="158" spans="2:3" x14ac:dyDescent="0.45">
      <c r="B158" s="116"/>
      <c r="C158" s="116"/>
    </row>
    <row r="159" spans="2:3" x14ac:dyDescent="0.45">
      <c r="B159" s="116"/>
      <c r="C159" s="116"/>
    </row>
    <row r="160" spans="2:3" x14ac:dyDescent="0.45">
      <c r="B160" s="116"/>
      <c r="C160" s="116"/>
    </row>
    <row r="161" spans="2:3" x14ac:dyDescent="0.45">
      <c r="B161" s="116"/>
      <c r="C161" s="116"/>
    </row>
    <row r="162" spans="2:3" x14ac:dyDescent="0.45">
      <c r="B162" s="116"/>
      <c r="C162" s="116"/>
    </row>
    <row r="163" spans="2:3" x14ac:dyDescent="0.45">
      <c r="B163" s="116"/>
      <c r="C163" s="116"/>
    </row>
    <row r="164" spans="2:3" x14ac:dyDescent="0.45">
      <c r="B164" s="116"/>
      <c r="C164" s="116"/>
    </row>
    <row r="165" spans="2:3" x14ac:dyDescent="0.45">
      <c r="B165" s="116"/>
      <c r="C165" s="116"/>
    </row>
    <row r="166" spans="2:3" x14ac:dyDescent="0.45">
      <c r="B166" s="116"/>
      <c r="C166" s="116"/>
    </row>
    <row r="167" spans="2:3" x14ac:dyDescent="0.45">
      <c r="B167" s="116"/>
      <c r="C167" s="116"/>
    </row>
    <row r="168" spans="2:3" x14ac:dyDescent="0.45">
      <c r="B168" s="116"/>
      <c r="C168" s="116"/>
    </row>
    <row r="169" spans="2:3" x14ac:dyDescent="0.45">
      <c r="B169" s="116"/>
      <c r="C169" s="116"/>
    </row>
    <row r="170" spans="2:3" x14ac:dyDescent="0.45">
      <c r="B170" s="116"/>
      <c r="C170" s="116"/>
    </row>
    <row r="171" spans="2:3" x14ac:dyDescent="0.45">
      <c r="B171" s="116"/>
      <c r="C171" s="116"/>
    </row>
    <row r="172" spans="2:3" x14ac:dyDescent="0.45">
      <c r="B172" s="116"/>
      <c r="C172" s="116"/>
    </row>
    <row r="173" spans="2:3" x14ac:dyDescent="0.45">
      <c r="B173" s="116"/>
      <c r="C173" s="116"/>
    </row>
    <row r="174" spans="2:3" x14ac:dyDescent="0.45">
      <c r="B174" s="116"/>
      <c r="C174" s="116"/>
    </row>
    <row r="175" spans="2:3" x14ac:dyDescent="0.45">
      <c r="B175" s="116"/>
      <c r="C175" s="116"/>
    </row>
    <row r="176" spans="2:3" x14ac:dyDescent="0.45">
      <c r="B176" s="116"/>
      <c r="C176" s="116"/>
    </row>
    <row r="177" spans="2:3" x14ac:dyDescent="0.45">
      <c r="B177" s="116"/>
      <c r="C177" s="116"/>
    </row>
    <row r="178" spans="2:3" x14ac:dyDescent="0.45">
      <c r="B178" s="116"/>
      <c r="C178" s="116"/>
    </row>
    <row r="179" spans="2:3" x14ac:dyDescent="0.45">
      <c r="B179" s="116"/>
      <c r="C179" s="116"/>
    </row>
    <row r="180" spans="2:3" x14ac:dyDescent="0.45">
      <c r="B180" s="116"/>
      <c r="C180" s="116"/>
    </row>
    <row r="181" spans="2:3" x14ac:dyDescent="0.45">
      <c r="B181" s="116"/>
      <c r="C181" s="116"/>
    </row>
    <row r="182" spans="2:3" x14ac:dyDescent="0.45">
      <c r="B182" s="116"/>
      <c r="C182" s="116"/>
    </row>
    <row r="183" spans="2:3" x14ac:dyDescent="0.45">
      <c r="B183" s="116"/>
      <c r="C183" s="116"/>
    </row>
    <row r="184" spans="2:3" x14ac:dyDescent="0.45">
      <c r="B184" s="116"/>
      <c r="C184" s="116"/>
    </row>
    <row r="185" spans="2:3" x14ac:dyDescent="0.45">
      <c r="B185" s="116"/>
      <c r="C185" s="116"/>
    </row>
    <row r="186" spans="2:3" x14ac:dyDescent="0.45">
      <c r="B186" s="116"/>
      <c r="C186" s="116"/>
    </row>
    <row r="187" spans="2:3" x14ac:dyDescent="0.45">
      <c r="B187" s="116"/>
      <c r="C187" s="116"/>
    </row>
    <row r="188" spans="2:3" x14ac:dyDescent="0.45">
      <c r="B188" s="116"/>
      <c r="C188" s="116"/>
    </row>
    <row r="189" spans="2:3" x14ac:dyDescent="0.45">
      <c r="B189" s="116"/>
      <c r="C189" s="116"/>
    </row>
    <row r="190" spans="2:3" x14ac:dyDescent="0.45">
      <c r="B190" s="116"/>
      <c r="C190" s="116"/>
    </row>
    <row r="191" spans="2:3" x14ac:dyDescent="0.45">
      <c r="B191" s="116"/>
      <c r="C191" s="116"/>
    </row>
    <row r="192" spans="2:3" x14ac:dyDescent="0.45">
      <c r="B192" s="116"/>
      <c r="C192" s="116"/>
    </row>
    <row r="193" spans="2:3" x14ac:dyDescent="0.45">
      <c r="B193" s="116"/>
      <c r="C193" s="116"/>
    </row>
    <row r="194" spans="2:3" x14ac:dyDescent="0.45">
      <c r="B194" s="116"/>
      <c r="C194" s="116"/>
    </row>
    <row r="195" spans="2:3" x14ac:dyDescent="0.45">
      <c r="B195" s="116"/>
      <c r="C195" s="116"/>
    </row>
    <row r="196" spans="2:3" x14ac:dyDescent="0.45">
      <c r="B196" s="116"/>
      <c r="C196" s="116"/>
    </row>
    <row r="197" spans="2:3" x14ac:dyDescent="0.45">
      <c r="B197" s="116"/>
      <c r="C197" s="116"/>
    </row>
    <row r="198" spans="2:3" x14ac:dyDescent="0.45">
      <c r="B198" s="116"/>
      <c r="C198" s="116"/>
    </row>
    <row r="199" spans="2:3" x14ac:dyDescent="0.45">
      <c r="B199" s="116"/>
      <c r="C199" s="116"/>
    </row>
    <row r="200" spans="2:3" x14ac:dyDescent="0.45">
      <c r="B200" s="116"/>
      <c r="C200" s="116"/>
    </row>
    <row r="201" spans="2:3" x14ac:dyDescent="0.45">
      <c r="B201" s="116"/>
      <c r="C201" s="116"/>
    </row>
    <row r="202" spans="2:3" x14ac:dyDescent="0.45">
      <c r="B202" s="116"/>
      <c r="C202" s="116"/>
    </row>
    <row r="203" spans="2:3" x14ac:dyDescent="0.45">
      <c r="B203" s="116"/>
      <c r="C203" s="116"/>
    </row>
    <row r="204" spans="2:3" x14ac:dyDescent="0.45">
      <c r="B204" s="116"/>
      <c r="C204" s="116"/>
    </row>
    <row r="205" spans="2:3" x14ac:dyDescent="0.45">
      <c r="B205" s="116"/>
      <c r="C205" s="116"/>
    </row>
    <row r="206" spans="2:3" x14ac:dyDescent="0.45">
      <c r="B206" s="116"/>
      <c r="C206" s="116"/>
    </row>
    <row r="207" spans="2:3" x14ac:dyDescent="0.45">
      <c r="B207" s="116"/>
      <c r="C207" s="116"/>
    </row>
    <row r="208" spans="2:3" x14ac:dyDescent="0.45">
      <c r="B208" s="116"/>
      <c r="C208" s="116"/>
    </row>
    <row r="209" spans="2:3" x14ac:dyDescent="0.45">
      <c r="B209" s="116"/>
      <c r="C209" s="116"/>
    </row>
    <row r="210" spans="2:3" x14ac:dyDescent="0.45">
      <c r="B210" s="116"/>
      <c r="C210" s="116"/>
    </row>
    <row r="211" spans="2:3" x14ac:dyDescent="0.45">
      <c r="B211" s="116"/>
      <c r="C211" s="116"/>
    </row>
    <row r="212" spans="2:3" x14ac:dyDescent="0.45">
      <c r="B212" s="116"/>
      <c r="C212" s="116"/>
    </row>
    <row r="213" spans="2:3" x14ac:dyDescent="0.45">
      <c r="B213" s="116"/>
      <c r="C213" s="116"/>
    </row>
    <row r="214" spans="2:3" x14ac:dyDescent="0.45">
      <c r="B214" s="116"/>
      <c r="C214" s="116"/>
    </row>
    <row r="215" spans="2:3" x14ac:dyDescent="0.45">
      <c r="B215" s="116"/>
      <c r="C215" s="116"/>
    </row>
    <row r="216" spans="2:3" x14ac:dyDescent="0.45">
      <c r="B216" s="116"/>
      <c r="C216" s="116"/>
    </row>
    <row r="217" spans="2:3" x14ac:dyDescent="0.45">
      <c r="B217" s="116"/>
      <c r="C217" s="116"/>
    </row>
    <row r="218" spans="2:3" x14ac:dyDescent="0.45">
      <c r="B218" s="116"/>
      <c r="C218" s="116"/>
    </row>
    <row r="219" spans="2:3" x14ac:dyDescent="0.45">
      <c r="B219" s="116"/>
      <c r="C219" s="116"/>
    </row>
    <row r="220" spans="2:3" x14ac:dyDescent="0.45">
      <c r="B220" s="116"/>
      <c r="C220" s="116"/>
    </row>
    <row r="221" spans="2:3" x14ac:dyDescent="0.45">
      <c r="B221" s="116"/>
      <c r="C221" s="116"/>
    </row>
    <row r="222" spans="2:3" x14ac:dyDescent="0.45">
      <c r="B222" s="116"/>
      <c r="C222" s="116"/>
    </row>
    <row r="223" spans="2:3" x14ac:dyDescent="0.45">
      <c r="B223" s="116"/>
      <c r="C223" s="116"/>
    </row>
    <row r="224" spans="2:3" x14ac:dyDescent="0.45">
      <c r="B224" s="116"/>
      <c r="C224" s="116"/>
    </row>
    <row r="225" spans="2:3" x14ac:dyDescent="0.45">
      <c r="B225" s="116"/>
      <c r="C225" s="116"/>
    </row>
    <row r="226" spans="2:3" x14ac:dyDescent="0.45">
      <c r="B226" s="116"/>
      <c r="C226" s="116"/>
    </row>
  </sheetData>
  <sheetProtection algorithmName="SHA-512" hashValue="jYJbCE7DLnn09iFxUG1a7qKPDHxqA0TRzcfeFsGmpkVuk4R+uyrO/M5/sSqRHN0JXD5tKrNgUT0ke5o7PqaRcg==" saltValue="J0StF3WIadZcJiNF0+DOgw==" spinCount="100000" sheet="1" objects="1" scenarios="1"/>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41A0-9365-4D62-B1E8-C000564D5A0D}">
  <sheetPr codeName="Sheet6"/>
  <dimension ref="A1:G366"/>
  <sheetViews>
    <sheetView showGridLines="0" topLeftCell="A70" workbookViewId="0">
      <selection activeCell="C97" sqref="C97"/>
    </sheetView>
  </sheetViews>
  <sheetFormatPr defaultColWidth="39.3984375" defaultRowHeight="14.25" x14ac:dyDescent="0.45"/>
  <cols>
    <col min="1" max="1" width="39.3984375" style="63"/>
    <col min="2" max="2" width="39.3984375" style="52"/>
    <col min="3" max="3" width="88.1328125" style="52" customWidth="1"/>
    <col min="4" max="4" width="63.59765625" style="53" customWidth="1"/>
    <col min="5" max="16384" width="39.3984375" style="53"/>
  </cols>
  <sheetData>
    <row r="1" spans="1:5" ht="20.65" x14ac:dyDescent="0.45">
      <c r="A1" s="51" t="s">
        <v>221</v>
      </c>
    </row>
    <row r="2" spans="1:5" s="54" customFormat="1" ht="15" x14ac:dyDescent="0.4">
      <c r="A2" s="55"/>
      <c r="B2" s="56"/>
      <c r="C2" s="52"/>
    </row>
    <row r="3" spans="1:5" s="54" customFormat="1" ht="18" x14ac:dyDescent="0.55000000000000004">
      <c r="A3" s="57" t="s">
        <v>27</v>
      </c>
      <c r="B3" s="58"/>
      <c r="C3" s="58"/>
      <c r="D3" s="58"/>
    </row>
    <row r="4" spans="1:5" x14ac:dyDescent="0.45">
      <c r="A4" s="59" t="s">
        <v>28</v>
      </c>
      <c r="B4" s="58"/>
      <c r="C4" s="58"/>
      <c r="D4" s="58"/>
    </row>
    <row r="5" spans="1:5" x14ac:dyDescent="0.45">
      <c r="A5" s="59" t="s">
        <v>29</v>
      </c>
      <c r="B5" s="59" t="s">
        <v>30</v>
      </c>
      <c r="C5" s="59" t="s">
        <v>31</v>
      </c>
      <c r="D5" s="59" t="s">
        <v>32</v>
      </c>
    </row>
    <row r="6" spans="1:5" x14ac:dyDescent="0.45">
      <c r="A6" s="60" t="s">
        <v>38</v>
      </c>
      <c r="B6" s="70" t="s">
        <v>39</v>
      </c>
      <c r="C6" s="62" t="s">
        <v>37</v>
      </c>
      <c r="D6" s="60" t="s">
        <v>40</v>
      </c>
    </row>
    <row r="7" spans="1:5" ht="26.25" x14ac:dyDescent="0.45">
      <c r="A7" s="71" t="s">
        <v>44</v>
      </c>
      <c r="B7" s="70" t="s">
        <v>39</v>
      </c>
      <c r="C7" s="62" t="s">
        <v>43</v>
      </c>
      <c r="D7" s="60" t="s">
        <v>45</v>
      </c>
    </row>
    <row r="8" spans="1:5" ht="26.25" x14ac:dyDescent="0.45">
      <c r="A8" s="71" t="s">
        <v>48</v>
      </c>
      <c r="B8" s="70" t="s">
        <v>39</v>
      </c>
      <c r="C8" s="62" t="s">
        <v>47</v>
      </c>
      <c r="D8" s="60" t="s">
        <v>46</v>
      </c>
    </row>
    <row r="9" spans="1:5" ht="26.25" x14ac:dyDescent="0.45">
      <c r="A9" s="71" t="s">
        <v>41</v>
      </c>
      <c r="B9" s="70" t="s">
        <v>39</v>
      </c>
      <c r="C9" s="62" t="s">
        <v>230</v>
      </c>
      <c r="D9" s="60" t="s">
        <v>42</v>
      </c>
      <c r="E9" s="61"/>
    </row>
    <row r="10" spans="1:5" ht="26.25" x14ac:dyDescent="0.45">
      <c r="A10" s="71" t="s">
        <v>50</v>
      </c>
      <c r="B10" s="70" t="s">
        <v>39</v>
      </c>
      <c r="C10" s="62" t="s">
        <v>49</v>
      </c>
      <c r="D10" s="60" t="s">
        <v>52</v>
      </c>
      <c r="E10" s="61"/>
    </row>
    <row r="11" spans="1:5" ht="39" x14ac:dyDescent="0.45">
      <c r="A11" s="71" t="s">
        <v>53</v>
      </c>
      <c r="B11" s="70" t="s">
        <v>39</v>
      </c>
      <c r="C11" s="62" t="s">
        <v>231</v>
      </c>
      <c r="D11" s="60" t="s">
        <v>51</v>
      </c>
    </row>
    <row r="12" spans="1:5" ht="26.25" x14ac:dyDescent="0.45">
      <c r="A12" s="71" t="s">
        <v>233</v>
      </c>
      <c r="B12" s="70" t="s">
        <v>39</v>
      </c>
      <c r="C12" s="62" t="s">
        <v>232</v>
      </c>
      <c r="D12" s="60" t="s">
        <v>54</v>
      </c>
    </row>
    <row r="13" spans="1:5" ht="26.25" x14ac:dyDescent="0.45">
      <c r="A13" s="71" t="s">
        <v>235</v>
      </c>
      <c r="B13" s="70" t="s">
        <v>39</v>
      </c>
      <c r="C13" s="62" t="s">
        <v>234</v>
      </c>
      <c r="D13" s="60" t="s">
        <v>55</v>
      </c>
    </row>
    <row r="14" spans="1:5" ht="26.25" x14ac:dyDescent="0.45">
      <c r="A14" s="71" t="s">
        <v>56</v>
      </c>
      <c r="B14" s="70" t="s">
        <v>39</v>
      </c>
      <c r="C14" s="62" t="s">
        <v>236</v>
      </c>
      <c r="D14" s="60" t="s">
        <v>57</v>
      </c>
    </row>
    <row r="15" spans="1:5" ht="26.25" x14ac:dyDescent="0.45">
      <c r="A15" s="71" t="s">
        <v>58</v>
      </c>
      <c r="B15" s="70" t="s">
        <v>39</v>
      </c>
      <c r="C15" s="62" t="s">
        <v>237</v>
      </c>
      <c r="D15" s="60" t="s">
        <v>59</v>
      </c>
    </row>
    <row r="16" spans="1:5" ht="39" x14ac:dyDescent="0.45">
      <c r="A16" s="71" t="s">
        <v>60</v>
      </c>
      <c r="B16" s="70" t="s">
        <v>39</v>
      </c>
      <c r="C16" s="62" t="s">
        <v>238</v>
      </c>
      <c r="D16" s="60" t="s">
        <v>61</v>
      </c>
    </row>
    <row r="17" spans="1:4" x14ac:dyDescent="0.45">
      <c r="A17" s="71" t="s">
        <v>240</v>
      </c>
      <c r="B17" s="70" t="s">
        <v>39</v>
      </c>
      <c r="C17" s="62" t="s">
        <v>239</v>
      </c>
      <c r="D17" s="60" t="s">
        <v>241</v>
      </c>
    </row>
    <row r="18" spans="1:4" x14ac:dyDescent="0.45">
      <c r="A18" s="71" t="s">
        <v>243</v>
      </c>
      <c r="B18" s="70" t="s">
        <v>62</v>
      </c>
      <c r="C18" s="62" t="s">
        <v>63</v>
      </c>
      <c r="D18" s="60" t="s">
        <v>64</v>
      </c>
    </row>
    <row r="19" spans="1:4" ht="26.25" x14ac:dyDescent="0.45">
      <c r="A19" s="71" t="s">
        <v>244</v>
      </c>
      <c r="B19" s="70" t="s">
        <v>62</v>
      </c>
      <c r="C19" s="62" t="s">
        <v>242</v>
      </c>
      <c r="D19" s="60" t="s">
        <v>65</v>
      </c>
    </row>
    <row r="20" spans="1:4" x14ac:dyDescent="0.45">
      <c r="A20" s="71" t="s">
        <v>245</v>
      </c>
      <c r="B20" s="70" t="s">
        <v>62</v>
      </c>
      <c r="C20" s="62" t="s">
        <v>246</v>
      </c>
      <c r="D20" s="60" t="s">
        <v>66</v>
      </c>
    </row>
    <row r="21" spans="1:4" ht="26.25" x14ac:dyDescent="0.45">
      <c r="A21" s="71" t="s">
        <v>248</v>
      </c>
      <c r="B21" s="70" t="s">
        <v>62</v>
      </c>
      <c r="C21" s="62" t="s">
        <v>247</v>
      </c>
      <c r="D21" s="60" t="s">
        <v>251</v>
      </c>
    </row>
    <row r="22" spans="1:4" x14ac:dyDescent="0.45">
      <c r="A22" s="71" t="s">
        <v>249</v>
      </c>
      <c r="B22" s="70" t="s">
        <v>62</v>
      </c>
      <c r="C22" s="62" t="s">
        <v>250</v>
      </c>
      <c r="D22" s="60" t="s">
        <v>252</v>
      </c>
    </row>
    <row r="23" spans="1:4" ht="39" x14ac:dyDescent="0.45">
      <c r="A23" s="71" t="s">
        <v>254</v>
      </c>
      <c r="B23" s="70" t="s">
        <v>62</v>
      </c>
      <c r="C23" s="62" t="s">
        <v>253</v>
      </c>
      <c r="D23" s="60" t="s">
        <v>67</v>
      </c>
    </row>
    <row r="24" spans="1:4" ht="26.25" x14ac:dyDescent="0.45">
      <c r="A24" s="71" t="s">
        <v>255</v>
      </c>
      <c r="B24" s="70" t="s">
        <v>62</v>
      </c>
      <c r="C24" s="62" t="s">
        <v>256</v>
      </c>
      <c r="D24" s="60" t="s">
        <v>257</v>
      </c>
    </row>
    <row r="25" spans="1:4" ht="39" x14ac:dyDescent="0.45">
      <c r="A25" s="71" t="s">
        <v>258</v>
      </c>
      <c r="B25" s="70" t="s">
        <v>62</v>
      </c>
      <c r="C25" s="62" t="s">
        <v>259</v>
      </c>
      <c r="D25" s="60" t="s">
        <v>260</v>
      </c>
    </row>
    <row r="26" spans="1:4" ht="26.25" x14ac:dyDescent="0.45">
      <c r="A26" s="71" t="s">
        <v>262</v>
      </c>
      <c r="B26" s="70" t="s">
        <v>62</v>
      </c>
      <c r="C26" s="62" t="s">
        <v>261</v>
      </c>
      <c r="D26" s="60" t="s">
        <v>263</v>
      </c>
    </row>
    <row r="27" spans="1:4" x14ac:dyDescent="0.45">
      <c r="A27" s="71" t="s">
        <v>264</v>
      </c>
      <c r="B27" s="70" t="s">
        <v>62</v>
      </c>
      <c r="C27" s="62" t="s">
        <v>265</v>
      </c>
      <c r="D27" s="60" t="s">
        <v>266</v>
      </c>
    </row>
    <row r="28" spans="1:4" ht="26.25" x14ac:dyDescent="0.45">
      <c r="A28" s="71" t="s">
        <v>267</v>
      </c>
      <c r="B28" s="70" t="s">
        <v>62</v>
      </c>
      <c r="C28" s="62" t="s">
        <v>268</v>
      </c>
      <c r="D28" s="60" t="s">
        <v>269</v>
      </c>
    </row>
    <row r="29" spans="1:4" ht="39" x14ac:dyDescent="0.45">
      <c r="A29" s="71" t="s">
        <v>270</v>
      </c>
      <c r="B29" s="70" t="s">
        <v>62</v>
      </c>
      <c r="C29" s="62" t="s">
        <v>271</v>
      </c>
      <c r="D29" s="60" t="s">
        <v>272</v>
      </c>
    </row>
    <row r="30" spans="1:4" ht="39" x14ac:dyDescent="0.45">
      <c r="A30" s="71" t="s">
        <v>273</v>
      </c>
      <c r="B30" s="70" t="s">
        <v>62</v>
      </c>
      <c r="C30" s="62" t="s">
        <v>274</v>
      </c>
      <c r="D30" s="60" t="s">
        <v>275</v>
      </c>
    </row>
    <row r="33" spans="1:2" ht="14.65" thickBot="1" x14ac:dyDescent="0.5">
      <c r="A33" s="59" t="s">
        <v>34</v>
      </c>
      <c r="B33" s="59" t="s">
        <v>35</v>
      </c>
    </row>
    <row r="34" spans="1:2" x14ac:dyDescent="0.45">
      <c r="A34" s="74" t="s">
        <v>68</v>
      </c>
      <c r="B34" s="75" t="s">
        <v>69</v>
      </c>
    </row>
    <row r="35" spans="1:2" x14ac:dyDescent="0.45">
      <c r="A35" s="76" t="s">
        <v>70</v>
      </c>
      <c r="B35" s="77" t="s">
        <v>71</v>
      </c>
    </row>
    <row r="36" spans="1:2" x14ac:dyDescent="0.45">
      <c r="A36" s="76" t="s">
        <v>72</v>
      </c>
      <c r="B36" s="77" t="s">
        <v>73</v>
      </c>
    </row>
    <row r="37" spans="1:2" x14ac:dyDescent="0.45">
      <c r="A37" s="76" t="s">
        <v>74</v>
      </c>
      <c r="B37" s="77" t="s">
        <v>75</v>
      </c>
    </row>
    <row r="38" spans="1:2" x14ac:dyDescent="0.45">
      <c r="A38" s="76" t="s">
        <v>76</v>
      </c>
      <c r="B38" s="77" t="s">
        <v>77</v>
      </c>
    </row>
    <row r="39" spans="1:2" x14ac:dyDescent="0.45">
      <c r="A39" s="76" t="s">
        <v>78</v>
      </c>
      <c r="B39" s="77" t="s">
        <v>89</v>
      </c>
    </row>
    <row r="40" spans="1:2" x14ac:dyDescent="0.45">
      <c r="A40" s="76" t="s">
        <v>222</v>
      </c>
      <c r="B40" s="77" t="s">
        <v>225</v>
      </c>
    </row>
    <row r="41" spans="1:2" x14ac:dyDescent="0.45">
      <c r="A41" s="76" t="s">
        <v>80</v>
      </c>
      <c r="B41" s="77" t="s">
        <v>81</v>
      </c>
    </row>
    <row r="42" spans="1:2" x14ac:dyDescent="0.45">
      <c r="A42" s="76" t="s">
        <v>82</v>
      </c>
      <c r="B42" s="77" t="s">
        <v>83</v>
      </c>
    </row>
    <row r="43" spans="1:2" x14ac:dyDescent="0.45">
      <c r="A43" s="76" t="s">
        <v>84</v>
      </c>
      <c r="B43" s="77" t="s">
        <v>85</v>
      </c>
    </row>
    <row r="44" spans="1:2" x14ac:dyDescent="0.45">
      <c r="A44" s="76" t="s">
        <v>86</v>
      </c>
      <c r="B44" s="77" t="s">
        <v>87</v>
      </c>
    </row>
    <row r="45" spans="1:2" x14ac:dyDescent="0.45">
      <c r="A45" s="76" t="s">
        <v>88</v>
      </c>
      <c r="B45" s="77" t="s">
        <v>79</v>
      </c>
    </row>
    <row r="46" spans="1:2" x14ac:dyDescent="0.45">
      <c r="A46" s="76" t="s">
        <v>224</v>
      </c>
      <c r="B46" s="77" t="s">
        <v>223</v>
      </c>
    </row>
    <row r="47" spans="1:2" x14ac:dyDescent="0.45">
      <c r="A47" s="76" t="s">
        <v>90</v>
      </c>
      <c r="B47" s="77" t="s">
        <v>91</v>
      </c>
    </row>
    <row r="48" spans="1:2" x14ac:dyDescent="0.45">
      <c r="A48" s="76" t="s">
        <v>92</v>
      </c>
      <c r="B48" s="77" t="s">
        <v>93</v>
      </c>
    </row>
    <row r="49" spans="1:2" x14ac:dyDescent="0.45">
      <c r="A49" s="76" t="s">
        <v>94</v>
      </c>
      <c r="B49" s="77" t="s">
        <v>95</v>
      </c>
    </row>
    <row r="50" spans="1:2" x14ac:dyDescent="0.45">
      <c r="A50" s="76" t="s">
        <v>96</v>
      </c>
      <c r="B50" s="77" t="s">
        <v>97</v>
      </c>
    </row>
    <row r="51" spans="1:2" x14ac:dyDescent="0.45">
      <c r="A51" s="76" t="s">
        <v>98</v>
      </c>
      <c r="B51" s="77" t="s">
        <v>99</v>
      </c>
    </row>
    <row r="52" spans="1:2" x14ac:dyDescent="0.45">
      <c r="A52" s="76" t="s">
        <v>100</v>
      </c>
      <c r="B52" s="77" t="s">
        <v>101</v>
      </c>
    </row>
    <row r="53" spans="1:2" x14ac:dyDescent="0.45">
      <c r="A53" s="76" t="s">
        <v>102</v>
      </c>
      <c r="B53" s="77" t="s">
        <v>103</v>
      </c>
    </row>
    <row r="54" spans="1:2" x14ac:dyDescent="0.45">
      <c r="A54" s="76" t="s">
        <v>104</v>
      </c>
      <c r="B54" s="77" t="s">
        <v>105</v>
      </c>
    </row>
    <row r="55" spans="1:2" x14ac:dyDescent="0.45">
      <c r="A55" s="76" t="s">
        <v>106</v>
      </c>
      <c r="B55" s="77" t="s">
        <v>107</v>
      </c>
    </row>
    <row r="56" spans="1:2" x14ac:dyDescent="0.45">
      <c r="A56" s="76" t="s">
        <v>108</v>
      </c>
      <c r="B56" s="77" t="s">
        <v>109</v>
      </c>
    </row>
    <row r="57" spans="1:2" x14ac:dyDescent="0.45">
      <c r="A57" s="76" t="s">
        <v>110</v>
      </c>
      <c r="B57" s="77" t="s">
        <v>111</v>
      </c>
    </row>
    <row r="58" spans="1:2" x14ac:dyDescent="0.45">
      <c r="A58" s="76" t="s">
        <v>112</v>
      </c>
      <c r="B58" s="77" t="s">
        <v>113</v>
      </c>
    </row>
    <row r="59" spans="1:2" x14ac:dyDescent="0.45">
      <c r="A59" s="76" t="s">
        <v>114</v>
      </c>
      <c r="B59" s="77" t="s">
        <v>115</v>
      </c>
    </row>
    <row r="60" spans="1:2" x14ac:dyDescent="0.45">
      <c r="A60" s="76" t="s">
        <v>116</v>
      </c>
      <c r="B60" s="77" t="s">
        <v>117</v>
      </c>
    </row>
    <row r="61" spans="1:2" x14ac:dyDescent="0.45">
      <c r="A61" s="76" t="s">
        <v>118</v>
      </c>
      <c r="B61" s="77" t="s">
        <v>119</v>
      </c>
    </row>
    <row r="62" spans="1:2" x14ac:dyDescent="0.45">
      <c r="A62" s="76" t="s">
        <v>120</v>
      </c>
      <c r="B62" s="77" t="s">
        <v>121</v>
      </c>
    </row>
    <row r="63" spans="1:2" x14ac:dyDescent="0.45">
      <c r="A63" s="76" t="s">
        <v>122</v>
      </c>
      <c r="B63" s="77" t="s">
        <v>123</v>
      </c>
    </row>
    <row r="64" spans="1:2" x14ac:dyDescent="0.45">
      <c r="A64" s="76" t="s">
        <v>124</v>
      </c>
      <c r="B64" s="77" t="s">
        <v>125</v>
      </c>
    </row>
    <row r="65" spans="1:2" x14ac:dyDescent="0.45">
      <c r="A65" s="76" t="s">
        <v>126</v>
      </c>
      <c r="B65" s="77" t="s">
        <v>127</v>
      </c>
    </row>
    <row r="66" spans="1:2" x14ac:dyDescent="0.45">
      <c r="A66" s="76" t="s">
        <v>128</v>
      </c>
      <c r="B66" s="77" t="s">
        <v>129</v>
      </c>
    </row>
    <row r="67" spans="1:2" x14ac:dyDescent="0.45">
      <c r="A67" s="76" t="s">
        <v>130</v>
      </c>
      <c r="B67" s="77" t="s">
        <v>131</v>
      </c>
    </row>
    <row r="68" spans="1:2" x14ac:dyDescent="0.45">
      <c r="A68" s="76" t="s">
        <v>132</v>
      </c>
      <c r="B68" s="77" t="s">
        <v>133</v>
      </c>
    </row>
    <row r="69" spans="1:2" x14ac:dyDescent="0.45">
      <c r="A69" s="76" t="s">
        <v>134</v>
      </c>
      <c r="B69" s="77" t="s">
        <v>135</v>
      </c>
    </row>
    <row r="70" spans="1:2" x14ac:dyDescent="0.45">
      <c r="A70" s="76" t="s">
        <v>136</v>
      </c>
      <c r="B70" s="77" t="s">
        <v>137</v>
      </c>
    </row>
    <row r="71" spans="1:2" x14ac:dyDescent="0.45">
      <c r="A71" s="76" t="s">
        <v>138</v>
      </c>
      <c r="B71" s="77" t="s">
        <v>139</v>
      </c>
    </row>
    <row r="72" spans="1:2" x14ac:dyDescent="0.45">
      <c r="A72" s="76" t="s">
        <v>140</v>
      </c>
      <c r="B72" s="77" t="s">
        <v>141</v>
      </c>
    </row>
    <row r="73" spans="1:2" x14ac:dyDescent="0.45">
      <c r="A73" s="76" t="s">
        <v>142</v>
      </c>
      <c r="B73" s="77" t="s">
        <v>143</v>
      </c>
    </row>
    <row r="74" spans="1:2" x14ac:dyDescent="0.45">
      <c r="A74" s="76" t="s">
        <v>144</v>
      </c>
      <c r="B74" s="77" t="s">
        <v>145</v>
      </c>
    </row>
    <row r="75" spans="1:2" x14ac:dyDescent="0.45">
      <c r="A75" s="76" t="s">
        <v>146</v>
      </c>
      <c r="B75" s="77" t="s">
        <v>147</v>
      </c>
    </row>
    <row r="76" spans="1:2" x14ac:dyDescent="0.45">
      <c r="A76" s="76" t="s">
        <v>148</v>
      </c>
      <c r="B76" s="77" t="s">
        <v>149</v>
      </c>
    </row>
    <row r="77" spans="1:2" x14ac:dyDescent="0.45">
      <c r="A77" s="76" t="s">
        <v>150</v>
      </c>
      <c r="B77" s="77" t="s">
        <v>151</v>
      </c>
    </row>
    <row r="78" spans="1:2" x14ac:dyDescent="0.45">
      <c r="A78" s="76" t="s">
        <v>152</v>
      </c>
      <c r="B78" s="77" t="s">
        <v>153</v>
      </c>
    </row>
    <row r="79" spans="1:2" x14ac:dyDescent="0.45">
      <c r="A79" s="76" t="s">
        <v>154</v>
      </c>
      <c r="B79" s="77" t="s">
        <v>155</v>
      </c>
    </row>
    <row r="80" spans="1:2" x14ac:dyDescent="0.45">
      <c r="A80" s="76" t="s">
        <v>156</v>
      </c>
      <c r="B80" s="77" t="s">
        <v>157</v>
      </c>
    </row>
    <row r="81" spans="1:5" x14ac:dyDescent="0.45">
      <c r="A81" s="76" t="s">
        <v>158</v>
      </c>
      <c r="B81" s="77" t="s">
        <v>159</v>
      </c>
    </row>
    <row r="82" spans="1:5" x14ac:dyDescent="0.45">
      <c r="A82" s="76" t="s">
        <v>160</v>
      </c>
      <c r="B82" s="77" t="s">
        <v>161</v>
      </c>
    </row>
    <row r="83" spans="1:5" x14ac:dyDescent="0.45">
      <c r="A83" s="76" t="s">
        <v>36</v>
      </c>
      <c r="B83" s="77" t="s">
        <v>162</v>
      </c>
    </row>
    <row r="84" spans="1:5" x14ac:dyDescent="0.45">
      <c r="A84" s="76" t="s">
        <v>163</v>
      </c>
      <c r="B84" s="77" t="s">
        <v>276</v>
      </c>
    </row>
    <row r="85" spans="1:5" x14ac:dyDescent="0.45">
      <c r="A85" s="76" t="s">
        <v>164</v>
      </c>
      <c r="B85" s="77" t="s">
        <v>277</v>
      </c>
      <c r="E85" s="63"/>
    </row>
    <row r="86" spans="1:5" x14ac:dyDescent="0.45">
      <c r="A86" s="76" t="s">
        <v>165</v>
      </c>
      <c r="B86" s="77" t="s">
        <v>278</v>
      </c>
      <c r="E86" s="63"/>
    </row>
    <row r="87" spans="1:5" x14ac:dyDescent="0.45">
      <c r="A87" s="76" t="s">
        <v>166</v>
      </c>
      <c r="B87" s="77" t="s">
        <v>226</v>
      </c>
    </row>
    <row r="88" spans="1:5" ht="14.65" thickBot="1" x14ac:dyDescent="0.5">
      <c r="A88" s="3" t="s">
        <v>167</v>
      </c>
      <c r="B88" s="78" t="s">
        <v>279</v>
      </c>
    </row>
    <row r="89" spans="1:5" x14ac:dyDescent="0.45">
      <c r="A89"/>
      <c r="B89"/>
    </row>
    <row r="90" spans="1:5" x14ac:dyDescent="0.45">
      <c r="A90"/>
      <c r="B90"/>
    </row>
    <row r="91" spans="1:5" x14ac:dyDescent="0.45">
      <c r="A91" t="s">
        <v>280</v>
      </c>
      <c r="B91"/>
    </row>
    <row r="92" spans="1:5" x14ac:dyDescent="0.45">
      <c r="A92"/>
      <c r="B92"/>
    </row>
    <row r="93" spans="1:5" x14ac:dyDescent="0.45">
      <c r="A93" s="53" t="s">
        <v>35</v>
      </c>
      <c r="B93" t="s">
        <v>281</v>
      </c>
      <c r="C93" t="s">
        <v>31</v>
      </c>
      <c r="D93" s="53" t="s">
        <v>284</v>
      </c>
    </row>
    <row r="94" spans="1:5" ht="42.75" x14ac:dyDescent="0.45">
      <c r="A94" s="129" t="s">
        <v>282</v>
      </c>
      <c r="B94" s="129" t="s">
        <v>285</v>
      </c>
      <c r="C94" s="130" t="s">
        <v>283</v>
      </c>
      <c r="D94" s="131" t="s">
        <v>286</v>
      </c>
    </row>
    <row r="95" spans="1:5" ht="28.5" x14ac:dyDescent="0.45">
      <c r="A95" s="129" t="s">
        <v>287</v>
      </c>
      <c r="B95" s="132" t="s">
        <v>288</v>
      </c>
      <c r="C95" s="130" t="s">
        <v>291</v>
      </c>
      <c r="D95" s="131" t="s">
        <v>289</v>
      </c>
    </row>
    <row r="96" spans="1:5" ht="28.5" x14ac:dyDescent="0.45">
      <c r="A96" s="129" t="s">
        <v>292</v>
      </c>
      <c r="B96" s="133" t="s">
        <v>288</v>
      </c>
      <c r="C96" s="130" t="s">
        <v>293</v>
      </c>
      <c r="D96" s="131" t="s">
        <v>290</v>
      </c>
    </row>
    <row r="97" spans="1:2" x14ac:dyDescent="0.45">
      <c r="A97"/>
      <c r="B97"/>
    </row>
    <row r="98" spans="1:2" x14ac:dyDescent="0.45">
      <c r="A98"/>
      <c r="B98"/>
    </row>
    <row r="99" spans="1:2" x14ac:dyDescent="0.45">
      <c r="A99"/>
      <c r="B99"/>
    </row>
    <row r="100" spans="1:2" x14ac:dyDescent="0.45">
      <c r="A100"/>
      <c r="B100"/>
    </row>
    <row r="101" spans="1:2" x14ac:dyDescent="0.45">
      <c r="A101"/>
      <c r="B101"/>
    </row>
    <row r="102" spans="1:2" x14ac:dyDescent="0.45">
      <c r="A102"/>
      <c r="B102"/>
    </row>
    <row r="103" spans="1:2" x14ac:dyDescent="0.45">
      <c r="A103"/>
      <c r="B103"/>
    </row>
    <row r="104" spans="1:2" x14ac:dyDescent="0.45">
      <c r="A104"/>
      <c r="B104"/>
    </row>
    <row r="105" spans="1:2" x14ac:dyDescent="0.45">
      <c r="A105"/>
      <c r="B105"/>
    </row>
    <row r="106" spans="1:2" x14ac:dyDescent="0.45">
      <c r="A106"/>
      <c r="B106"/>
    </row>
    <row r="107" spans="1:2" x14ac:dyDescent="0.45">
      <c r="A107"/>
      <c r="B107"/>
    </row>
    <row r="108" spans="1:2" x14ac:dyDescent="0.45">
      <c r="A108"/>
      <c r="B108"/>
    </row>
    <row r="109" spans="1:2" x14ac:dyDescent="0.45">
      <c r="A109"/>
      <c r="B109"/>
    </row>
    <row r="110" spans="1:2" x14ac:dyDescent="0.45">
      <c r="A110"/>
      <c r="B110"/>
    </row>
    <row r="111" spans="1:2" x14ac:dyDescent="0.45">
      <c r="A111"/>
      <c r="B111"/>
    </row>
    <row r="112" spans="1:2" x14ac:dyDescent="0.45">
      <c r="A112"/>
      <c r="B112"/>
    </row>
    <row r="113" spans="1:2" x14ac:dyDescent="0.45">
      <c r="A113"/>
      <c r="B113"/>
    </row>
    <row r="114" spans="1:2" x14ac:dyDescent="0.45">
      <c r="A114"/>
      <c r="B114"/>
    </row>
    <row r="115" spans="1:2" x14ac:dyDescent="0.45">
      <c r="A115"/>
      <c r="B115"/>
    </row>
    <row r="116" spans="1:2" x14ac:dyDescent="0.45">
      <c r="A116"/>
      <c r="B116"/>
    </row>
    <row r="117" spans="1:2" x14ac:dyDescent="0.45">
      <c r="A117"/>
      <c r="B117"/>
    </row>
    <row r="118" spans="1:2" x14ac:dyDescent="0.45">
      <c r="A118"/>
      <c r="B118"/>
    </row>
    <row r="119" spans="1:2" x14ac:dyDescent="0.45">
      <c r="A119"/>
      <c r="B119"/>
    </row>
    <row r="120" spans="1:2" x14ac:dyDescent="0.45">
      <c r="A120"/>
      <c r="B120"/>
    </row>
    <row r="121" spans="1:2" x14ac:dyDescent="0.45">
      <c r="A121"/>
      <c r="B121"/>
    </row>
    <row r="122" spans="1:2" x14ac:dyDescent="0.45">
      <c r="A122"/>
      <c r="B122"/>
    </row>
    <row r="123" spans="1:2" x14ac:dyDescent="0.45">
      <c r="A123"/>
      <c r="B123"/>
    </row>
    <row r="124" spans="1:2" x14ac:dyDescent="0.45">
      <c r="A124"/>
      <c r="B124"/>
    </row>
    <row r="125" spans="1:2" x14ac:dyDescent="0.45">
      <c r="A125"/>
      <c r="B125"/>
    </row>
    <row r="126" spans="1:2" x14ac:dyDescent="0.45">
      <c r="A126"/>
      <c r="B126"/>
    </row>
    <row r="127" spans="1:2" x14ac:dyDescent="0.45">
      <c r="A127"/>
      <c r="B127"/>
    </row>
    <row r="128" spans="1:2" x14ac:dyDescent="0.45">
      <c r="A128"/>
      <c r="B128"/>
    </row>
    <row r="129" spans="1:7" x14ac:dyDescent="0.45">
      <c r="A129"/>
      <c r="B129"/>
    </row>
    <row r="130" spans="1:7" x14ac:dyDescent="0.45">
      <c r="A130"/>
      <c r="B130"/>
    </row>
    <row r="131" spans="1:7" x14ac:dyDescent="0.45">
      <c r="A131"/>
      <c r="B131"/>
    </row>
    <row r="132" spans="1:7" x14ac:dyDescent="0.45">
      <c r="A132"/>
      <c r="B132"/>
      <c r="F132" s="61"/>
      <c r="G132" s="61"/>
    </row>
    <row r="133" spans="1:7" x14ac:dyDescent="0.45">
      <c r="A133"/>
      <c r="B133"/>
      <c r="F133" s="61"/>
      <c r="G133" s="61"/>
    </row>
    <row r="134" spans="1:7" x14ac:dyDescent="0.45">
      <c r="A134"/>
      <c r="B134"/>
      <c r="F134" s="61"/>
      <c r="G134" s="61"/>
    </row>
    <row r="135" spans="1:7" x14ac:dyDescent="0.45">
      <c r="A135"/>
      <c r="B135"/>
      <c r="F135" s="61"/>
      <c r="G135" s="61"/>
    </row>
    <row r="136" spans="1:7" x14ac:dyDescent="0.45">
      <c r="A136"/>
      <c r="B136"/>
      <c r="F136" s="61"/>
      <c r="G136" s="61"/>
    </row>
    <row r="137" spans="1:7" x14ac:dyDescent="0.45">
      <c r="A137"/>
      <c r="B137"/>
      <c r="F137" s="61"/>
      <c r="G137" s="61"/>
    </row>
    <row r="138" spans="1:7" x14ac:dyDescent="0.45">
      <c r="A138"/>
      <c r="B138"/>
      <c r="F138" s="61"/>
      <c r="G138" s="61"/>
    </row>
    <row r="139" spans="1:7" x14ac:dyDescent="0.45">
      <c r="A139"/>
      <c r="B139"/>
      <c r="F139" s="61"/>
      <c r="G139" s="61"/>
    </row>
    <row r="140" spans="1:7" x14ac:dyDescent="0.45">
      <c r="A140"/>
      <c r="B140"/>
      <c r="F140" s="61"/>
      <c r="G140" s="61"/>
    </row>
    <row r="141" spans="1:7" x14ac:dyDescent="0.45">
      <c r="A141"/>
      <c r="B141"/>
      <c r="F141" s="61"/>
      <c r="G141" s="61"/>
    </row>
    <row r="142" spans="1:7" x14ac:dyDescent="0.45">
      <c r="A142"/>
      <c r="B142"/>
      <c r="F142" s="61"/>
      <c r="G142" s="61"/>
    </row>
    <row r="143" spans="1:7" x14ac:dyDescent="0.45">
      <c r="A143"/>
      <c r="B143"/>
      <c r="F143" s="61"/>
      <c r="G143" s="61"/>
    </row>
    <row r="144" spans="1:7" x14ac:dyDescent="0.45">
      <c r="A144"/>
      <c r="B144"/>
      <c r="F144" s="67"/>
      <c r="G144" s="68"/>
    </row>
    <row r="145" spans="1:7" x14ac:dyDescent="0.45">
      <c r="A145"/>
      <c r="B145"/>
      <c r="F145" s="67"/>
      <c r="G145" s="68"/>
    </row>
    <row r="146" spans="1:7" x14ac:dyDescent="0.45">
      <c r="A146"/>
      <c r="B146"/>
      <c r="F146" s="67"/>
      <c r="G146" s="68"/>
    </row>
    <row r="147" spans="1:7" x14ac:dyDescent="0.45">
      <c r="A147"/>
      <c r="B147"/>
      <c r="F147" s="67"/>
      <c r="G147" s="68"/>
    </row>
    <row r="148" spans="1:7" x14ac:dyDescent="0.45">
      <c r="A148"/>
      <c r="B148"/>
      <c r="F148" s="67"/>
      <c r="G148" s="68"/>
    </row>
    <row r="149" spans="1:7" x14ac:dyDescent="0.45">
      <c r="A149"/>
      <c r="B149"/>
      <c r="F149" s="67"/>
      <c r="G149" s="68"/>
    </row>
    <row r="150" spans="1:7" x14ac:dyDescent="0.45">
      <c r="A150"/>
      <c r="B150"/>
      <c r="F150" s="67"/>
      <c r="G150" s="68"/>
    </row>
    <row r="151" spans="1:7" x14ac:dyDescent="0.45">
      <c r="A151"/>
      <c r="B151"/>
      <c r="F151" s="67"/>
      <c r="G151" s="68"/>
    </row>
    <row r="152" spans="1:7" x14ac:dyDescent="0.45">
      <c r="A152"/>
      <c r="B152"/>
      <c r="F152" s="67"/>
      <c r="G152" s="68"/>
    </row>
    <row r="153" spans="1:7" x14ac:dyDescent="0.45">
      <c r="A153"/>
      <c r="B153"/>
      <c r="F153" s="67"/>
      <c r="G153" s="68"/>
    </row>
    <row r="154" spans="1:7" x14ac:dyDescent="0.45">
      <c r="A154"/>
      <c r="B154"/>
      <c r="F154" s="67"/>
      <c r="G154" s="68"/>
    </row>
    <row r="155" spans="1:7" x14ac:dyDescent="0.45">
      <c r="A155"/>
      <c r="B155"/>
      <c r="F155" s="69"/>
      <c r="G155" s="68"/>
    </row>
    <row r="156" spans="1:7" x14ac:dyDescent="0.45">
      <c r="A156"/>
      <c r="B156"/>
      <c r="F156" s="69"/>
      <c r="G156" s="68"/>
    </row>
    <row r="157" spans="1:7" x14ac:dyDescent="0.45">
      <c r="A157"/>
      <c r="B157"/>
      <c r="F157" s="69"/>
      <c r="G157" s="68"/>
    </row>
    <row r="158" spans="1:7" x14ac:dyDescent="0.45">
      <c r="A158"/>
      <c r="B158"/>
      <c r="F158" s="69"/>
      <c r="G158" s="68"/>
    </row>
    <row r="159" spans="1:7" x14ac:dyDescent="0.45">
      <c r="A159"/>
      <c r="B159"/>
      <c r="F159" s="69"/>
      <c r="G159" s="68"/>
    </row>
    <row r="160" spans="1:7" x14ac:dyDescent="0.45">
      <c r="A160"/>
      <c r="B160"/>
      <c r="F160" s="69"/>
      <c r="G160" s="68"/>
    </row>
    <row r="161" spans="1:7" x14ac:dyDescent="0.45">
      <c r="A161"/>
      <c r="B161"/>
      <c r="F161" s="69"/>
      <c r="G161" s="68"/>
    </row>
    <row r="162" spans="1:7" x14ac:dyDescent="0.45">
      <c r="A162"/>
      <c r="B162"/>
      <c r="F162" s="69"/>
      <c r="G162" s="68"/>
    </row>
    <row r="163" spans="1:7" x14ac:dyDescent="0.45">
      <c r="A163"/>
      <c r="B163"/>
      <c r="F163" s="67"/>
      <c r="G163" s="68"/>
    </row>
    <row r="164" spans="1:7" x14ac:dyDescent="0.45">
      <c r="A164"/>
      <c r="B164"/>
      <c r="D164" s="63"/>
      <c r="F164" s="61"/>
      <c r="G164" s="61"/>
    </row>
    <row r="165" spans="1:7" x14ac:dyDescent="0.45">
      <c r="A165"/>
      <c r="B165"/>
      <c r="D165" s="63"/>
      <c r="F165" s="61"/>
      <c r="G165" s="61"/>
    </row>
    <row r="166" spans="1:7" x14ac:dyDescent="0.45">
      <c r="A166"/>
      <c r="B166"/>
      <c r="F166" s="61"/>
      <c r="G166" s="61"/>
    </row>
    <row r="167" spans="1:7" x14ac:dyDescent="0.45">
      <c r="A167"/>
      <c r="B167"/>
      <c r="F167" s="61"/>
      <c r="G167" s="61"/>
    </row>
    <row r="168" spans="1:7" x14ac:dyDescent="0.45">
      <c r="A168"/>
      <c r="B168"/>
      <c r="F168" s="61"/>
      <c r="G168" s="61"/>
    </row>
    <row r="169" spans="1:7" x14ac:dyDescent="0.45">
      <c r="A169"/>
      <c r="B169"/>
      <c r="F169" s="61"/>
      <c r="G169" s="61"/>
    </row>
    <row r="170" spans="1:7" x14ac:dyDescent="0.45">
      <c r="A170"/>
      <c r="B170"/>
      <c r="F170" s="61"/>
      <c r="G170" s="61"/>
    </row>
    <row r="171" spans="1:7" x14ac:dyDescent="0.45">
      <c r="A171"/>
      <c r="B171"/>
      <c r="F171" s="61"/>
      <c r="G171" s="61"/>
    </row>
    <row r="172" spans="1:7" x14ac:dyDescent="0.45">
      <c r="A172"/>
      <c r="B172"/>
      <c r="F172" s="61"/>
      <c r="G172" s="61"/>
    </row>
    <row r="173" spans="1:7" x14ac:dyDescent="0.45">
      <c r="A173"/>
      <c r="B173"/>
      <c r="F173" s="61"/>
      <c r="G173" s="61"/>
    </row>
    <row r="174" spans="1:7" x14ac:dyDescent="0.45">
      <c r="A174"/>
      <c r="B174"/>
      <c r="F174" s="61"/>
      <c r="G174" s="61"/>
    </row>
    <row r="175" spans="1:7" x14ac:dyDescent="0.45">
      <c r="A175"/>
      <c r="B175"/>
      <c r="F175" s="61"/>
      <c r="G175" s="61"/>
    </row>
    <row r="176" spans="1:7" x14ac:dyDescent="0.45">
      <c r="A176"/>
      <c r="B176"/>
      <c r="F176" s="61"/>
      <c r="G176" s="61"/>
    </row>
    <row r="177" spans="1:7" x14ac:dyDescent="0.45">
      <c r="A177"/>
      <c r="B177"/>
      <c r="F177" s="61"/>
      <c r="G177" s="61"/>
    </row>
    <row r="178" spans="1:7" x14ac:dyDescent="0.45">
      <c r="A178"/>
      <c r="B178"/>
      <c r="F178" s="61"/>
      <c r="G178" s="61"/>
    </row>
    <row r="179" spans="1:7" x14ac:dyDescent="0.45">
      <c r="A179"/>
      <c r="B179"/>
      <c r="F179" s="61"/>
      <c r="G179" s="61"/>
    </row>
    <row r="180" spans="1:7" x14ac:dyDescent="0.45">
      <c r="A180"/>
      <c r="B180"/>
      <c r="F180" s="61"/>
      <c r="G180" s="61"/>
    </row>
    <row r="181" spans="1:7" x14ac:dyDescent="0.45">
      <c r="A181"/>
      <c r="B181"/>
      <c r="F181" s="61"/>
      <c r="G181" s="61"/>
    </row>
    <row r="182" spans="1:7" x14ac:dyDescent="0.45">
      <c r="A182"/>
      <c r="B182"/>
      <c r="F182" s="61"/>
      <c r="G182" s="61"/>
    </row>
    <row r="183" spans="1:7" x14ac:dyDescent="0.45">
      <c r="A183"/>
      <c r="B183"/>
      <c r="F183" s="61"/>
      <c r="G183" s="61"/>
    </row>
    <row r="184" spans="1:7" x14ac:dyDescent="0.45">
      <c r="A184"/>
      <c r="B184"/>
      <c r="F184" s="61"/>
      <c r="G184" s="61"/>
    </row>
    <row r="185" spans="1:7" x14ac:dyDescent="0.45">
      <c r="A185"/>
      <c r="B185"/>
      <c r="F185" s="61"/>
      <c r="G185" s="61"/>
    </row>
    <row r="186" spans="1:7" x14ac:dyDescent="0.45">
      <c r="A186"/>
      <c r="B186"/>
      <c r="F186" s="61"/>
      <c r="G186" s="61"/>
    </row>
    <row r="187" spans="1:7" x14ac:dyDescent="0.45">
      <c r="A187"/>
      <c r="B187"/>
      <c r="F187" s="61"/>
      <c r="G187" s="61"/>
    </row>
    <row r="188" spans="1:7" x14ac:dyDescent="0.45">
      <c r="A188"/>
      <c r="B188"/>
      <c r="F188" s="61"/>
      <c r="G188" s="61"/>
    </row>
    <row r="189" spans="1:7" x14ac:dyDescent="0.45">
      <c r="A189"/>
      <c r="B189"/>
      <c r="F189" s="61"/>
      <c r="G189" s="61"/>
    </row>
    <row r="190" spans="1:7" x14ac:dyDescent="0.45">
      <c r="A190"/>
      <c r="B190"/>
      <c r="F190" s="61"/>
      <c r="G190" s="61"/>
    </row>
    <row r="191" spans="1:7" x14ac:dyDescent="0.45">
      <c r="A191"/>
      <c r="B191"/>
      <c r="F191" s="61"/>
      <c r="G191" s="61"/>
    </row>
    <row r="192" spans="1:7" x14ac:dyDescent="0.45">
      <c r="A192"/>
      <c r="B192"/>
      <c r="F192" s="61"/>
      <c r="G192" s="61"/>
    </row>
    <row r="193" spans="1:7" x14ac:dyDescent="0.45">
      <c r="A193"/>
      <c r="B193"/>
      <c r="F193" s="61"/>
      <c r="G193" s="61"/>
    </row>
    <row r="194" spans="1:7" x14ac:dyDescent="0.45">
      <c r="A194"/>
      <c r="B194"/>
      <c r="F194" s="61"/>
      <c r="G194" s="61"/>
    </row>
    <row r="195" spans="1:7" x14ac:dyDescent="0.45">
      <c r="A195"/>
      <c r="B195"/>
      <c r="F195" s="61"/>
      <c r="G195" s="61"/>
    </row>
    <row r="196" spans="1:7" x14ac:dyDescent="0.45">
      <c r="A196"/>
      <c r="B196"/>
      <c r="F196" s="61"/>
      <c r="G196" s="61"/>
    </row>
    <row r="197" spans="1:7" x14ac:dyDescent="0.45">
      <c r="A197"/>
      <c r="B197"/>
      <c r="F197" s="61"/>
      <c r="G197" s="61"/>
    </row>
    <row r="198" spans="1:7" x14ac:dyDescent="0.45">
      <c r="A198"/>
      <c r="B198"/>
      <c r="F198" s="61"/>
      <c r="G198" s="61"/>
    </row>
    <row r="199" spans="1:7" x14ac:dyDescent="0.45">
      <c r="A199"/>
      <c r="B199"/>
      <c r="F199" s="61"/>
      <c r="G199" s="61"/>
    </row>
    <row r="200" spans="1:7" x14ac:dyDescent="0.45">
      <c r="A200"/>
      <c r="B200"/>
      <c r="F200" s="61"/>
      <c r="G200" s="61"/>
    </row>
    <row r="201" spans="1:7" x14ac:dyDescent="0.45">
      <c r="A201"/>
      <c r="B201"/>
      <c r="F201" s="61"/>
      <c r="G201" s="61"/>
    </row>
    <row r="202" spans="1:7" x14ac:dyDescent="0.45">
      <c r="A202"/>
      <c r="B202"/>
      <c r="F202" s="61"/>
      <c r="G202" s="61"/>
    </row>
    <row r="203" spans="1:7" x14ac:dyDescent="0.45">
      <c r="A203"/>
      <c r="B203"/>
      <c r="F203" s="61"/>
      <c r="G203" s="61"/>
    </row>
    <row r="204" spans="1:7" x14ac:dyDescent="0.45">
      <c r="A204"/>
      <c r="B204"/>
      <c r="F204" s="61"/>
      <c r="G204" s="61"/>
    </row>
    <row r="205" spans="1:7" x14ac:dyDescent="0.45">
      <c r="A205"/>
      <c r="B205"/>
      <c r="F205" s="61"/>
      <c r="G205" s="61"/>
    </row>
    <row r="206" spans="1:7" x14ac:dyDescent="0.45">
      <c r="A206"/>
      <c r="B206"/>
      <c r="F206" s="61"/>
      <c r="G206" s="61"/>
    </row>
    <row r="207" spans="1:7" x14ac:dyDescent="0.45">
      <c r="A207"/>
      <c r="B207"/>
      <c r="F207" s="61"/>
      <c r="G207" s="61"/>
    </row>
    <row r="208" spans="1:7" x14ac:dyDescent="0.45">
      <c r="A208"/>
      <c r="B208"/>
      <c r="F208" s="61"/>
      <c r="G208" s="61"/>
    </row>
    <row r="209" spans="1:7" x14ac:dyDescent="0.45">
      <c r="A209"/>
      <c r="B209"/>
      <c r="F209" s="61"/>
      <c r="G209" s="61"/>
    </row>
    <row r="210" spans="1:7" x14ac:dyDescent="0.45">
      <c r="A210"/>
      <c r="B210"/>
      <c r="F210" s="61"/>
      <c r="G210" s="61"/>
    </row>
    <row r="211" spans="1:7" x14ac:dyDescent="0.45">
      <c r="A211"/>
      <c r="B211"/>
      <c r="F211" s="61"/>
      <c r="G211" s="61"/>
    </row>
    <row r="212" spans="1:7" x14ac:dyDescent="0.45">
      <c r="A212"/>
      <c r="B212"/>
      <c r="F212" s="61"/>
      <c r="G212" s="61"/>
    </row>
    <row r="213" spans="1:7" x14ac:dyDescent="0.45">
      <c r="A213"/>
      <c r="B213"/>
      <c r="F213" s="61"/>
      <c r="G213" s="61"/>
    </row>
    <row r="214" spans="1:7" x14ac:dyDescent="0.45">
      <c r="A214"/>
      <c r="B214"/>
      <c r="F214" s="61"/>
      <c r="G214" s="61"/>
    </row>
    <row r="215" spans="1:7" x14ac:dyDescent="0.45">
      <c r="A215"/>
      <c r="B215"/>
      <c r="F215" s="61"/>
      <c r="G215" s="61"/>
    </row>
    <row r="216" spans="1:7" x14ac:dyDescent="0.45">
      <c r="A216"/>
      <c r="B216"/>
      <c r="F216" s="61"/>
      <c r="G216" s="61"/>
    </row>
    <row r="217" spans="1:7" x14ac:dyDescent="0.45">
      <c r="A217"/>
      <c r="B217"/>
      <c r="F217" s="61"/>
      <c r="G217" s="61"/>
    </row>
    <row r="218" spans="1:7" x14ac:dyDescent="0.45">
      <c r="A218"/>
      <c r="B218"/>
      <c r="F218" s="61"/>
      <c r="G218" s="61"/>
    </row>
    <row r="219" spans="1:7" x14ac:dyDescent="0.45">
      <c r="A219"/>
      <c r="B219"/>
      <c r="F219" s="61"/>
      <c r="G219" s="61"/>
    </row>
    <row r="220" spans="1:7" x14ac:dyDescent="0.45">
      <c r="A220"/>
      <c r="B220"/>
      <c r="F220" s="61"/>
      <c r="G220" s="61"/>
    </row>
    <row r="221" spans="1:7" x14ac:dyDescent="0.45">
      <c r="A221"/>
      <c r="B221"/>
      <c r="F221" s="61"/>
      <c r="G221" s="61"/>
    </row>
    <row r="222" spans="1:7" x14ac:dyDescent="0.45">
      <c r="A222"/>
      <c r="B222"/>
      <c r="F222" s="61"/>
      <c r="G222" s="61"/>
    </row>
    <row r="223" spans="1:7" x14ac:dyDescent="0.45">
      <c r="A223"/>
      <c r="B223"/>
      <c r="F223" s="61"/>
      <c r="G223" s="61"/>
    </row>
    <row r="224" spans="1:7" x14ac:dyDescent="0.45">
      <c r="A224"/>
      <c r="B224"/>
      <c r="F224" s="61"/>
      <c r="G224" s="61"/>
    </row>
    <row r="225" spans="1:7" x14ac:dyDescent="0.45">
      <c r="A225"/>
      <c r="B225"/>
      <c r="F225" s="61"/>
      <c r="G225" s="61"/>
    </row>
    <row r="226" spans="1:7" x14ac:dyDescent="0.45">
      <c r="A226"/>
      <c r="B226"/>
      <c r="F226" s="61"/>
      <c r="G226" s="61"/>
    </row>
    <row r="227" spans="1:7" x14ac:dyDescent="0.45">
      <c r="A227"/>
      <c r="B227"/>
      <c r="F227" s="61"/>
      <c r="G227" s="61"/>
    </row>
    <row r="228" spans="1:7" x14ac:dyDescent="0.45">
      <c r="A228"/>
      <c r="B228"/>
      <c r="F228" s="61"/>
      <c r="G228" s="61"/>
    </row>
    <row r="229" spans="1:7" x14ac:dyDescent="0.45">
      <c r="A229"/>
      <c r="B229"/>
      <c r="F229" s="61"/>
      <c r="G229" s="61"/>
    </row>
    <row r="230" spans="1:7" x14ac:dyDescent="0.45">
      <c r="A230"/>
      <c r="B230"/>
      <c r="F230" s="61"/>
      <c r="G230" s="61"/>
    </row>
    <row r="231" spans="1:7" x14ac:dyDescent="0.45">
      <c r="A231"/>
      <c r="B231"/>
      <c r="F231" s="61"/>
      <c r="G231" s="61"/>
    </row>
    <row r="232" spans="1:7" x14ac:dyDescent="0.45">
      <c r="A232"/>
      <c r="B232"/>
      <c r="F232" s="61"/>
      <c r="G232" s="61"/>
    </row>
    <row r="233" spans="1:7" x14ac:dyDescent="0.45">
      <c r="A233"/>
      <c r="B233"/>
      <c r="F233" s="61"/>
      <c r="G233" s="61"/>
    </row>
    <row r="234" spans="1:7" x14ac:dyDescent="0.45">
      <c r="A234"/>
      <c r="B234"/>
      <c r="F234" s="61"/>
      <c r="G234" s="61"/>
    </row>
    <row r="235" spans="1:7" x14ac:dyDescent="0.45">
      <c r="A235"/>
      <c r="B235"/>
      <c r="F235" s="61"/>
      <c r="G235" s="61"/>
    </row>
    <row r="236" spans="1:7" x14ac:dyDescent="0.45">
      <c r="A236"/>
      <c r="B236"/>
      <c r="F236" s="61"/>
      <c r="G236" s="61"/>
    </row>
    <row r="237" spans="1:7" x14ac:dyDescent="0.45">
      <c r="A237"/>
      <c r="B237"/>
      <c r="F237" s="61"/>
      <c r="G237" s="61"/>
    </row>
    <row r="238" spans="1:7" x14ac:dyDescent="0.45">
      <c r="A238"/>
      <c r="B238"/>
      <c r="F238" s="61"/>
      <c r="G238" s="61"/>
    </row>
    <row r="239" spans="1:7" x14ac:dyDescent="0.45">
      <c r="A239"/>
      <c r="B239"/>
      <c r="F239" s="61"/>
      <c r="G239" s="61"/>
    </row>
    <row r="240" spans="1:7" x14ac:dyDescent="0.45">
      <c r="A240"/>
      <c r="B240"/>
      <c r="F240" s="61"/>
      <c r="G240" s="61"/>
    </row>
    <row r="241" spans="1:7" x14ac:dyDescent="0.45">
      <c r="A241"/>
      <c r="B241"/>
      <c r="F241" s="61"/>
      <c r="G241" s="61"/>
    </row>
    <row r="242" spans="1:7" x14ac:dyDescent="0.45">
      <c r="A242"/>
      <c r="B242"/>
      <c r="F242" s="61"/>
      <c r="G242" s="61"/>
    </row>
    <row r="243" spans="1:7" x14ac:dyDescent="0.45">
      <c r="A243"/>
      <c r="B243"/>
      <c r="F243" s="61"/>
      <c r="G243" s="61"/>
    </row>
    <row r="244" spans="1:7" x14ac:dyDescent="0.45">
      <c r="A244"/>
      <c r="B244"/>
      <c r="F244" s="61"/>
      <c r="G244" s="61"/>
    </row>
    <row r="245" spans="1:7" x14ac:dyDescent="0.45">
      <c r="A245"/>
      <c r="B245"/>
      <c r="F245" s="61"/>
      <c r="G245" s="61"/>
    </row>
    <row r="246" spans="1:7" x14ac:dyDescent="0.45">
      <c r="A246"/>
      <c r="B246"/>
      <c r="F246" s="61"/>
      <c r="G246" s="61"/>
    </row>
    <row r="247" spans="1:7" x14ac:dyDescent="0.45">
      <c r="A247"/>
      <c r="B247"/>
      <c r="F247" s="61"/>
      <c r="G247" s="61"/>
    </row>
    <row r="248" spans="1:7" x14ac:dyDescent="0.45">
      <c r="A248"/>
      <c r="B248"/>
      <c r="F248" s="61"/>
      <c r="G248" s="61"/>
    </row>
    <row r="249" spans="1:7" x14ac:dyDescent="0.45">
      <c r="A249"/>
      <c r="B249"/>
      <c r="F249" s="61"/>
      <c r="G249" s="61"/>
    </row>
    <row r="250" spans="1:7" x14ac:dyDescent="0.45">
      <c r="A250"/>
      <c r="B250"/>
      <c r="F250" s="61"/>
      <c r="G250" s="61"/>
    </row>
    <row r="251" spans="1:7" x14ac:dyDescent="0.45">
      <c r="A251"/>
      <c r="B251"/>
      <c r="F251" s="61"/>
      <c r="G251" s="61"/>
    </row>
    <row r="252" spans="1:7" x14ac:dyDescent="0.45">
      <c r="A252"/>
      <c r="B252"/>
      <c r="F252" s="61"/>
      <c r="G252" s="61"/>
    </row>
    <row r="253" spans="1:7" x14ac:dyDescent="0.45">
      <c r="A253"/>
      <c r="B253"/>
      <c r="F253" s="61"/>
      <c r="G253" s="61"/>
    </row>
    <row r="254" spans="1:7" x14ac:dyDescent="0.45">
      <c r="A254"/>
      <c r="B254"/>
      <c r="F254" s="61"/>
      <c r="G254" s="61"/>
    </row>
    <row r="255" spans="1:7" x14ac:dyDescent="0.45">
      <c r="A255"/>
      <c r="B255"/>
      <c r="F255" s="61"/>
      <c r="G255" s="61"/>
    </row>
    <row r="256" spans="1:7" x14ac:dyDescent="0.45">
      <c r="A256"/>
      <c r="B256"/>
      <c r="F256" s="61"/>
      <c r="G256" s="61"/>
    </row>
    <row r="257" spans="1:7" x14ac:dyDescent="0.45">
      <c r="A257"/>
      <c r="B257"/>
      <c r="F257" s="61"/>
      <c r="G257" s="61"/>
    </row>
    <row r="258" spans="1:7" x14ac:dyDescent="0.45">
      <c r="A258"/>
      <c r="B258"/>
      <c r="F258" s="61"/>
      <c r="G258" s="61"/>
    </row>
    <row r="259" spans="1:7" x14ac:dyDescent="0.45">
      <c r="A259"/>
      <c r="B259"/>
      <c r="F259" s="61"/>
      <c r="G259" s="61"/>
    </row>
    <row r="260" spans="1:7" x14ac:dyDescent="0.45">
      <c r="A260"/>
      <c r="B260"/>
      <c r="F260" s="61"/>
      <c r="G260" s="61"/>
    </row>
    <row r="261" spans="1:7" x14ac:dyDescent="0.45">
      <c r="A261"/>
      <c r="B261"/>
      <c r="F261" s="61"/>
      <c r="G261" s="61"/>
    </row>
    <row r="262" spans="1:7" x14ac:dyDescent="0.45">
      <c r="A262"/>
      <c r="B262"/>
      <c r="F262" s="61"/>
      <c r="G262" s="61"/>
    </row>
    <row r="263" spans="1:7" x14ac:dyDescent="0.45">
      <c r="A263"/>
      <c r="B263"/>
      <c r="F263" s="61"/>
      <c r="G263" s="61"/>
    </row>
    <row r="264" spans="1:7" x14ac:dyDescent="0.45">
      <c r="A264"/>
      <c r="B264"/>
      <c r="F264" s="61"/>
      <c r="G264" s="61"/>
    </row>
    <row r="265" spans="1:7" x14ac:dyDescent="0.45">
      <c r="A265"/>
      <c r="B265"/>
      <c r="F265" s="61"/>
      <c r="G265" s="61"/>
    </row>
    <row r="266" spans="1:7" x14ac:dyDescent="0.45">
      <c r="A266"/>
      <c r="B266"/>
      <c r="F266" s="61"/>
      <c r="G266" s="61"/>
    </row>
    <row r="267" spans="1:7" x14ac:dyDescent="0.45">
      <c r="A267"/>
      <c r="B267"/>
      <c r="F267" s="61"/>
      <c r="G267" s="61"/>
    </row>
    <row r="268" spans="1:7" x14ac:dyDescent="0.45">
      <c r="A268"/>
      <c r="B268"/>
      <c r="F268" s="61"/>
      <c r="G268" s="61"/>
    </row>
    <row r="269" spans="1:7" x14ac:dyDescent="0.45">
      <c r="A269"/>
      <c r="B269"/>
      <c r="F269" s="61"/>
      <c r="G269" s="61"/>
    </row>
    <row r="270" spans="1:7" x14ac:dyDescent="0.45">
      <c r="A270"/>
      <c r="B270"/>
      <c r="F270" s="61"/>
      <c r="G270" s="61"/>
    </row>
    <row r="271" spans="1:7" x14ac:dyDescent="0.45">
      <c r="A271"/>
      <c r="B271"/>
      <c r="F271" s="61"/>
      <c r="G271" s="61"/>
    </row>
    <row r="272" spans="1:7" x14ac:dyDescent="0.45">
      <c r="A272"/>
      <c r="B272"/>
      <c r="F272" s="61"/>
      <c r="G272" s="61"/>
    </row>
    <row r="273" spans="1:7" x14ac:dyDescent="0.45">
      <c r="A273"/>
      <c r="B273"/>
      <c r="F273" s="61"/>
      <c r="G273" s="61"/>
    </row>
    <row r="274" spans="1:7" x14ac:dyDescent="0.45">
      <c r="A274"/>
      <c r="B274"/>
      <c r="F274" s="61"/>
      <c r="G274" s="61"/>
    </row>
    <row r="275" spans="1:7" x14ac:dyDescent="0.45">
      <c r="A275"/>
      <c r="B275"/>
      <c r="F275" s="61"/>
      <c r="G275" s="61"/>
    </row>
    <row r="276" spans="1:7" x14ac:dyDescent="0.45">
      <c r="A276"/>
      <c r="B276"/>
      <c r="F276" s="61"/>
      <c r="G276" s="61"/>
    </row>
    <row r="277" spans="1:7" x14ac:dyDescent="0.45">
      <c r="A277"/>
      <c r="B277"/>
      <c r="F277" s="61"/>
      <c r="G277" s="61"/>
    </row>
    <row r="278" spans="1:7" x14ac:dyDescent="0.45">
      <c r="A278"/>
      <c r="B278"/>
      <c r="F278" s="61"/>
      <c r="G278" s="61"/>
    </row>
    <row r="279" spans="1:7" x14ac:dyDescent="0.45">
      <c r="A279"/>
      <c r="B279"/>
      <c r="F279" s="61"/>
      <c r="G279" s="61"/>
    </row>
    <row r="280" spans="1:7" x14ac:dyDescent="0.45">
      <c r="A280"/>
      <c r="B280"/>
      <c r="F280" s="61"/>
      <c r="G280" s="61"/>
    </row>
    <row r="281" spans="1:7" x14ac:dyDescent="0.45">
      <c r="A281"/>
      <c r="B281"/>
      <c r="F281" s="61"/>
      <c r="G281" s="61"/>
    </row>
    <row r="282" spans="1:7" x14ac:dyDescent="0.45">
      <c r="A282"/>
      <c r="B282"/>
      <c r="F282" s="61"/>
      <c r="G282" s="61"/>
    </row>
    <row r="283" spans="1:7" x14ac:dyDescent="0.45">
      <c r="A283"/>
      <c r="B283"/>
      <c r="F283" s="61"/>
      <c r="G283" s="61"/>
    </row>
    <row r="284" spans="1:7" x14ac:dyDescent="0.45">
      <c r="A284"/>
      <c r="B284"/>
      <c r="F284" s="61"/>
      <c r="G284" s="61"/>
    </row>
    <row r="285" spans="1:7" x14ac:dyDescent="0.45">
      <c r="A285"/>
      <c r="B285"/>
      <c r="F285" s="61"/>
      <c r="G285" s="61"/>
    </row>
    <row r="286" spans="1:7" x14ac:dyDescent="0.45">
      <c r="A286"/>
      <c r="B286"/>
      <c r="F286" s="61"/>
      <c r="G286" s="61"/>
    </row>
    <row r="287" spans="1:7" x14ac:dyDescent="0.45">
      <c r="A287"/>
      <c r="B287"/>
      <c r="F287" s="61"/>
      <c r="G287" s="61"/>
    </row>
    <row r="288" spans="1:7" x14ac:dyDescent="0.45">
      <c r="A288"/>
      <c r="B288"/>
      <c r="F288" s="61"/>
      <c r="G288" s="61"/>
    </row>
    <row r="289" spans="1:7" x14ac:dyDescent="0.45">
      <c r="A289"/>
      <c r="B289"/>
      <c r="F289" s="61"/>
      <c r="G289" s="61"/>
    </row>
    <row r="290" spans="1:7" x14ac:dyDescent="0.45">
      <c r="A290"/>
      <c r="B290"/>
      <c r="F290" s="61"/>
      <c r="G290" s="61"/>
    </row>
    <row r="291" spans="1:7" x14ac:dyDescent="0.45">
      <c r="A291"/>
      <c r="B291"/>
      <c r="F291" s="61"/>
      <c r="G291" s="61"/>
    </row>
    <row r="292" spans="1:7" x14ac:dyDescent="0.45">
      <c r="A292"/>
      <c r="B292"/>
      <c r="F292" s="61"/>
      <c r="G292" s="61"/>
    </row>
    <row r="293" spans="1:7" x14ac:dyDescent="0.45">
      <c r="A293"/>
      <c r="B293"/>
      <c r="F293" s="61"/>
      <c r="G293" s="61"/>
    </row>
    <row r="294" spans="1:7" x14ac:dyDescent="0.45">
      <c r="A294"/>
      <c r="B294"/>
      <c r="F294" s="61"/>
      <c r="G294" s="61"/>
    </row>
    <row r="295" spans="1:7" x14ac:dyDescent="0.45">
      <c r="A295"/>
      <c r="B295"/>
      <c r="F295" s="61"/>
      <c r="G295" s="61"/>
    </row>
    <row r="296" spans="1:7" x14ac:dyDescent="0.45">
      <c r="A296"/>
      <c r="B296"/>
      <c r="F296" s="61"/>
      <c r="G296" s="61"/>
    </row>
    <row r="297" spans="1:7" x14ac:dyDescent="0.45">
      <c r="A297"/>
      <c r="B297"/>
      <c r="F297" s="61"/>
      <c r="G297" s="61"/>
    </row>
    <row r="298" spans="1:7" x14ac:dyDescent="0.45">
      <c r="A298"/>
      <c r="B298"/>
      <c r="F298" s="61"/>
      <c r="G298" s="61"/>
    </row>
    <row r="299" spans="1:7" x14ac:dyDescent="0.45">
      <c r="A299"/>
      <c r="B299"/>
      <c r="F299" s="61"/>
      <c r="G299" s="61"/>
    </row>
    <row r="300" spans="1:7" x14ac:dyDescent="0.45">
      <c r="A300"/>
      <c r="B300"/>
      <c r="F300" s="61"/>
      <c r="G300" s="61"/>
    </row>
    <row r="301" spans="1:7" x14ac:dyDescent="0.45">
      <c r="A301"/>
      <c r="B301"/>
      <c r="F301" s="61"/>
      <c r="G301" s="61"/>
    </row>
    <row r="302" spans="1:7" x14ac:dyDescent="0.45">
      <c r="A302"/>
      <c r="B302"/>
      <c r="F302" s="61"/>
      <c r="G302" s="61"/>
    </row>
    <row r="303" spans="1:7" x14ac:dyDescent="0.45">
      <c r="A303"/>
      <c r="B303"/>
      <c r="F303" s="61"/>
      <c r="G303" s="61"/>
    </row>
    <row r="304" spans="1:7" x14ac:dyDescent="0.45">
      <c r="A304"/>
      <c r="B304"/>
      <c r="F304" s="61"/>
      <c r="G304" s="61"/>
    </row>
    <row r="305" spans="1:7" x14ac:dyDescent="0.45">
      <c r="A305"/>
      <c r="B305"/>
      <c r="F305" s="61"/>
      <c r="G305" s="61"/>
    </row>
    <row r="306" spans="1:7" x14ac:dyDescent="0.45">
      <c r="A306"/>
      <c r="B306"/>
      <c r="F306" s="61"/>
      <c r="G306" s="61"/>
    </row>
    <row r="307" spans="1:7" x14ac:dyDescent="0.45">
      <c r="A307"/>
      <c r="B307"/>
      <c r="F307" s="61"/>
      <c r="G307" s="61"/>
    </row>
    <row r="308" spans="1:7" x14ac:dyDescent="0.45">
      <c r="A308"/>
      <c r="B308"/>
      <c r="F308" s="61"/>
      <c r="G308" s="61"/>
    </row>
    <row r="309" spans="1:7" x14ac:dyDescent="0.45">
      <c r="A309"/>
      <c r="B309"/>
      <c r="F309" s="61"/>
      <c r="G309" s="61"/>
    </row>
    <row r="310" spans="1:7" x14ac:dyDescent="0.45">
      <c r="A310"/>
      <c r="B310"/>
      <c r="F310" s="61"/>
      <c r="G310" s="61"/>
    </row>
    <row r="311" spans="1:7" x14ac:dyDescent="0.45">
      <c r="A311"/>
      <c r="B311"/>
      <c r="F311" s="61"/>
      <c r="G311" s="61"/>
    </row>
    <row r="312" spans="1:7" x14ac:dyDescent="0.45">
      <c r="A312"/>
      <c r="B312"/>
      <c r="F312" s="61"/>
      <c r="G312" s="61"/>
    </row>
    <row r="313" spans="1:7" x14ac:dyDescent="0.45">
      <c r="A313"/>
      <c r="B313"/>
      <c r="F313" s="61"/>
      <c r="G313" s="61"/>
    </row>
    <row r="314" spans="1:7" x14ac:dyDescent="0.45">
      <c r="A314"/>
      <c r="B314"/>
      <c r="F314" s="61"/>
      <c r="G314" s="61"/>
    </row>
    <row r="315" spans="1:7" x14ac:dyDescent="0.45">
      <c r="A315"/>
      <c r="B315"/>
      <c r="F315" s="61"/>
      <c r="G315" s="61"/>
    </row>
    <row r="316" spans="1:7" x14ac:dyDescent="0.45">
      <c r="A316"/>
      <c r="B316"/>
      <c r="F316" s="61"/>
      <c r="G316" s="61"/>
    </row>
    <row r="317" spans="1:7" x14ac:dyDescent="0.45">
      <c r="A317"/>
      <c r="B317"/>
      <c r="F317" s="61"/>
      <c r="G317" s="61"/>
    </row>
    <row r="318" spans="1:7" x14ac:dyDescent="0.45">
      <c r="A318"/>
      <c r="B318"/>
      <c r="F318" s="61"/>
      <c r="G318" s="61"/>
    </row>
    <row r="319" spans="1:7" x14ac:dyDescent="0.45">
      <c r="A319"/>
      <c r="B319"/>
      <c r="F319" s="61"/>
      <c r="G319" s="61"/>
    </row>
    <row r="320" spans="1:7" x14ac:dyDescent="0.45">
      <c r="A320"/>
      <c r="B320"/>
      <c r="F320" s="61"/>
      <c r="G320" s="61"/>
    </row>
    <row r="321" spans="1:7" x14ac:dyDescent="0.45">
      <c r="A321"/>
      <c r="B321"/>
      <c r="F321" s="61"/>
      <c r="G321" s="61"/>
    </row>
    <row r="322" spans="1:7" x14ac:dyDescent="0.45">
      <c r="A322"/>
      <c r="B322"/>
      <c r="F322" s="61"/>
      <c r="G322" s="61"/>
    </row>
    <row r="323" spans="1:7" x14ac:dyDescent="0.45">
      <c r="F323" s="61"/>
      <c r="G323" s="61"/>
    </row>
    <row r="324" spans="1:7" x14ac:dyDescent="0.45">
      <c r="F324" s="61"/>
      <c r="G324" s="61"/>
    </row>
    <row r="325" spans="1:7" x14ac:dyDescent="0.45">
      <c r="F325" s="61"/>
      <c r="G325" s="61"/>
    </row>
    <row r="326" spans="1:7" x14ac:dyDescent="0.45">
      <c r="F326" s="61"/>
      <c r="G326" s="61"/>
    </row>
    <row r="327" spans="1:7" x14ac:dyDescent="0.45">
      <c r="F327" s="61"/>
      <c r="G327" s="61"/>
    </row>
    <row r="328" spans="1:7" x14ac:dyDescent="0.45">
      <c r="F328" s="61"/>
      <c r="G328" s="61"/>
    </row>
    <row r="329" spans="1:7" x14ac:dyDescent="0.45">
      <c r="F329" s="61"/>
      <c r="G329" s="61"/>
    </row>
    <row r="330" spans="1:7" x14ac:dyDescent="0.45">
      <c r="F330" s="61"/>
      <c r="G330" s="61"/>
    </row>
    <row r="331" spans="1:7" x14ac:dyDescent="0.45">
      <c r="F331" s="61"/>
      <c r="G331" s="61"/>
    </row>
    <row r="332" spans="1:7" x14ac:dyDescent="0.45">
      <c r="F332" s="61"/>
      <c r="G332" s="61"/>
    </row>
    <row r="333" spans="1:7" x14ac:dyDescent="0.45">
      <c r="F333" s="61"/>
      <c r="G333" s="61"/>
    </row>
    <row r="334" spans="1:7" x14ac:dyDescent="0.45">
      <c r="F334" s="61"/>
      <c r="G334" s="61"/>
    </row>
    <row r="335" spans="1:7" x14ac:dyDescent="0.45">
      <c r="F335" s="61"/>
      <c r="G335" s="61"/>
    </row>
    <row r="336" spans="1:7" x14ac:dyDescent="0.45">
      <c r="F336" s="61"/>
      <c r="G336" s="61"/>
    </row>
    <row r="337" spans="6:7" x14ac:dyDescent="0.45">
      <c r="F337" s="61"/>
      <c r="G337" s="61"/>
    </row>
    <row r="338" spans="6:7" x14ac:dyDescent="0.45">
      <c r="F338" s="61"/>
      <c r="G338" s="61"/>
    </row>
    <row r="339" spans="6:7" x14ac:dyDescent="0.45">
      <c r="F339" s="61"/>
      <c r="G339" s="61"/>
    </row>
    <row r="340" spans="6:7" x14ac:dyDescent="0.45">
      <c r="F340" s="61"/>
      <c r="G340" s="61"/>
    </row>
    <row r="341" spans="6:7" x14ac:dyDescent="0.45">
      <c r="F341" s="61"/>
      <c r="G341" s="61"/>
    </row>
    <row r="342" spans="6:7" x14ac:dyDescent="0.45">
      <c r="F342" s="61"/>
      <c r="G342" s="61"/>
    </row>
    <row r="343" spans="6:7" x14ac:dyDescent="0.45">
      <c r="F343" s="61"/>
      <c r="G343" s="61"/>
    </row>
    <row r="344" spans="6:7" x14ac:dyDescent="0.45">
      <c r="F344" s="61"/>
      <c r="G344" s="61"/>
    </row>
    <row r="345" spans="6:7" x14ac:dyDescent="0.45">
      <c r="F345" s="61"/>
      <c r="G345" s="61"/>
    </row>
    <row r="346" spans="6:7" x14ac:dyDescent="0.45">
      <c r="F346" s="61"/>
      <c r="G346" s="61"/>
    </row>
    <row r="347" spans="6:7" x14ac:dyDescent="0.45">
      <c r="F347" s="61"/>
      <c r="G347" s="61"/>
    </row>
    <row r="348" spans="6:7" x14ac:dyDescent="0.45">
      <c r="F348" s="61"/>
      <c r="G348" s="61"/>
    </row>
    <row r="349" spans="6:7" x14ac:dyDescent="0.45">
      <c r="F349" s="61"/>
      <c r="G349" s="61"/>
    </row>
    <row r="350" spans="6:7" x14ac:dyDescent="0.45">
      <c r="F350" s="61"/>
      <c r="G350" s="61"/>
    </row>
    <row r="351" spans="6:7" x14ac:dyDescent="0.45">
      <c r="F351" s="61"/>
      <c r="G351" s="61"/>
    </row>
    <row r="352" spans="6:7" x14ac:dyDescent="0.45">
      <c r="F352" s="61"/>
      <c r="G352" s="61"/>
    </row>
    <row r="353" spans="6:7" x14ac:dyDescent="0.45">
      <c r="F353" s="61"/>
      <c r="G353" s="61"/>
    </row>
    <row r="354" spans="6:7" x14ac:dyDescent="0.45">
      <c r="F354" s="61"/>
      <c r="G354" s="61"/>
    </row>
    <row r="355" spans="6:7" x14ac:dyDescent="0.45">
      <c r="F355" s="61"/>
      <c r="G355" s="61"/>
    </row>
    <row r="356" spans="6:7" x14ac:dyDescent="0.45">
      <c r="F356" s="61"/>
      <c r="G356" s="61"/>
    </row>
    <row r="357" spans="6:7" x14ac:dyDescent="0.45">
      <c r="F357" s="61"/>
      <c r="G357" s="61"/>
    </row>
    <row r="358" spans="6:7" x14ac:dyDescent="0.45">
      <c r="F358" s="61"/>
      <c r="G358" s="61"/>
    </row>
    <row r="359" spans="6:7" x14ac:dyDescent="0.45">
      <c r="F359" s="61"/>
      <c r="G359" s="61"/>
    </row>
    <row r="360" spans="6:7" x14ac:dyDescent="0.45">
      <c r="F360" s="61"/>
      <c r="G360" s="61"/>
    </row>
    <row r="361" spans="6:7" x14ac:dyDescent="0.45">
      <c r="F361" s="61"/>
      <c r="G361" s="61"/>
    </row>
    <row r="362" spans="6:7" x14ac:dyDescent="0.45">
      <c r="F362" s="61"/>
      <c r="G362" s="61"/>
    </row>
    <row r="363" spans="6:7" x14ac:dyDescent="0.45">
      <c r="F363" s="61"/>
      <c r="G363" s="61"/>
    </row>
    <row r="364" spans="6:7" x14ac:dyDescent="0.45">
      <c r="F364" s="61"/>
      <c r="G364" s="61"/>
    </row>
    <row r="365" spans="6:7" x14ac:dyDescent="0.45">
      <c r="F365" s="61"/>
      <c r="G365" s="61"/>
    </row>
    <row r="366" spans="6:7" x14ac:dyDescent="0.45">
      <c r="F366" s="61"/>
      <c r="G366" s="61"/>
    </row>
  </sheetData>
  <sheetProtection algorithmName="SHA-512" hashValue="hro/CUiwOEHH9jPh7h0LGDdVlO4tplze6l7dejSps1Npv/GLpYRZRSKy6MgrB+v/ogiq6vWXH4v7nBaN/VEy8g==" saltValue="9ZQl+pHTgcMJuj5YiIrHxw==" spinCount="100000" sheet="1" objects="1" scenario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4E7E8-2ADB-4388-8FE1-37077495030F}">
  <sheetPr codeName="Sheet2"/>
  <dimension ref="B1:I35"/>
  <sheetViews>
    <sheetView showGridLines="0" tabSelected="1" zoomScale="85" zoomScaleNormal="85" workbookViewId="0">
      <selection activeCell="C4" sqref="C4"/>
    </sheetView>
  </sheetViews>
  <sheetFormatPr defaultRowHeight="14.25" x14ac:dyDescent="0.45"/>
  <cols>
    <col min="1" max="1" width="3.73046875" customWidth="1"/>
    <col min="2" max="2" width="84.86328125" customWidth="1"/>
    <col min="3" max="3" width="36.86328125" customWidth="1"/>
    <col min="4" max="4" width="28.3984375" customWidth="1"/>
    <col min="5" max="5" width="4.59765625" customWidth="1"/>
    <col min="6" max="6" width="4" customWidth="1"/>
    <col min="7" max="7" width="79.265625" customWidth="1"/>
    <col min="8" max="8" width="27" customWidth="1"/>
    <col min="9" max="9" width="28.265625" customWidth="1"/>
  </cols>
  <sheetData>
    <row r="1" spans="2:9" ht="14.65" thickBot="1" x14ac:dyDescent="0.5"/>
    <row r="2" spans="2:9" ht="30.75" customHeight="1" thickBot="1" x14ac:dyDescent="0.5">
      <c r="B2" s="128" t="s">
        <v>25</v>
      </c>
      <c r="C2" s="156" t="str">
        <f>IF(PassFail_Overall&lt;&gt;"Incomplete","Overall result: "&amp;PassFail_Overall,"")</f>
        <v/>
      </c>
    </row>
    <row r="3" spans="2:9" ht="20.25" customHeight="1" thickBot="1" x14ac:dyDescent="0.5">
      <c r="G3" s="50" t="s">
        <v>26</v>
      </c>
    </row>
    <row r="4" spans="2:9" ht="38.25" customHeight="1" x14ac:dyDescent="0.45">
      <c r="B4" s="17" t="s">
        <v>294</v>
      </c>
      <c r="C4" s="48"/>
      <c r="G4" s="169" t="str">
        <f>IF(In_ObligorSub="No",Msg_Parent,Msg_Parent&amp;CHAR(10)&amp;Msg_Sub)</f>
        <v xml:space="preserve">Please provide the Bank Customer name.
Please provide the Bank Customer subsidiary status.
Please provide the Bank Customer SME status.
</v>
      </c>
    </row>
    <row r="5" spans="2:9" ht="38.25" customHeight="1" x14ac:dyDescent="0.45">
      <c r="B5" s="31" t="s">
        <v>295</v>
      </c>
      <c r="C5" s="49"/>
      <c r="G5" s="170"/>
    </row>
    <row r="6" spans="2:9" ht="38.25" customHeight="1" thickBot="1" x14ac:dyDescent="0.5">
      <c r="B6" s="19" t="str">
        <f>IF(In_ObligorSub="Yes","Is Parent Obligor an SME","Is Bank Customer an SME")</f>
        <v>Is Bank Customer an SME</v>
      </c>
      <c r="C6" s="44"/>
      <c r="G6" s="171"/>
    </row>
    <row r="7" spans="2:9" ht="31.5" customHeight="1" thickBot="1" x14ac:dyDescent="0.5">
      <c r="B7" s="149" t="str">
        <f>IF(In_ObligorSub="Yes","Is Bank Customer an SME?","")</f>
        <v/>
      </c>
      <c r="C7" s="45"/>
    </row>
    <row r="8" spans="2:9" ht="13.5" customHeight="1" thickBot="1" x14ac:dyDescent="0.5"/>
    <row r="9" spans="2:9" ht="14.65" thickBot="1" x14ac:dyDescent="0.5">
      <c r="B9" s="43" t="str">
        <f>IF(In_ObligorSub="Yes","Parent Obligor","Bank Customer")&amp;" (consolidated, if available)"</f>
        <v>Bank Customer (consolidated, if available)</v>
      </c>
      <c r="G9" s="43" t="str">
        <f>IF(In_ObligorSub="Yes","Bank Customer","")&amp;" (consolidated, if available)"</f>
        <v xml:space="preserve"> (consolidated, if available)</v>
      </c>
      <c r="I9" s="46"/>
    </row>
    <row r="10" spans="2:9" x14ac:dyDescent="0.45">
      <c r="B10" s="17" t="s">
        <v>0</v>
      </c>
      <c r="C10" s="18" t="s">
        <v>8</v>
      </c>
      <c r="G10" s="17" t="s">
        <v>0</v>
      </c>
      <c r="H10" s="18" t="s">
        <v>8</v>
      </c>
    </row>
    <row r="11" spans="2:9" ht="19.5" customHeight="1" thickBot="1" x14ac:dyDescent="0.5">
      <c r="B11" s="20" t="str">
        <f>"Q.1. Has the "&amp;IF(In_ObligorSub="No","Bank Customer","Parent Obligor")&amp;" been incorporated for more than 3 years?"</f>
        <v>Q.1. Has the Parent Obligor been incorporated for more than 3 years?</v>
      </c>
      <c r="C11" s="44"/>
      <c r="G11" s="20" t="s">
        <v>296</v>
      </c>
      <c r="H11" s="44"/>
    </row>
    <row r="12" spans="2:9" ht="26.25" customHeight="1" thickBot="1" x14ac:dyDescent="0.5">
      <c r="B12" s="167" t="str">
        <f>IF(AND(Calculations!G6=TRUE,In_3YrInc="No",$C$2&lt;&gt;"",In_ObligorSME="Yes"),"There are no further questions to answer. Eligibile Person.","")</f>
        <v/>
      </c>
      <c r="C12" s="167"/>
      <c r="G12" s="167" t="str">
        <f>IF(AND(Calculations!G20=TRUE,In_3YrInc_Sub="No",$C$2&lt;&gt;"",In_ObligorSMESub="Yes"),"There are no further questions to answer. Eligibile Person.","")</f>
        <v/>
      </c>
      <c r="H12" s="167"/>
      <c r="I12" s="46"/>
    </row>
    <row r="13" spans="2:9" ht="14.65" thickBot="1" x14ac:dyDescent="0.5">
      <c r="B13" s="21" t="s">
        <v>297</v>
      </c>
      <c r="C13" s="45"/>
      <c r="G13" s="21" t="s">
        <v>297</v>
      </c>
      <c r="H13" s="45"/>
    </row>
    <row r="14" spans="2:9" ht="26.25" customHeight="1" thickBot="1" x14ac:dyDescent="0.5">
      <c r="B14" s="168" t="str">
        <f>IF(AND(Calculations!G7=TRUE,In_LossResNeg="No",$C$2&lt;&gt;"",In_ObligorSME="Yes"),"There are no further questions to answer. Eligibile Person.","")</f>
        <v/>
      </c>
      <c r="C14" s="168"/>
      <c r="G14" s="168" t="str">
        <f>IF(AND(Calculations!G21=TRUE,In_LossResNeg_Sub="No",$C$2&lt;&gt;"",In_ObligorSMESub="Yes"),"There are no further questions to answer. Eligibile Person.","")</f>
        <v/>
      </c>
      <c r="H14" s="168"/>
      <c r="I14" s="46"/>
    </row>
    <row r="15" spans="2:9" x14ac:dyDescent="0.45">
      <c r="B15" s="14" t="s">
        <v>298</v>
      </c>
      <c r="C15" s="157"/>
      <c r="G15" s="14" t="s">
        <v>298</v>
      </c>
      <c r="H15" s="157"/>
    </row>
    <row r="16" spans="2:9" x14ac:dyDescent="0.45">
      <c r="B16" s="4" t="s">
        <v>332</v>
      </c>
      <c r="C16" s="158"/>
      <c r="G16" s="4" t="s">
        <v>332</v>
      </c>
      <c r="H16" s="158"/>
    </row>
    <row r="17" spans="2:9" ht="14.65" thickBot="1" x14ac:dyDescent="0.5">
      <c r="B17" s="3"/>
      <c r="C17" s="159" t="str">
        <f>IF(AND(Calculations!G8,Calculations!E8),IF(Calculations!D8,IF(In_Capital=0,0,In_Profit/ABS(In_Capital)),""),"")</f>
        <v/>
      </c>
      <c r="G17" s="3"/>
      <c r="H17" s="159" t="str">
        <f>IF(AND(Calculations!E22,Calculations!G22),IF(Calculations!D22,IF(In_Capital_Sub=0,0,In_Profit_Sub/ABS(In_Capital_Sub)),""),"")</f>
        <v/>
      </c>
    </row>
    <row r="18" spans="2:9" ht="32.25" customHeight="1" thickBot="1" x14ac:dyDescent="0.5">
      <c r="B18" s="22" t="str">
        <f>IF(Calculations!G8=FALSE,"","Q.3 Is the ratio of b) to a) less than -50%?")</f>
        <v/>
      </c>
      <c r="C18" s="160" t="str">
        <f>IF(Calc_FundsRatio="","",IF(OR(In_Capital="",In_Profit=""),"",IF(Calc_FundsRatio&lt;=-50%,"Yes","No")))</f>
        <v/>
      </c>
      <c r="G18" s="22" t="str">
        <f>IF(Calculations!G8=FALSE,"","Q.3. Is the ratio of b) to a) less than -50%?")</f>
        <v/>
      </c>
      <c r="H18" s="160" t="str">
        <f>IF(Calc_FundsRatio_Sub="","",IF(OR(In_Capital_Sub="",In_Profit_Sub=""),"",IF(Calc_FundsRatio_Sub&lt;=-50%,"Yes","No")))</f>
        <v/>
      </c>
    </row>
    <row r="19" spans="2:9" ht="26.25" customHeight="1" x14ac:dyDescent="0.45">
      <c r="B19" s="166" t="str">
        <f>IF($C$2="","",IF(Calc_ShareholderFunds="Yes","Non Eligibile Person.",IF(AND(Calculations!G8=TRUE,In_ObligorSME="Yes",Calc_ShareholderFunds="No"),"No further questions to answer. Eligibile Person.","")))</f>
        <v/>
      </c>
      <c r="C19" s="166"/>
      <c r="G19" s="166" t="str">
        <f>IF($C$2="","",IF(Calc_ShareholderFunds_Sub="Yes","Non Eligibile Person.",IF(AND(Calculations!G22=TRUE,In_ObligorSMESub="Yes",Calc_ShareholderFunds_Sub="No"),"No further questions to answer. Eligibile Person.","")))</f>
        <v/>
      </c>
      <c r="H19" s="166"/>
    </row>
    <row r="20" spans="2:9" ht="6" customHeight="1" thickBot="1" x14ac:dyDescent="0.5"/>
    <row r="21" spans="2:9" ht="14.65" thickBot="1" x14ac:dyDescent="0.5">
      <c r="B21" s="177" t="str">
        <f>IF(In_ObligorSub="Yes","INPUT IF PARENT OBLIGOR IS NON-SME","INPUT IF BANK CUSTOMER IS NON-SME")</f>
        <v>INPUT IF BANK CUSTOMER IS NON-SME</v>
      </c>
      <c r="C21" s="178"/>
      <c r="D21" s="179"/>
      <c r="G21" s="177" t="s">
        <v>299</v>
      </c>
      <c r="H21" s="178"/>
      <c r="I21" s="179"/>
    </row>
    <row r="22" spans="2:9" x14ac:dyDescent="0.45">
      <c r="B22" s="172" t="s">
        <v>300</v>
      </c>
      <c r="C22" s="9" t="s">
        <v>333</v>
      </c>
      <c r="D22" s="10" t="s">
        <v>334</v>
      </c>
      <c r="G22" s="172" t="s">
        <v>300</v>
      </c>
      <c r="H22" s="9" t="s">
        <v>333</v>
      </c>
      <c r="I22" s="10" t="s">
        <v>334</v>
      </c>
    </row>
    <row r="23" spans="2:9" x14ac:dyDescent="0.45">
      <c r="B23" s="173"/>
      <c r="C23" s="120"/>
      <c r="D23" s="121"/>
      <c r="G23" s="173"/>
      <c r="H23" s="120"/>
      <c r="I23" s="121"/>
    </row>
    <row r="24" spans="2:9" x14ac:dyDescent="0.45">
      <c r="B24" s="2" t="s">
        <v>3</v>
      </c>
      <c r="C24" s="122"/>
      <c r="D24" s="123"/>
      <c r="G24" s="2" t="s">
        <v>3</v>
      </c>
      <c r="H24" s="122"/>
      <c r="I24" s="123"/>
    </row>
    <row r="25" spans="2:9" x14ac:dyDescent="0.45">
      <c r="B25" s="2" t="s">
        <v>4</v>
      </c>
      <c r="C25" s="122"/>
      <c r="D25" s="124"/>
      <c r="G25" s="2" t="s">
        <v>4</v>
      </c>
      <c r="H25" s="122"/>
      <c r="I25" s="124"/>
    </row>
    <row r="26" spans="2:9" x14ac:dyDescent="0.45">
      <c r="B26" s="5" t="s">
        <v>301</v>
      </c>
      <c r="C26" s="125"/>
      <c r="D26" s="123"/>
      <c r="G26" s="5" t="s">
        <v>301</v>
      </c>
      <c r="H26" s="125"/>
      <c r="I26" s="123"/>
    </row>
    <row r="27" spans="2:9" x14ac:dyDescent="0.45">
      <c r="B27" s="5" t="s">
        <v>302</v>
      </c>
      <c r="C27" s="125"/>
      <c r="D27" s="123"/>
      <c r="G27" s="5" t="s">
        <v>302</v>
      </c>
      <c r="H27" s="125"/>
      <c r="I27" s="123"/>
    </row>
    <row r="28" spans="2:9" ht="6" customHeight="1" x14ac:dyDescent="0.45">
      <c r="B28" s="6"/>
      <c r="C28" s="1"/>
      <c r="D28" s="11"/>
      <c r="G28" s="6"/>
      <c r="H28" s="1"/>
      <c r="I28" s="11"/>
    </row>
    <row r="29" spans="2:9" x14ac:dyDescent="0.45">
      <c r="B29" s="7" t="s">
        <v>303</v>
      </c>
      <c r="C29" s="12" t="str">
        <f>IF(Calculations!G10,IF(AND(ISNUMBER(In_EBITDA1),ISNUMBER(In_Interest1)),IF(In_Interest1=0,0,(ABS(In_EBITDA1)/In_Interest1)),""),"")</f>
        <v/>
      </c>
      <c r="D29" s="23" t="str">
        <f>IF(Calculations!G10,IF(AND(ISNUMBER(In_EBITDA2),ISNUMBER(In_Interest2)),IF(In_Interest2=0,0,(ABS(In_EBITDA2)/In_Interest2)),""),"")</f>
        <v/>
      </c>
      <c r="G29" s="7" t="s">
        <v>303</v>
      </c>
      <c r="H29" s="12" t="str">
        <f>IF(Calculations!G24,IF(AND(ISNUMBER(In_EBITDA1_Sub),ISNUMBER(In_Interest1_Sub)),IF(In_Interest1_Sub=0,0,(ABS(In_EBITDA1_Sub)/In_Interest1_Sub)),""),"")</f>
        <v/>
      </c>
      <c r="I29" s="23" t="str">
        <f>IF(Calculations!G24,IF(AND(ISNUMBER(In_EBITDA2_Sub),ISNUMBER(In_Interest2_Sub)),IF(In_Interest2_Sub=0,0,(ABS(In_EBITDA2_Sub)/In_Interest2_Sub)),""),"")</f>
        <v/>
      </c>
    </row>
    <row r="30" spans="2:9" ht="14.65" thickBot="1" x14ac:dyDescent="0.5">
      <c r="B30" s="8" t="s">
        <v>304</v>
      </c>
      <c r="C30" s="13" t="str">
        <f>IF(Calculations!G13,IF(AND(ISNUMBER(In_Debt1),ISNUMBER(In_Funds1)),IF(In_Funds1=0,0,ABS(In_Debt1)/In_Funds1),""),"")</f>
        <v/>
      </c>
      <c r="D30" s="24" t="str">
        <f>IF(Calculations!G13,IF(AND(ISNUMBER(In_Debt2),ISNUMBER(In_Funds2)),IF(In_Funds2=0,0,ABS(In_Debt2)/In_Funds2),""),"")</f>
        <v/>
      </c>
      <c r="G30" s="8" t="s">
        <v>304</v>
      </c>
      <c r="H30" s="13" t="str">
        <f>IF(Calculations!G27,IF(AND(ISNUMBER(In_Debt1_Sub),ISNUMBER(In_Funds1_Sub)),IF(In_Funds1_Sub=0,0,ABS(In_Debt1_Sub)/In_Funds1_Sub),""),"")</f>
        <v/>
      </c>
      <c r="I30" s="24" t="str">
        <f>IF(Calculations!G27,IF(AND(ISNUMBER(In_Debt2_Sub),ISNUMBER(In_Funds2_Sub)),IF(In_Funds2_Sub=0,0,ABS(In_Debt2_Sub)/In_Funds2_Sub),""),"")</f>
        <v/>
      </c>
    </row>
    <row r="31" spans="2:9" ht="6" customHeight="1" thickBot="1" x14ac:dyDescent="0.5"/>
    <row r="32" spans="2:9" ht="14.65" thickBot="1" x14ac:dyDescent="0.5">
      <c r="B32" s="25" t="s">
        <v>5</v>
      </c>
      <c r="C32" s="26" t="s">
        <v>1</v>
      </c>
      <c r="D32" s="27" t="s">
        <v>2</v>
      </c>
      <c r="G32" s="25" t="s">
        <v>5</v>
      </c>
      <c r="H32" s="26" t="s">
        <v>1</v>
      </c>
      <c r="I32" s="27" t="s">
        <v>2</v>
      </c>
    </row>
    <row r="33" spans="2:9" ht="25.5" customHeight="1" x14ac:dyDescent="0.45">
      <c r="B33" s="16" t="s">
        <v>305</v>
      </c>
      <c r="C33" s="29" t="str">
        <f>IF(OR(Calc_EBITDARatio1="",Calc_EBITDARatio2=""),"",IF(OR(Calc_EBITDARatio1&gt;1,Calc_EBITDARatio2&gt;1),"Pass",IF(AND(Calc_EBITDARatio1=0,Calc_EBITDARatio2=0),"Pass","Fail")))</f>
        <v/>
      </c>
      <c r="D33" s="180" t="s">
        <v>307</v>
      </c>
      <c r="G33" s="16" t="s">
        <v>305</v>
      </c>
      <c r="H33" s="29" t="str">
        <f>IF(OR(Calc_EBITDARatio1_Sub="",Calc_EBITDARatio2_Sub=""),"",IF(OR(Calc_EBITDARatio1_Sub&gt;1,Calc_EBITDARatio2_Sub&gt;1),"Pass",IF(AND(Calc_EBITDARatio1_Sub=0,Calc_EBITDARatio2_Sub=0),"Pass","Fail")))</f>
        <v/>
      </c>
      <c r="I33" s="180" t="s">
        <v>307</v>
      </c>
    </row>
    <row r="34" spans="2:9" ht="25.5" customHeight="1" thickBot="1" x14ac:dyDescent="0.5">
      <c r="B34" s="28" t="s">
        <v>306</v>
      </c>
      <c r="C34" s="30" t="str">
        <f>IF(OR(Calc_DebtRatio1="",Calc_DebtRatio2=""),"",IF(OR(Calc_DebtRatio1&lt;7.5,Calc_DebtRatio2&lt;7.5),IF(AND(Calc_DebtRatio1&lt;0,Calc_DebtRatio2&lt;0),"Fail","Pass"),"Fail"))</f>
        <v/>
      </c>
      <c r="D34" s="181"/>
      <c r="E34" s="1"/>
      <c r="G34" s="28" t="s">
        <v>306</v>
      </c>
      <c r="H34" s="30" t="str">
        <f>IF(OR(Calc_DebtRatio1_Sub="",Calc_DebtRatio2_Sub=""),"",IF(OR(Calc_DebtRatio1_Sub&lt;7.5,Calc_DebtRatio2_Sub&lt;7.5),IF(AND(Calc_DebtRatio1_Sub&lt;0,Calc_DebtRatio2_Sub&lt;0),"Fail","Pass"),"Fail"))</f>
        <v/>
      </c>
      <c r="I34" s="181"/>
    </row>
    <row r="35" spans="2:9" ht="14.65" thickBot="1" x14ac:dyDescent="0.5">
      <c r="B35" s="174" t="str">
        <f>IF(OR(Calc_DebtTest="",Calc_EBITDATest=""),"",IF(OR(Calc_DebtTest="Pass",Calc_EBITDATest="Pass")," Eligibile Person.","Non Eligibile Person."))</f>
        <v/>
      </c>
      <c r="C35" s="175"/>
      <c r="D35" s="176"/>
      <c r="G35" s="174" t="str">
        <f>IF(OR(Calc_DebtTest_Sub="",Calc_EBITDATest_Sub=""),"",IF(OR(Calc_DebtTest_Sub="Pass",Calc_EBITDATest_Sub="Pass"),"Eligibile Person.","Non Eligibile Person."))</f>
        <v/>
      </c>
      <c r="H35" s="175"/>
      <c r="I35" s="176"/>
    </row>
  </sheetData>
  <sheetProtection algorithmName="SHA-512" hashValue="q87rx9YBVwPdBET08bw4aZRKOsip31l/WpnURJprqmUTxbnyLCEhAFT0SsNAriLaI9MxwxDt/2T06RUBiTnLOg==" saltValue="ORWIc+Af8mTXWWIb+TSMIg==" spinCount="100000" sheet="1" selectLockedCells="1"/>
  <dataConsolidate/>
  <mergeCells count="15">
    <mergeCell ref="B35:D35"/>
    <mergeCell ref="B21:D21"/>
    <mergeCell ref="D33:D34"/>
    <mergeCell ref="G21:I21"/>
    <mergeCell ref="G22:G23"/>
    <mergeCell ref="I33:I34"/>
    <mergeCell ref="G35:I35"/>
    <mergeCell ref="G19:H19"/>
    <mergeCell ref="G12:H12"/>
    <mergeCell ref="G14:H14"/>
    <mergeCell ref="G4:G6"/>
    <mergeCell ref="B22:B23"/>
    <mergeCell ref="B12:C12"/>
    <mergeCell ref="B14:C14"/>
    <mergeCell ref="B19:C19"/>
  </mergeCells>
  <conditionalFormatting sqref="B19">
    <cfRule type="expression" dxfId="18" priority="34">
      <formula>AND(Calc_ShareholderFunds="Yes",$C$2&lt;&gt;"")</formula>
    </cfRule>
  </conditionalFormatting>
  <conditionalFormatting sqref="G19">
    <cfRule type="expression" dxfId="17" priority="9">
      <formula>AND(Calc_ShareholderFunds_Sub="Yes",$C$2&lt;&gt;"")</formula>
    </cfRule>
  </conditionalFormatting>
  <conditionalFormatting sqref="C2">
    <cfRule type="expression" dxfId="16" priority="3">
      <formula>PassFail_Overall="Fail"</formula>
    </cfRule>
    <cfRule type="expression" dxfId="15" priority="4">
      <formula>PassFail_Overall="Pass"</formula>
    </cfRule>
  </conditionalFormatting>
  <dataValidations count="6">
    <dataValidation type="custom" allowBlank="1" showInputMessage="1" showErrorMessage="1" errorTitle="Input Error" error="Question 3 requires numerical inputs. Please try again." promptTitle="Profit and Loss" prompt="Please provide profit and loss figures as per the lastest annual statements." sqref="H16 C16" xr:uid="{8D35C00B-6314-49A8-B09D-37C208D33AC2}">
      <formula1>ISNUMBER(C16)</formula1>
    </dataValidation>
    <dataValidation type="custom" allowBlank="1" showInputMessage="1" showErrorMessage="1" errorTitle="Input Error" error="Question 3 requires numerical inputs. Please try again." promptTitle="Share Capital" prompt="Please provide share capital figures as per the lastest annual statements." sqref="H15 C15" xr:uid="{04DDA1AD-85A3-465B-92B1-62D19C5021C6}">
      <formula1>ISNUMBER(C15)</formula1>
    </dataValidation>
    <dataValidation type="custom" allowBlank="1" showInputMessage="1" showErrorMessage="1" errorTitle="Input Error" error="Non-SME questions require numeric inputs. Please try again." sqref="C24:D27 H24:I27" xr:uid="{3E07B125-49CB-4A0C-A125-63BC89E5DD22}">
      <formula1>ISNUMBER(C24)</formula1>
    </dataValidation>
    <dataValidation type="date" operator="greaterThan" allowBlank="1" showInputMessage="1" showErrorMessage="1" errorTitle="Date" error="Please provide a date from 2000 onwards" promptTitle="Latest accounting period" prompt="Please provide the date of the latest accounting period in accordance with statutory accounts (dd/mm/yy)" sqref="C23:D23 H23:I23" xr:uid="{7E2168D7-F6D9-40EA-BE68-0C2F26AEA586}">
      <formula1>36526</formula1>
    </dataValidation>
    <dataValidation type="list" allowBlank="1" showInputMessage="1" showErrorMessage="1" errorTitle="Error" error="Please select either &quot;Yes&quot; or &quot;No&quot; from the dropdown menu" sqref="C11 C13 H11 H13 C5:C6" xr:uid="{C64B02E0-6C62-4546-907D-493257B189D3}">
      <formula1>Lkp_YesNo</formula1>
    </dataValidation>
    <dataValidation type="list" allowBlank="1" showInputMessage="1" showErrorMessage="1" sqref="C7" xr:uid="{6E964897-9A75-4D61-BE53-AE6E78C69A33}">
      <formula1>Lkp_YesNo</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9" id="{00000000-000E-0000-0100-000001000000}">
            <xm:f>AND(In_ObligorSME="Yes",Calc_ShareholderFunds="No",Calculations!$G$8=TRUE,$C$2&lt;&gt;"")</xm:f>
            <x14:dxf>
              <fill>
                <patternFill>
                  <bgColor rgb="FF66FF66"/>
                </patternFill>
              </fill>
            </x14:dxf>
          </x14:cfRule>
          <xm:sqref>B19</xm:sqref>
        </x14:conditionalFormatting>
        <x14:conditionalFormatting xmlns:xm="http://schemas.microsoft.com/office/excel/2006/main">
          <x14:cfRule type="expression" priority="46" id="{00000000-000E-0000-0100-000008000000}">
            <xm:f>AND(In_3YrInc="No",Calculations!$G$6=TRUE,$C$2&lt;&gt;"",In_ObligorSME="Yes")</xm:f>
            <x14:dxf>
              <fill>
                <patternFill>
                  <bgColor rgb="FF66FF66"/>
                </patternFill>
              </fill>
            </x14:dxf>
          </x14:cfRule>
          <xm:sqref>B12</xm:sqref>
        </x14:conditionalFormatting>
        <x14:conditionalFormatting xmlns:xm="http://schemas.microsoft.com/office/excel/2006/main">
          <x14:cfRule type="expression" priority="41" id="{00000000-000E-0000-0100-000003000000}">
            <xm:f>AND(In_LossResNeg="No",Calculations!$G$7=TRUE,$C$2&lt;&gt;"",In_ObligorSME="Yes")</xm:f>
            <x14:dxf>
              <fill>
                <patternFill>
                  <bgColor rgb="FF66FF66"/>
                </patternFill>
              </fill>
            </x14:dxf>
          </x14:cfRule>
          <xm:sqref>B14</xm:sqref>
        </x14:conditionalFormatting>
        <x14:conditionalFormatting xmlns:xm="http://schemas.microsoft.com/office/excel/2006/main">
          <x14:cfRule type="expression" priority="38" id="{82E83998-C566-4060-ABDB-794CE3564B1F}">
            <xm:f>Calculations!$G$6=FALSE</xm:f>
            <x14:dxf>
              <font>
                <color theme="0"/>
              </font>
              <fill>
                <patternFill>
                  <bgColor theme="0"/>
                </patternFill>
              </fill>
              <border>
                <left/>
                <right/>
                <top/>
                <bottom/>
                <vertical/>
                <horizontal/>
              </border>
            </x14:dxf>
          </x14:cfRule>
          <xm:sqref>B9:C11</xm:sqref>
        </x14:conditionalFormatting>
        <x14:conditionalFormatting xmlns:xm="http://schemas.microsoft.com/office/excel/2006/main">
          <x14:cfRule type="expression" priority="37" id="{D64B00F1-C756-4D59-8D7C-175A96CC9B15}">
            <xm:f>Calculations!$G$7=FALSE</xm:f>
            <x14:dxf>
              <font>
                <color theme="0"/>
              </font>
              <fill>
                <patternFill>
                  <bgColor theme="0"/>
                </patternFill>
              </fill>
              <border>
                <left/>
                <right/>
                <top/>
                <bottom/>
              </border>
            </x14:dxf>
          </x14:cfRule>
          <xm:sqref>B13:C13</xm:sqref>
        </x14:conditionalFormatting>
        <x14:conditionalFormatting xmlns:xm="http://schemas.microsoft.com/office/excel/2006/main">
          <x14:cfRule type="expression" priority="35" id="{D233C9AD-6149-4DCE-B8EA-F7A83872FC6D}">
            <xm:f>Calculations!$G$10=FALSE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B21:D35</xm:sqref>
        </x14:conditionalFormatting>
        <x14:conditionalFormatting xmlns:xm="http://schemas.microsoft.com/office/excel/2006/main">
          <x14:cfRule type="expression" priority="16" id="{F861AF80-246E-4E13-819B-D332EF3884A6}">
            <xm:f>AND(In_3YrInc_Sub="No",Calculations!$G$20=TRUE,$C$2&lt;&gt;"",In_ObligorSMESub="Yes")</xm:f>
            <x14:dxf>
              <fill>
                <patternFill>
                  <bgColor rgb="FF66FF66"/>
                </patternFill>
              </fill>
            </x14:dxf>
          </x14:cfRule>
          <xm:sqref>G12:H12</xm:sqref>
        </x14:conditionalFormatting>
        <x14:conditionalFormatting xmlns:xm="http://schemas.microsoft.com/office/excel/2006/main">
          <x14:cfRule type="expression" priority="14" id="{272A5C56-FCF8-4299-BB4C-12D7046AE27B}">
            <xm:f>Calculations!$G$20=FALSE</xm:f>
            <x14:dxf>
              <font>
                <color theme="0"/>
              </font>
              <fill>
                <patternFill>
                  <bgColor rgb="FFFFFFFF"/>
                </patternFill>
              </fill>
              <border>
                <left/>
                <right/>
                <top/>
                <bottom/>
                <vertical/>
                <horizontal/>
              </border>
            </x14:dxf>
          </x14:cfRule>
          <xm:sqref>G9:H11</xm:sqref>
        </x14:conditionalFormatting>
        <x14:conditionalFormatting xmlns:xm="http://schemas.microsoft.com/office/excel/2006/main">
          <x14:cfRule type="expression" priority="13" id="{3017DA4F-C8C3-406A-B827-9C18AB4E82A6}">
            <xm:f>Calculations!$G$21=FALSE</xm:f>
            <x14:dxf>
              <font>
                <color theme="0"/>
              </font>
              <fill>
                <patternFill>
                  <bgColor theme="0"/>
                </patternFill>
              </fill>
              <border>
                <left/>
                <right/>
                <top/>
                <bottom/>
                <vertical/>
                <horizontal/>
              </border>
            </x14:dxf>
          </x14:cfRule>
          <xm:sqref>G13:H13</xm:sqref>
        </x14:conditionalFormatting>
        <x14:conditionalFormatting xmlns:xm="http://schemas.microsoft.com/office/excel/2006/main">
          <x14:cfRule type="expression" priority="12" id="{82255436-3105-4A2F-A954-1ABD3EE8C474}">
            <xm:f>AND(In_LossResNeg_Sub="No",Calculations!$G$21=TRUE,$C$2&lt;&gt;"",In_ObligorSMESub="Yes")</xm:f>
            <x14:dxf>
              <fill>
                <patternFill>
                  <bgColor rgb="FF66FF66"/>
                </patternFill>
              </fill>
            </x14:dxf>
          </x14:cfRule>
          <xm:sqref>G14:H14</xm:sqref>
        </x14:conditionalFormatting>
        <x14:conditionalFormatting xmlns:xm="http://schemas.microsoft.com/office/excel/2006/main">
          <x14:cfRule type="expression" priority="11" id="{329A2D28-8DDD-4A26-BA9D-6391FF16814B}">
            <xm:f>Calculations!$G$22=FALSE</xm:f>
            <x14:dxf>
              <font>
                <color theme="0"/>
              </font>
              <fill>
                <patternFill>
                  <bgColor theme="0"/>
                </patternFill>
              </fill>
              <border>
                <left/>
                <right/>
                <top/>
                <bottom/>
                <vertical/>
                <horizontal/>
              </border>
            </x14:dxf>
          </x14:cfRule>
          <xm:sqref>G15:H18</xm:sqref>
        </x14:conditionalFormatting>
        <x14:conditionalFormatting xmlns:xm="http://schemas.microsoft.com/office/excel/2006/main">
          <x14:cfRule type="expression" priority="10" id="{6DCEA416-72D5-4CB3-AF7C-C341DB3B024B}">
            <xm:f>AND(In_ObligorSMESub="Yes",Calc_ShareholderFunds_Sub="No",Calculations!$G$22=TRUE,$C$2&lt;&gt;"")</xm:f>
            <x14:dxf>
              <fill>
                <patternFill>
                  <bgColor rgb="FF66FF66"/>
                </patternFill>
              </fill>
            </x14:dxf>
          </x14:cfRule>
          <xm:sqref>G19</xm:sqref>
        </x14:conditionalFormatting>
        <x14:conditionalFormatting xmlns:xm="http://schemas.microsoft.com/office/excel/2006/main">
          <x14:cfRule type="expression" priority="8" id="{EA7BB991-B622-4937-90F6-5A5F5C84E506}">
            <xm:f>Calculations!$G$24=FALSE</xm:f>
            <x14:dxf>
              <font>
                <color theme="0"/>
              </font>
              <fill>
                <patternFill>
                  <bgColor theme="0"/>
                </patternFill>
              </fill>
              <border>
                <left/>
                <right/>
                <top/>
                <bottom/>
                <vertical/>
                <horizontal/>
              </border>
            </x14:dxf>
          </x14:cfRule>
          <xm:sqref>G21:I35</xm:sqref>
        </x14:conditionalFormatting>
        <x14:conditionalFormatting xmlns:xm="http://schemas.microsoft.com/office/excel/2006/main">
          <x14:cfRule type="expression" priority="5" id="{0501F1A3-4545-4498-99A2-7B36BA7C15DD}">
            <xm:f>Calculations!$G$8=FALSE</xm:f>
            <x14:dxf>
              <font>
                <color theme="0"/>
              </font>
              <fill>
                <patternFill>
                  <bgColor theme="0"/>
                </patternFill>
              </fill>
              <border>
                <left/>
                <right/>
                <top/>
                <bottom/>
                <vertical/>
                <horizontal/>
              </border>
            </x14:dxf>
          </x14:cfRule>
          <xm:sqref>B15:C18</xm:sqref>
        </x14:conditionalFormatting>
        <x14:conditionalFormatting xmlns:xm="http://schemas.microsoft.com/office/excel/2006/main">
          <x14:cfRule type="expression" priority="2" id="{83A180F0-0DE5-4962-8864-E8C68CCB0DAF}">
            <xm:f>Calculations!$G$19=FALSE</xm:f>
            <x14:dxf>
              <font>
                <color theme="0"/>
              </font>
              <fill>
                <patternFill>
                  <bgColor theme="0"/>
                </patternFill>
              </fill>
              <border>
                <left/>
                <right/>
                <bottom/>
                <vertical/>
                <horizontal/>
              </border>
            </x14:dxf>
          </x14:cfRule>
          <xm:sqref>B7:C7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9B524-08A1-4C98-9B75-EAD3B1A9ED61}">
  <sheetPr codeName="Sheet1"/>
  <dimension ref="B1:L21"/>
  <sheetViews>
    <sheetView showGridLines="0" workbookViewId="0">
      <selection activeCell="D5" sqref="D5"/>
    </sheetView>
  </sheetViews>
  <sheetFormatPr defaultRowHeight="14.25" x14ac:dyDescent="0.45"/>
  <cols>
    <col min="1" max="1" width="1.3984375" customWidth="1"/>
    <col min="2" max="2" width="5.265625" customWidth="1"/>
    <col min="3" max="3" width="39.265625" customWidth="1"/>
    <col min="4" max="4" width="27.265625" customWidth="1"/>
    <col min="5" max="5" width="16.73046875" customWidth="1"/>
  </cols>
  <sheetData>
    <row r="1" spans="2:12" ht="14.65" thickBot="1" x14ac:dyDescent="0.5"/>
    <row r="2" spans="2:12" ht="18.399999999999999" thickBot="1" x14ac:dyDescent="0.6">
      <c r="C2" s="184" t="s">
        <v>309</v>
      </c>
      <c r="D2" s="185"/>
      <c r="H2" s="200" t="s">
        <v>26</v>
      </c>
      <c r="I2" s="200"/>
      <c r="J2" s="200"/>
      <c r="K2" s="200"/>
      <c r="L2" s="200"/>
    </row>
    <row r="3" spans="2:12" ht="6" customHeight="1" thickBot="1" x14ac:dyDescent="0.5">
      <c r="C3" s="76"/>
      <c r="D3" s="77"/>
    </row>
    <row r="4" spans="2:12" x14ac:dyDescent="0.45">
      <c r="C4" s="134" t="s">
        <v>327</v>
      </c>
      <c r="D4" s="151" t="s">
        <v>310</v>
      </c>
      <c r="H4" s="191" t="str">
        <f>Msg_SMEWiz</f>
        <v>Tests passed, applicant is an SME.</v>
      </c>
      <c r="I4" s="192"/>
      <c r="J4" s="192"/>
      <c r="K4" s="192"/>
      <c r="L4" s="193"/>
    </row>
    <row r="5" spans="2:12" x14ac:dyDescent="0.45">
      <c r="C5" s="134" t="s">
        <v>314</v>
      </c>
      <c r="D5" s="152">
        <v>1.1000000000000001</v>
      </c>
      <c r="H5" s="194"/>
      <c r="I5" s="195"/>
      <c r="J5" s="195"/>
      <c r="K5" s="195"/>
      <c r="L5" s="196"/>
    </row>
    <row r="6" spans="2:12" x14ac:dyDescent="0.45">
      <c r="C6" s="134" t="s">
        <v>335</v>
      </c>
      <c r="D6" s="155">
        <v>43473</v>
      </c>
      <c r="H6" s="194"/>
      <c r="I6" s="195"/>
      <c r="J6" s="195"/>
      <c r="K6" s="195"/>
      <c r="L6" s="196"/>
    </row>
    <row r="7" spans="2:12" ht="6" customHeight="1" x14ac:dyDescent="0.45">
      <c r="C7" s="76"/>
      <c r="D7" s="77"/>
      <c r="H7" s="194"/>
      <c r="I7" s="195"/>
      <c r="J7" s="195"/>
      <c r="K7" s="195"/>
      <c r="L7" s="196"/>
    </row>
    <row r="8" spans="2:12" ht="29.25" customHeight="1" thickBot="1" x14ac:dyDescent="0.5">
      <c r="C8" s="189" t="s">
        <v>338</v>
      </c>
      <c r="D8" s="190"/>
      <c r="H8" s="197"/>
      <c r="I8" s="198"/>
      <c r="J8" s="198"/>
      <c r="K8" s="198"/>
      <c r="L8" s="199"/>
    </row>
    <row r="9" spans="2:12" x14ac:dyDescent="0.45">
      <c r="C9" s="2" t="s">
        <v>331</v>
      </c>
      <c r="D9" s="153">
        <v>25</v>
      </c>
    </row>
    <row r="10" spans="2:12" x14ac:dyDescent="0.45">
      <c r="C10" s="2" t="str">
        <f>"Turnover"&amp;IF(In_SMECurrency="",""," ("&amp;In_SMECurrency&amp;")")</f>
        <v>Turnover (GBP)</v>
      </c>
      <c r="D10" s="153">
        <v>450000000</v>
      </c>
    </row>
    <row r="11" spans="2:12" ht="14.65" thickBot="1" x14ac:dyDescent="0.5">
      <c r="C11" s="135" t="str">
        <f>"Gross Assets (SC+FA+CA)"&amp;IF(In_SMECurrency="",""," ("&amp;In_SMECurrency&amp;")")</f>
        <v>Gross Assets (SC+FA+CA) (GBP)</v>
      </c>
      <c r="D11" s="154">
        <v>35000000</v>
      </c>
    </row>
    <row r="13" spans="2:12" ht="14.65" thickBot="1" x14ac:dyDescent="0.5"/>
    <row r="14" spans="2:12" ht="14.65" thickBot="1" x14ac:dyDescent="0.5">
      <c r="C14" s="186" t="s">
        <v>315</v>
      </c>
      <c r="D14" s="187"/>
      <c r="E14" s="188"/>
    </row>
    <row r="15" spans="2:12" ht="14.65" thickBot="1" x14ac:dyDescent="0.5">
      <c r="C15" s="143" t="s">
        <v>318</v>
      </c>
      <c r="D15" s="145">
        <v>250</v>
      </c>
      <c r="E15" s="37"/>
    </row>
    <row r="16" spans="2:12" x14ac:dyDescent="0.45">
      <c r="B16" s="182" t="s">
        <v>337</v>
      </c>
      <c r="C16" s="2" t="s">
        <v>316</v>
      </c>
      <c r="D16" s="144">
        <f>IF(In_SMECurrency="EUR",50000000,IF(In_FXSpot="","Please add spot FX rate",50000000/D5))</f>
        <v>45454545.454545453</v>
      </c>
      <c r="E16" s="148" t="s">
        <v>317</v>
      </c>
    </row>
    <row r="17" spans="2:5" ht="14.65" thickBot="1" x14ac:dyDescent="0.5">
      <c r="B17" s="183"/>
      <c r="C17" s="135" t="s">
        <v>319</v>
      </c>
      <c r="D17" s="146">
        <f>IF(In_SMECurrency="EUR",43000000,IF(In_FXSpot="","Please add spot FX rate",43000000/D5))</f>
        <v>39090909.090909086</v>
      </c>
      <c r="E17" s="147" t="s">
        <v>320</v>
      </c>
    </row>
    <row r="19" spans="2:5" ht="14.65" thickBot="1" x14ac:dyDescent="0.5"/>
    <row r="20" spans="2:5" ht="14.65" thickBot="1" x14ac:dyDescent="0.5">
      <c r="C20" s="142" t="s">
        <v>322</v>
      </c>
      <c r="D20" s="161" t="str">
        <f>IF(Calc_SMEStatus="Incomplete","Incomplete",IF(Calc_SMEStatus="Pass","SME","Non-SME"))</f>
        <v>SME</v>
      </c>
    </row>
    <row r="21" spans="2:5" x14ac:dyDescent="0.45">
      <c r="C21" s="136"/>
    </row>
  </sheetData>
  <sheetProtection algorithmName="SHA-512" hashValue="BS6iXURL7MRdE1IQlpAn6m7Xe+05APT+EfQPPqM8iR/KCYyg/KUjaMrkgoUZHCg3xieZmecntuu3r3I0/G/csQ==" saltValue="2Ih4UHCtIxAn/PsXCr6kag==" spinCount="100000" sheet="1" objects="1" scenarios="1" selectLockedCells="1"/>
  <mergeCells count="6">
    <mergeCell ref="B16:B17"/>
    <mergeCell ref="C2:D2"/>
    <mergeCell ref="C14:E14"/>
    <mergeCell ref="C8:D8"/>
    <mergeCell ref="H4:L8"/>
    <mergeCell ref="H2:L2"/>
  </mergeCells>
  <dataValidations count="3">
    <dataValidation type="list" allowBlank="1" showInputMessage="1" showErrorMessage="1" sqref="D4" xr:uid="{C8F2AB7D-A5E3-4BA6-B3C9-1AF145A8A393}">
      <formula1>Lkp_Currency</formula1>
    </dataValidation>
    <dataValidation type="decimal" operator="greaterThan" allowBlank="1" showInputMessage="1" showErrorMessage="1" errorTitle="Error" error="Negative FX rates not permitted" sqref="D5" xr:uid="{09A65FC8-87F3-4A72-9007-B05F631E122E}">
      <formula1>0</formula1>
    </dataValidation>
    <dataValidation type="date" operator="greaterThan" allowBlank="1" showInputMessage="1" showErrorMessage="1" errorTitle="Error" error="Negative FX rates not permitted" sqref="D6" xr:uid="{B6D1F6D0-6A38-41F0-A158-F86EE799C5E8}">
      <formula1>36526</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B2068-4B81-4A64-BF28-AA9343DCFFF8}">
  <sheetPr codeName="Sheet3"/>
  <dimension ref="B2:I51"/>
  <sheetViews>
    <sheetView showGridLines="0" workbookViewId="0">
      <selection activeCell="D33" sqref="D33"/>
    </sheetView>
  </sheetViews>
  <sheetFormatPr defaultRowHeight="14.25" x14ac:dyDescent="0.45"/>
  <cols>
    <col min="1" max="1" width="3.1328125" customWidth="1"/>
    <col min="2" max="2" width="18.1328125" customWidth="1"/>
    <col min="3" max="3" width="23.3984375" customWidth="1"/>
    <col min="4" max="4" width="17.86328125" bestFit="1" customWidth="1"/>
    <col min="5" max="5" width="17.86328125" customWidth="1"/>
    <col min="6" max="6" width="10.73046875" customWidth="1"/>
    <col min="7" max="7" width="16.1328125" customWidth="1"/>
    <col min="8" max="8" width="37.3984375" customWidth="1"/>
    <col min="9" max="9" width="50.86328125" customWidth="1"/>
  </cols>
  <sheetData>
    <row r="2" spans="2:9" ht="14.65" thickBot="1" x14ac:dyDescent="0.5">
      <c r="C2" s="32" t="str">
        <f>IF(In_ObligorSub="Yes","Parent Obligor","Bank Customer")</f>
        <v>Bank Customer</v>
      </c>
      <c r="D2" t="s">
        <v>15</v>
      </c>
      <c r="E2" s="126" t="s">
        <v>229</v>
      </c>
      <c r="F2" t="s">
        <v>16</v>
      </c>
      <c r="G2" t="s">
        <v>17</v>
      </c>
      <c r="H2" t="s">
        <v>19</v>
      </c>
      <c r="I2" t="s">
        <v>20</v>
      </c>
    </row>
    <row r="3" spans="2:9" x14ac:dyDescent="0.45">
      <c r="C3" s="33" t="s">
        <v>9</v>
      </c>
      <c r="D3" s="36" t="b">
        <f>IF(In_ObligorName="",FALSE,TRUE)</f>
        <v>0</v>
      </c>
      <c r="E3" s="36" t="b">
        <v>1</v>
      </c>
      <c r="F3" s="36" t="b">
        <v>1</v>
      </c>
      <c r="G3" s="36" t="b">
        <v>1</v>
      </c>
      <c r="H3" s="36" t="str">
        <f>IF(D3,"","Please provide the "&amp;C2&amp;" name.")</f>
        <v>Please provide the Bank Customer name.</v>
      </c>
      <c r="I3" s="37" t="str">
        <f>H3</f>
        <v>Please provide the Bank Customer name.</v>
      </c>
    </row>
    <row r="4" spans="2:9" x14ac:dyDescent="0.45">
      <c r="C4" s="34" t="s">
        <v>14</v>
      </c>
      <c r="D4" s="38" t="b">
        <f>IF(In_ObligorSub="",FALSE,TRUE)</f>
        <v>0</v>
      </c>
      <c r="E4" s="38" t="b">
        <f>IF(D4,OR(In_ObligorSub="Yes",In_ObligorSub="No"),TRUE)</f>
        <v>1</v>
      </c>
      <c r="F4" s="38" t="b">
        <v>1</v>
      </c>
      <c r="G4" s="38" t="b">
        <v>1</v>
      </c>
      <c r="H4" s="38" t="str">
        <f>IF(D4,IF(E4,"","Invalid input for subsidiary status- please answer Yes or No"),"Please provide the "&amp;C2&amp;" subsidiary status.")</f>
        <v>Please provide the Bank Customer subsidiary status.</v>
      </c>
      <c r="I4" s="39" t="str">
        <f>I3&amp;IF(H4="","",IF(I3="",H4,CHAR(10)&amp;H4))</f>
        <v>Please provide the Bank Customer name.
Please provide the Bank Customer subsidiary status.</v>
      </c>
    </row>
    <row r="5" spans="2:9" x14ac:dyDescent="0.45">
      <c r="C5" s="34" t="s">
        <v>13</v>
      </c>
      <c r="D5" s="38" t="b">
        <f>IF(In_ObligorSME="",FALSE,TRUE)</f>
        <v>0</v>
      </c>
      <c r="E5" s="38" t="b">
        <f>IF(D5,OR(In_ObligorSME="Yes",In_ObligorSME="No"),TRUE)</f>
        <v>1</v>
      </c>
      <c r="F5" s="38" t="b">
        <f>In_ObligorSME="Yes"</f>
        <v>0</v>
      </c>
      <c r="G5" s="38" t="b">
        <v>1</v>
      </c>
      <c r="H5" s="38" t="str">
        <f>IF(D5,IF(E5,"","Invalid input for SME status- please answer Yes or No"),"Please provide the "&amp;C2&amp;" SME status.")</f>
        <v>Please provide the Bank Customer SME status.</v>
      </c>
      <c r="I5" s="39" t="str">
        <f t="shared" ref="I5:I14" si="0">I4&amp;IF(H5="","",IF(I4="",H5,CHAR(10)&amp;H5))</f>
        <v>Please provide the Bank Customer name.
Please provide the Bank Customer subsidiary status.
Please provide the Bank Customer SME status.</v>
      </c>
    </row>
    <row r="6" spans="2:9" x14ac:dyDescent="0.45">
      <c r="C6" s="34" t="s">
        <v>10</v>
      </c>
      <c r="D6" s="38" t="b">
        <f>IF(In_3YrInc="",FALSE,TRUE)</f>
        <v>0</v>
      </c>
      <c r="E6" s="38" t="b">
        <f>IF(D6,OR(In_3YrInc="Yes",In_3YrInc="No"),TRUE)</f>
        <v>1</v>
      </c>
      <c r="F6" s="38" t="b">
        <f>IF(D6,IF(In_3YrInc="No",TRUE,FALSE),FALSE)</f>
        <v>0</v>
      </c>
      <c r="G6" s="38" t="b">
        <f>IF(COUNTIF(D3:E5,TRUE)=6,TRUE,FALSE)</f>
        <v>0</v>
      </c>
      <c r="H6" s="38" t="str">
        <f>IF(G6,IF(D6,IF(E6,IF(F6,IF(F5,C6&amp;" passed. "&amp;C2&amp;" is an Eligibile Person.",C6&amp;" passed."&amp;IF(D14,""," Please now complete non-SME tests.")),""),"Invalid answer to "&amp;C6),"Please complete "&amp;C6&amp;"."),"")</f>
        <v/>
      </c>
      <c r="I6" s="39" t="str">
        <f t="shared" si="0"/>
        <v>Please provide the Bank Customer name.
Please provide the Bank Customer subsidiary status.
Please provide the Bank Customer SME status.</v>
      </c>
    </row>
    <row r="7" spans="2:9" x14ac:dyDescent="0.45">
      <c r="C7" s="34" t="s">
        <v>11</v>
      </c>
      <c r="D7" s="38" t="b">
        <f>IF(F6,FALSE,IF(In_LossResNeg="",FALSE,TRUE))</f>
        <v>0</v>
      </c>
      <c r="E7" s="38" t="b">
        <f>IF(D7,OR(In_LossResNeg="Yes",In_LossResNeg="No"),TRUE)</f>
        <v>1</v>
      </c>
      <c r="F7" s="38" t="b">
        <f>IF(D7,IF(In_LossResNeg="No",TRUE,FALSE),FALSE)</f>
        <v>0</v>
      </c>
      <c r="G7" s="38" t="b">
        <f>IF(F6,FALSE,IF(AND(D6,E6,G6),TRUE,FALSE))</f>
        <v>0</v>
      </c>
      <c r="H7" s="38" t="str">
        <f>IF(G7,IF(D7,IF(E7,IF(F7, IF(F5,C7&amp;" passed. "&amp;C2&amp;" is an Eligibile Person.",C7&amp;" passed."&amp;IF(D14,""," Please now complete non-SME tests.")),""),"Invalid answer to "&amp;C7),"Please complete "&amp;C7&amp;"."),"")</f>
        <v/>
      </c>
      <c r="I7" s="39" t="str">
        <f t="shared" si="0"/>
        <v>Please provide the Bank Customer name.
Please provide the Bank Customer subsidiary status.
Please provide the Bank Customer SME status.</v>
      </c>
    </row>
    <row r="8" spans="2:9" x14ac:dyDescent="0.45">
      <c r="C8" s="34" t="s">
        <v>12</v>
      </c>
      <c r="D8" s="38" t="b">
        <f>IF(F7,FALSE,IF(OR(In_Capital="",In_Profit=""),FALSE,TRUE))</f>
        <v>0</v>
      </c>
      <c r="E8" s="38" t="b">
        <f>IF(D8,AND(ISNUMBER(In_Capital),ISNUMBER(In_Profit)),TRUE)</f>
        <v>1</v>
      </c>
      <c r="F8" s="38" t="b">
        <f>IF(G8,IF(D8,IF(Calc_FundsRatio&lt;=-50%,FALSE,TRUE),FALSE),FALSE)</f>
        <v>0</v>
      </c>
      <c r="G8" s="38" t="b">
        <f>IF(F7,FALSE,IF(AND(D7,E7,G7),TRUE,FALSE))</f>
        <v>0</v>
      </c>
      <c r="H8" s="38" t="str">
        <f>IF(G8,IF(D8,IF(E8,IF(AND(F8,F5),C8&amp;" passed. "&amp;C2&amp;" is an Eligibile Person.",IF(G9,C8&amp;" passed."&amp;IF(D14,""," Please complete non-SME tests."),"Q3 failed. Obligor is not an Eligibile Person.")),"Invalid input for "&amp;C8&amp;"."),"Please complete "&amp;C8&amp;"."),"")</f>
        <v/>
      </c>
      <c r="I8" s="39" t="str">
        <f t="shared" si="0"/>
        <v>Please provide the Bank Customer name.
Please provide the Bank Customer subsidiary status.
Please provide the Bank Customer SME status.</v>
      </c>
    </row>
    <row r="9" spans="2:9" x14ac:dyDescent="0.45">
      <c r="B9" s="32" t="s">
        <v>18</v>
      </c>
      <c r="C9" s="34" t="s">
        <v>199</v>
      </c>
      <c r="D9" s="38" t="b">
        <f>IF(F8,FALSE,IF(OR(In_Date1="",In_Date2=""),FALSE,TRUE))</f>
        <v>0</v>
      </c>
      <c r="E9" s="38" t="b">
        <f>IF(D9,AND(ISNUMBER(In_Date1),ISNUMBER(In_Date2)),TRUE)</f>
        <v>1</v>
      </c>
      <c r="F9" s="38" t="b">
        <f>AND(D9,E9)</f>
        <v>0</v>
      </c>
      <c r="G9" s="38" t="b">
        <f>IF(F5,IF(F8,FALSE,IF(AND(D8,E8,G8),IF(Calc_FundsRatio&lt;=-50%,FALSE,IF(In_ObligorSME="No",TRUE,FALSE)),FALSE)),IF(OR(F6,F7,F8),TRUE,FALSE))</f>
        <v>0</v>
      </c>
      <c r="H9" s="38" t="str">
        <f>IF(G9,IF(D9,IF(E9,"","Invalid "&amp;C9&amp;" inputs. Please provide numeric values."),"Please complete "&amp;C9&amp;" fields."),"")</f>
        <v/>
      </c>
      <c r="I9" s="39" t="str">
        <f t="shared" si="0"/>
        <v>Please provide the Bank Customer name.
Please provide the Bank Customer subsidiary status.
Please provide the Bank Customer SME status.</v>
      </c>
    </row>
    <row r="10" spans="2:9" x14ac:dyDescent="0.45">
      <c r="C10" s="34" t="s">
        <v>3</v>
      </c>
      <c r="D10" s="38" t="b">
        <f>IF(F8,FALSE,IF(OR(In_EBITDA1="",In_EBITDA2=""),FALSE,TRUE))</f>
        <v>0</v>
      </c>
      <c r="E10" s="38" t="b">
        <f>IF(D10,AND(ISNUMBER(In_EBITDA1),ISNUMBER(In_EBITDA2)),TRUE)</f>
        <v>1</v>
      </c>
      <c r="F10" s="38" t="b">
        <f>IF(AND(D11,D10),IF(OR(Calc_EBITDARatio1&gt;1,Calc_EBITDARatio2&gt;1),TRUE,FALSE),FALSE)</f>
        <v>0</v>
      </c>
      <c r="G10" s="38" t="b">
        <f>G9</f>
        <v>0</v>
      </c>
      <c r="H10" s="38" t="str">
        <f>IF(G10,IF(D10,IF(E10,"","Invalid "&amp;C10&amp;" inputs. Please provide numeric values."),"Please complete "&amp;C10&amp;" fields."),"")</f>
        <v/>
      </c>
      <c r="I10" s="39" t="str">
        <f t="shared" si="0"/>
        <v>Please provide the Bank Customer name.
Please provide the Bank Customer subsidiary status.
Please provide the Bank Customer SME status.</v>
      </c>
    </row>
    <row r="11" spans="2:9" x14ac:dyDescent="0.45">
      <c r="C11" s="34" t="s">
        <v>4</v>
      </c>
      <c r="D11" s="38" t="b">
        <f>IF(F8,FALSE,IF(OR(In_Interest1="",In_Interest2=""),FALSE,TRUE))</f>
        <v>0</v>
      </c>
      <c r="E11" s="38" t="b">
        <f>IF(D11,AND(ISNUMBER(In_Interest1),ISNUMBER(In_Interest2)),TRUE)</f>
        <v>1</v>
      </c>
      <c r="F11" s="38" t="b">
        <f>IF(AND(D10,D11),IF(OR(Calc_EBITDARatio1&gt;1,Calc_EBITDARatio2&gt;1),TRUE,FALSE),FALSE)</f>
        <v>0</v>
      </c>
      <c r="G11" s="38" t="b">
        <f>G10</f>
        <v>0</v>
      </c>
      <c r="H11" s="38" t="str">
        <f>IF(G11,IF(D11,IF(E11,"","Invalid "&amp;C11&amp;" inputs. Please provide numeric values."),"Please complete "&amp;C11&amp;" fields."),"")</f>
        <v/>
      </c>
      <c r="I11" s="39" t="str">
        <f t="shared" si="0"/>
        <v>Please provide the Bank Customer name.
Please provide the Bank Customer subsidiary status.
Please provide the Bank Customer SME status.</v>
      </c>
    </row>
    <row r="12" spans="2:9" x14ac:dyDescent="0.45">
      <c r="C12" s="34" t="s">
        <v>301</v>
      </c>
      <c r="D12" s="38" t="b">
        <f>IF(F8,FALSE,IF(OR(In_Debt1="",In_Debt2=""),FALSE,TRUE))</f>
        <v>0</v>
      </c>
      <c r="E12" s="38" t="b">
        <f>IF(D12,AND(ISNUMBER(In_Debt1),ISNUMBER(In_Debt2)),TRUE)</f>
        <v>1</v>
      </c>
      <c r="F12" s="38" t="b">
        <f>IF(AND(D13,D12),IF(OR(Calc_DebtRatio1&lt;7.5,Calc_DebtRatio2&lt;7.5),IF(AND(Calc_DebtRatio1&lt;0,Calc_DebtRatio2&lt;0),FALSE,TRUE),FALSE),FALSE)</f>
        <v>0</v>
      </c>
      <c r="G12" s="38" t="b">
        <f>G11</f>
        <v>0</v>
      </c>
      <c r="H12" s="38" t="str">
        <f>IF(G12,IF(D12,IF(E12,"","Invalid "&amp;C12&amp;" inputs. Please provide numeric values."),"Please complete "&amp;C12&amp;" fields."),"")</f>
        <v/>
      </c>
      <c r="I12" s="39" t="str">
        <f t="shared" si="0"/>
        <v>Please provide the Bank Customer name.
Please provide the Bank Customer subsidiary status.
Please provide the Bank Customer SME status.</v>
      </c>
    </row>
    <row r="13" spans="2:9" x14ac:dyDescent="0.45">
      <c r="C13" s="34" t="s">
        <v>302</v>
      </c>
      <c r="D13" s="38" t="b">
        <f>IF(F8,FALSE,IF(OR(In_Funds1="",In_Funds2=""),FALSE,TRUE))</f>
        <v>0</v>
      </c>
      <c r="E13" s="38" t="b">
        <f>IF(D13,AND(ISNUMBER(In_Funds1),ISNUMBER(In_Funds2)),TRUE)</f>
        <v>1</v>
      </c>
      <c r="F13" s="38" t="b">
        <f>IF(AND(D13,D12),IF(OR(Calc_DebtRatio1&lt;7.5,Calc_DebtRatio2&lt;7.5),IF(AND(Calc_DebtRatio1&lt;0,Calc_DebtRatio2&lt;0),FALSE,TRUE),FALSE),FALSE)</f>
        <v>0</v>
      </c>
      <c r="G13" s="38" t="b">
        <f>G12</f>
        <v>0</v>
      </c>
      <c r="H13" s="38" t="str">
        <f>IF(G13,IF(D13,IF(E13,"","Invalid "&amp;C13&amp;" inputs. Please provide numeric values."),"Please complete "&amp;C13&amp;" fields."),"")</f>
        <v/>
      </c>
      <c r="I13" s="39" t="str">
        <f t="shared" si="0"/>
        <v>Please provide the Bank Customer name.
Please provide the Bank Customer subsidiary status.
Please provide the Bank Customer SME status.</v>
      </c>
    </row>
    <row r="14" spans="2:9" ht="14.65" thickBot="1" x14ac:dyDescent="0.5">
      <c r="C14" s="35" t="s">
        <v>21</v>
      </c>
      <c r="D14" s="40" t="b">
        <f>IF(COUNTIF(D9:D13,TRUE)=5,TRUE,FALSE)</f>
        <v>0</v>
      </c>
      <c r="E14" s="40" t="b">
        <f>IF(COUNTIF(E3:E13,TRUE)=11,TRUE,FALSE)</f>
        <v>1</v>
      </c>
      <c r="F14" s="40" t="b">
        <f>IF(AND(COUNTIF(D10:E13,TRUE)=8,COUNTIF(F10:F13,TRUE)&gt;0),TRUE,FALSE)</f>
        <v>0</v>
      </c>
      <c r="G14" s="40" t="b">
        <f>G13</f>
        <v>0</v>
      </c>
      <c r="H14" s="40" t="str">
        <f>IF(G14,IF(D14,IF(E14,IF(F14,C14&amp;" passed. "&amp;C2&amp;" is an Eligibile Person.",C14&amp;" failed. Obligor is not an Eligibile Person."),""),""),"")</f>
        <v/>
      </c>
      <c r="I14" s="41" t="str">
        <f t="shared" si="0"/>
        <v>Please provide the Bank Customer name.
Please provide the Bank Customer subsidiary status.
Please provide the Bank Customer SME status.</v>
      </c>
    </row>
    <row r="15" spans="2:9" ht="14.65" thickBot="1" x14ac:dyDescent="0.5">
      <c r="I15" s="42" t="str">
        <f>IF(AND(In_ObligorSub="Yes",D3,D5,E5,E3),"Parent Obligor: "&amp;CHAR(10),"")&amp;I14&amp;IF(H15="","",IF(I14="",H15,CHAR(10)&amp;H15))</f>
        <v>Please provide the Bank Customer name.
Please provide the Bank Customer subsidiary status.
Please provide the Bank Customer SME status.</v>
      </c>
    </row>
    <row r="18" spans="2:9" ht="14.65" thickBot="1" x14ac:dyDescent="0.5">
      <c r="C18" s="32" t="str">
        <f>IF(In_ObligorSub="Yes","Bank Customer","Subsidiary Entity")</f>
        <v>Subsidiary Entity</v>
      </c>
      <c r="D18" t="s">
        <v>15</v>
      </c>
      <c r="E18" s="126" t="s">
        <v>229</v>
      </c>
      <c r="F18" t="s">
        <v>16</v>
      </c>
      <c r="G18" t="s">
        <v>17</v>
      </c>
      <c r="H18" t="s">
        <v>19</v>
      </c>
      <c r="I18" t="s">
        <v>20</v>
      </c>
    </row>
    <row r="19" spans="2:9" x14ac:dyDescent="0.45">
      <c r="C19" s="33" t="s">
        <v>330</v>
      </c>
      <c r="D19" s="36" t="b">
        <f>IF(In_ObligorSub="No",D5,IF(In_ObligorSMESub="",FALSE,TRUE))</f>
        <v>0</v>
      </c>
      <c r="E19" s="36" t="b">
        <f>IF(In_ObligorSub="No",D5,IF(D19,OR(In_ObligorSMESub="Yes",In_ObligorSMESub="No"),TRUE))</f>
        <v>1</v>
      </c>
      <c r="F19" s="36" t="b">
        <f>In_ObligorSMESub="Yes"</f>
        <v>0</v>
      </c>
      <c r="G19" s="36" t="b">
        <f>IF(In_ObligorSub="Yes",TRUE,FALSE)</f>
        <v>0</v>
      </c>
      <c r="H19" s="36" t="str">
        <f>IF(G20,IF(D20,IF(E20,IF(F20,IF(F19,C20&amp;" passed. Obligor is an Eligibile Person.",C20&amp;" passed."&amp;IF(D28,""," Please now complete non-SME tests.")),""),"Invalid answer to "&amp;C20),"Please complete "&amp;C20&amp;"."),"")</f>
        <v/>
      </c>
      <c r="I19" s="37" t="str">
        <f>H19</f>
        <v/>
      </c>
    </row>
    <row r="20" spans="2:9" x14ac:dyDescent="0.45">
      <c r="C20" s="34" t="s">
        <v>10</v>
      </c>
      <c r="D20" s="38" t="b">
        <f>IF(In_3YrInc_Sub="",FALSE,TRUE)</f>
        <v>0</v>
      </c>
      <c r="E20" s="38" t="b">
        <f>IF(D20,OR(In_3YrInc_Sub="Yes",In_3YrInc_Sub="No"),TRUE)</f>
        <v>1</v>
      </c>
      <c r="F20" s="38" t="b">
        <f>IF(D20=FALSE,FALSE,IF(In_3YrInc_Sub="No",TRUE,FALSE))</f>
        <v>0</v>
      </c>
      <c r="G20" s="38" t="b">
        <f>IF(In_ObligorSub="Yes",IF(AND(D19,E19,G19),TRUE,FALSE))</f>
        <v>0</v>
      </c>
      <c r="H20" s="38" t="str">
        <f>IF(G21,IF(D21,IF(E21,IF(F21,IF(F19,C21&amp;" passed. "&amp;C18&amp;" is an Eligibile Person.",C21&amp;" passed."&amp;IF(D28,""," Please now complete non-SME tests.")),""),"Invalid answer to "&amp;C21),"Please complete "&amp;C21&amp;"."),"")</f>
        <v/>
      </c>
      <c r="I20" s="39" t="str">
        <f t="shared" ref="I20:I28" si="1">I19&amp;IF(H20="","",IF(I19="",H20,CHAR(10)&amp;H20))</f>
        <v/>
      </c>
    </row>
    <row r="21" spans="2:9" x14ac:dyDescent="0.45">
      <c r="C21" s="34" t="s">
        <v>11</v>
      </c>
      <c r="D21" s="38" t="b">
        <f>IF(F20,FALSE,IF(In_LossResNeg_Sub="",FALSE,TRUE))</f>
        <v>0</v>
      </c>
      <c r="E21" s="38" t="b">
        <f>IF(D21,OR(In_LossResNeg_Sub="Yes",In_LossResNeg_Sub="No"),TRUE)</f>
        <v>1</v>
      </c>
      <c r="F21" s="38" t="b">
        <f>IF(D21=FALSE,FALSE,IF(In_LossResNeg_Sub="No",TRUE,FALSE))</f>
        <v>0</v>
      </c>
      <c r="G21" s="38" t="b">
        <f>IF(In_ObligorSub="Yes",IF(F20,FALSE,IF(AND(D20,E20,G20),TRUE,FALSE)),FALSE)</f>
        <v>0</v>
      </c>
      <c r="H21" s="38" t="str">
        <f>IF(G21,IF(D21,IF(E21,IF(F21,IF(F19,C21&amp;" passed. "&amp;C18&amp;" is an Eligibile Person.",C21&amp;" passed."&amp;IF(D28,""," Please now complete non-SME tests.")),""),"Invalid answer to "&amp;C21),"Please complete "&amp;C21&amp;"."),"")</f>
        <v/>
      </c>
      <c r="I21" s="39" t="str">
        <f t="shared" si="1"/>
        <v/>
      </c>
    </row>
    <row r="22" spans="2:9" x14ac:dyDescent="0.45">
      <c r="C22" s="34" t="s">
        <v>12</v>
      </c>
      <c r="D22" s="38" t="b">
        <f>IF(F21,FALSE,IF(OR(In_Capital_Sub="",In_Profit_Sub=""),FALSE,TRUE))</f>
        <v>0</v>
      </c>
      <c r="E22" s="38" t="b">
        <f>IF(D22,AND(ISNUMBER(In_Capital_Sub),ISNUMBER(In_Profit_Sub)),TRUE)</f>
        <v>1</v>
      </c>
      <c r="F22" s="38" t="b">
        <f>IF(G22,IF(D22,IF(Calc_FundsRatio_Sub&lt;=-50%,FALSE,TRUE),FALSE),FALSE)</f>
        <v>0</v>
      </c>
      <c r="G22" s="38" t="b">
        <f>IF(In_ObligorSub="Yes",IF(F21,FALSE,IF(AND(D21,E21,G21),TRUE,FALSE)),FALSE)</f>
        <v>0</v>
      </c>
      <c r="H22" s="38" t="str">
        <f>IF(G22,IF(D22,IF(E22,IF(AND(F22,F19),C22&amp;" passed. "&amp;C18&amp;" is an Eligibile Person.",IF(G23,C22&amp;" passed."&amp;IF(D28,""," Please complete non-SME tests."),"Q3 failed. Obligor is not an Eligibile Person.")),"Invalid input for "&amp;C22&amp;"."),"Please complete "&amp;C22&amp;"."),"")</f>
        <v/>
      </c>
      <c r="I22" s="39" t="str">
        <f t="shared" si="1"/>
        <v/>
      </c>
    </row>
    <row r="23" spans="2:9" x14ac:dyDescent="0.45">
      <c r="B23" s="32" t="s">
        <v>18</v>
      </c>
      <c r="C23" s="34" t="s">
        <v>199</v>
      </c>
      <c r="D23" s="38" t="b">
        <f>IF(F22,FALSE,IF(OR(In_Date1_Sub="",In_Date2_Sub=""),FALSE,TRUE))</f>
        <v>0</v>
      </c>
      <c r="E23" s="38" t="b">
        <f>IF(D23,AND(ISNUMBER(In_Date1_Sub),ISNUMBER(In_Date2_Sub)),TRUE)</f>
        <v>1</v>
      </c>
      <c r="F23" s="38" t="b">
        <f>AND(D23,E23)</f>
        <v>0</v>
      </c>
      <c r="G23" s="38" t="b">
        <f>IF(In_ObligorSub="Yes",IF(F19,IF(F22,FALSE,IF(AND(D22,E22,G22),IF(Calc_FundsRatio_Sub&lt;=-50%,FALSE,IF(In_ObligorSME="No",TRUE,FALSE)),FALSE)),IF(OR(F20,F21,F22),TRUE,FALSE)))</f>
        <v>0</v>
      </c>
      <c r="H23" s="38" t="str">
        <f>IF(G23,IF(D23,IF(E23,"","Invalid "&amp;C23&amp;" inputs. Please provide numeric values."),"Please complete "&amp;C23&amp;" fields."),"")</f>
        <v/>
      </c>
      <c r="I23" s="39" t="str">
        <f t="shared" si="1"/>
        <v/>
      </c>
    </row>
    <row r="24" spans="2:9" x14ac:dyDescent="0.45">
      <c r="C24" s="34" t="s">
        <v>3</v>
      </c>
      <c r="D24" s="38" t="b">
        <f>IF(F22,FALSE,IF(OR(In_EBITDA1_Sub="",In_EBITDA2_Sub=""),FALSE,TRUE))</f>
        <v>0</v>
      </c>
      <c r="E24" s="38" t="b">
        <f>IF(D24,AND(ISNUMBER(In_EBITDA1_Sub),ISNUMBER(In_EBITDA2_Sub)),TRUE)</f>
        <v>1</v>
      </c>
      <c r="F24" s="38" t="b">
        <f>IF(AND(D25,D24),IF(OR(Calc_EBITDARatio1_Sub&gt;1,Calc_EBITDARatio2_Sub&gt;1),TRUE,FALSE),FALSE)</f>
        <v>0</v>
      </c>
      <c r="G24" s="38" t="b">
        <f>G23</f>
        <v>0</v>
      </c>
      <c r="H24" s="38" t="str">
        <f>IF(G24,IF(D24,IF(E24,"","Invalid "&amp;C24&amp;" inputs. Please provide numeric values."),"Please complete "&amp;C24&amp;" fields."),"")</f>
        <v/>
      </c>
      <c r="I24" s="39" t="str">
        <f t="shared" si="1"/>
        <v/>
      </c>
    </row>
    <row r="25" spans="2:9" x14ac:dyDescent="0.45">
      <c r="C25" s="34" t="s">
        <v>4</v>
      </c>
      <c r="D25" s="38" t="b">
        <f>IF(F22,FALSE,IF(OR(In_Interest1_Sub="",In_Interest2_Sub=""),FALSE,TRUE))</f>
        <v>0</v>
      </c>
      <c r="E25" s="38" t="b">
        <f>IF(D25,AND(ISNUMBER(In_Interest1_Sub),ISNUMBER(In_Interest2_Sub)),TRUE)</f>
        <v>1</v>
      </c>
      <c r="F25" s="38" t="b">
        <f>IF(AND(D24,D25),IF(OR(Calc_EBITDARatio1_Sub&gt;1,Calc_EBITDARatio2_Sub&gt;1),TRUE,FALSE),FALSE)</f>
        <v>0</v>
      </c>
      <c r="G25" s="38" t="b">
        <f>G24</f>
        <v>0</v>
      </c>
      <c r="H25" s="38" t="str">
        <f>IF(G25,IF(D25,IF(E25,"","Invalid "&amp;C25&amp;" inputs. Please provide numeric values."),"Please complete "&amp;C25&amp;" fields."),"")</f>
        <v/>
      </c>
      <c r="I25" s="39" t="str">
        <f t="shared" si="1"/>
        <v/>
      </c>
    </row>
    <row r="26" spans="2:9" x14ac:dyDescent="0.45">
      <c r="C26" s="34" t="s">
        <v>301</v>
      </c>
      <c r="D26" s="38" t="b">
        <f>IF(F22,FALSE,IF(OR(In_Debt1_Sub="",In_Debt2_Sub=""),FALSE,TRUE))</f>
        <v>0</v>
      </c>
      <c r="E26" s="38" t="b">
        <f>IF(D26,AND(ISNUMBER(In_Debt1_Sub),ISNUMBER(In_Debt2_Sub)),TRUE)</f>
        <v>1</v>
      </c>
      <c r="F26" s="38" t="b">
        <f>IF(AND(D27,D26),IF(OR(Calc_DebtRatio1_Sub&lt;7.5,Calc_DebtRatio2_Sub&lt;7.5),IF(AND(Calc_DebtRatio1_Sub&lt;0,Calc_DebtRatio2_Sub&lt;0),FALSE,TRUE),FALSE),FALSE)</f>
        <v>0</v>
      </c>
      <c r="G26" s="38" t="b">
        <f>G25</f>
        <v>0</v>
      </c>
      <c r="H26" s="38" t="str">
        <f>IF(G26,IF(D26,IF(E26,"","Invalid "&amp;C26&amp;" inputs. Please provide numeric values."),"Please complete "&amp;C26&amp;" fields."),"")</f>
        <v/>
      </c>
      <c r="I26" s="39" t="str">
        <f t="shared" si="1"/>
        <v/>
      </c>
    </row>
    <row r="27" spans="2:9" x14ac:dyDescent="0.45">
      <c r="C27" s="34" t="s">
        <v>302</v>
      </c>
      <c r="D27" s="38" t="b">
        <f>IF(F22,FALSE,IF(OR(In_Funds1_Sub="",In_Funds2_Sub=""),FALSE,TRUE))</f>
        <v>0</v>
      </c>
      <c r="E27" s="38" t="b">
        <f>IF(D27,AND(ISNUMBER(In_Funds1_Sub),ISNUMBER(In_Funds2_Sub)),TRUE)</f>
        <v>1</v>
      </c>
      <c r="F27" s="38" t="b">
        <f>IF(AND(D27,D26),IF(OR(Calc_DebtRatio1_Sub&lt;7.5,Calc_DebtRatio2_Sub&lt;7.5),IF(AND(Calc_DebtRatio1_Sub&lt;0,Calc_DebtRatio2_Sub&lt;0),FALSE,TRUE),FALSE),FALSE)</f>
        <v>0</v>
      </c>
      <c r="G27" s="38" t="b">
        <f>G26</f>
        <v>0</v>
      </c>
      <c r="H27" s="38" t="str">
        <f>IF(G27,IF(D27,IF(E27,"","Invalid "&amp;C27&amp;" inputs. Please provide numeric values."),"Please complete "&amp;C27&amp;" fields."),"")</f>
        <v/>
      </c>
      <c r="I27" s="39" t="str">
        <f t="shared" si="1"/>
        <v/>
      </c>
    </row>
    <row r="28" spans="2:9" ht="14.65" thickBot="1" x14ac:dyDescent="0.5">
      <c r="C28" s="35" t="s">
        <v>21</v>
      </c>
      <c r="D28" s="40" t="b">
        <f>IF(COUNTIF(D23:D27,TRUE)=5,TRUE,FALSE)</f>
        <v>0</v>
      </c>
      <c r="E28" s="40" t="b">
        <f>IF(COUNTIF(E20:E27,TRUE)+COUNTIF(E3:E5,TRUE)=11,TRUE,FALSE)</f>
        <v>1</v>
      </c>
      <c r="F28" s="40" t="b">
        <f>IF(AND(COUNTIF(D24:E27,TRUE)=8,COUNTIF(F24:F27,TRUE)&gt;0),TRUE,FALSE)</f>
        <v>0</v>
      </c>
      <c r="G28" s="40" t="b">
        <f>G27</f>
        <v>0</v>
      </c>
      <c r="H28" s="40" t="str">
        <f>IF(G28,IF(D28,IF(E28,IF(F28,C28&amp;" passed. "&amp;C18&amp;" is an Eligibile Person.",C28&amp;" failed. "&amp;C18&amp;" is not an Eligibile Person."),""),""),"")</f>
        <v/>
      </c>
      <c r="I28" s="41" t="str">
        <f t="shared" si="1"/>
        <v/>
      </c>
    </row>
    <row r="29" spans="2:9" ht="14.65" thickBot="1" x14ac:dyDescent="0.5">
      <c r="I29" s="150" t="str">
        <f>IF(COUNTIF(E3:E5,FALSE)&gt;0,"",IF(AND(In_ObligorSub="Yes",D3,D5),"Bank Customer: "&amp;CHAR(10)&amp;I28&amp;IF(H29="","",IF(I28="",H29,CHAR(10)&amp;H29)),""))</f>
        <v/>
      </c>
    </row>
    <row r="32" spans="2:9" ht="14.65" thickBot="1" x14ac:dyDescent="0.5">
      <c r="C32" s="32" t="s">
        <v>22</v>
      </c>
      <c r="D32" s="32" t="s">
        <v>23</v>
      </c>
      <c r="E32" s="32"/>
      <c r="F32" s="127"/>
    </row>
    <row r="33" spans="3:8" x14ac:dyDescent="0.45">
      <c r="C33" s="33" t="str">
        <f>C2</f>
        <v>Bank Customer</v>
      </c>
      <c r="D33" s="47" t="str">
        <f>IF(COUNTIF(E3:E13,FALSE)&gt;0,"Incomplete",IF(NOT(AND(D3,D5,D4)),"Incomplete",IF(AND(D8,G8,NOT(F8),NOT(G9)),"Fail",IF(OR(F6,F7,F8),IF(F5,"Pass",IF(D14,IF(F14,"Pass","Fail"),"Incomplete")),"Incomplete"))))</f>
        <v>Incomplete</v>
      </c>
      <c r="E33" s="1"/>
    </row>
    <row r="34" spans="3:8" ht="14.65" thickBot="1" x14ac:dyDescent="0.5">
      <c r="C34" s="35" t="str">
        <f>C18</f>
        <v>Subsidiary Entity</v>
      </c>
      <c r="D34" s="15" t="str">
        <f>IF(COUNTIF(E20:E28,FALSE)&gt;0,"Incomplete",IF(NOT(AND(D3,D5,D4)),"Incomplete",IF(AND(D22,G22,NOT(F22),NOT(G23)),"Fail",IF(OR(F20,F21,F22),IF(F19,"Pass",IF(D28,IF(F28,"Pass","Fail"),"Incomplete")),"Incomplete"))))</f>
        <v>Incomplete</v>
      </c>
      <c r="E34" s="1"/>
    </row>
    <row r="35" spans="3:8" ht="14.65" thickBot="1" x14ac:dyDescent="0.5">
      <c r="C35" s="73" t="s">
        <v>24</v>
      </c>
      <c r="D35" s="72" t="str">
        <f>IF(In_ObligorSub="No",PassFail_Parent,IF(OR(PassFail_Parent="Incomplete",PassFail_Sub="Incomplete"),"Incomplete",IF(OR(PassFail_Parent="Fail",PassFail_Sub="Fail"),"Fail",IF(AND(PassFail_Parent="Pass",PassFail_Sub="Pass"),"Pass","Incomplete"))))</f>
        <v>Incomplete</v>
      </c>
      <c r="E35" s="1"/>
    </row>
    <row r="42" spans="3:8" ht="14.65" thickBot="1" x14ac:dyDescent="0.5">
      <c r="C42" s="32" t="s">
        <v>321</v>
      </c>
      <c r="D42" s="32" t="s">
        <v>325</v>
      </c>
      <c r="E42" s="32" t="s">
        <v>229</v>
      </c>
      <c r="F42" s="32" t="s">
        <v>326</v>
      </c>
      <c r="G42" s="32" t="s">
        <v>19</v>
      </c>
      <c r="H42" s="32" t="s">
        <v>20</v>
      </c>
    </row>
    <row r="43" spans="3:8" x14ac:dyDescent="0.45">
      <c r="C43" s="137" t="s">
        <v>327</v>
      </c>
      <c r="D43" s="138" t="b">
        <f>IF(In_SMECurrency="",FALSE,TRUE)</f>
        <v>1</v>
      </c>
      <c r="E43" s="138" t="b">
        <f>IF(D43,IF(COUNTIF(Lkp_Currency,In_SMECurrency)&gt;0,TRUE,FALSE),TRUE)</f>
        <v>1</v>
      </c>
      <c r="F43" s="138" t="b">
        <f>AND(D43,E43)</f>
        <v>1</v>
      </c>
      <c r="G43" s="138" t="str">
        <f>IF(D43,IF(E43,IF(F43,"",C43&amp;" test failed. Applicant is not an SME."),C43&amp;" input invalid. Please try again."),"Please provide "&amp;C43&amp;" input.")</f>
        <v/>
      </c>
      <c r="H43" s="37" t="str">
        <f>G43</f>
        <v/>
      </c>
    </row>
    <row r="44" spans="3:8" x14ac:dyDescent="0.45">
      <c r="C44" s="139" t="s">
        <v>328</v>
      </c>
      <c r="D44" s="110" t="b">
        <f>IF(In_FXSpot="",FALSE,TRUE)</f>
        <v>1</v>
      </c>
      <c r="E44" s="110" t="b">
        <f>IF(D44,AND(ISNUMBER(In_FXSpot),In_FXSpot&gt;0),TRUE)</f>
        <v>1</v>
      </c>
      <c r="F44" s="110" t="b">
        <f>AND(D44,E44)</f>
        <v>1</v>
      </c>
      <c r="G44" s="110" t="str">
        <f t="shared" ref="G44:G46" si="2">IF(D44,IF(E44,IF(F44,"",C44&amp;" test failed. Applicant is not an SME."),C44&amp;" input invalid. Please try again."),"Please provide "&amp;C44&amp;" input.")</f>
        <v/>
      </c>
      <c r="H44" s="39" t="str">
        <f t="shared" ref="H44:H49" si="3">H43&amp;IF(G44="","",IF(H43="",G44,CHAR(10)&amp;G44))</f>
        <v/>
      </c>
    </row>
    <row r="45" spans="3:8" x14ac:dyDescent="0.45">
      <c r="C45" s="139" t="s">
        <v>336</v>
      </c>
      <c r="D45" s="110" t="b">
        <f>IF(In_FXDate="",FALSE,TRUE)</f>
        <v>1</v>
      </c>
      <c r="E45" s="110" t="b">
        <f>IF(D45,AND(ISNUMBER(In_FXDate),In_FXDate&gt;0),TRUE)</f>
        <v>1</v>
      </c>
      <c r="F45" s="110" t="b">
        <f>AND(D45,E45)</f>
        <v>1</v>
      </c>
      <c r="G45" s="110" t="str">
        <f t="shared" ref="G45" si="4">IF(D45,IF(E45,IF(F45,"",C45&amp;" test failed. Applicant is not an SME."),C45&amp;" input invalid. Please try again."),"Please provide "&amp;C45&amp;" input.")</f>
        <v/>
      </c>
      <c r="H45" s="39" t="str">
        <f t="shared" ref="H45:H46" si="5">H44&amp;IF(G45="","",IF(H44="",G45,CHAR(10)&amp;G45))</f>
        <v/>
      </c>
    </row>
    <row r="46" spans="3:8" x14ac:dyDescent="0.45">
      <c r="C46" s="139" t="s">
        <v>323</v>
      </c>
      <c r="D46" s="110" t="b">
        <f>IF(In_Employees="",FALSE,TRUE)</f>
        <v>1</v>
      </c>
      <c r="E46" s="110" t="b">
        <f>IF(D46,AND(ISNUMBER(In_Employees),In_Employees&gt;0),TRUE)</f>
        <v>1</v>
      </c>
      <c r="F46" s="110" t="b">
        <f>IF(AND(D46,E46),IF(In_Employees&lt;250,TRUE,FALSE),FALSE)</f>
        <v>1</v>
      </c>
      <c r="G46" s="110" t="str">
        <f t="shared" si="2"/>
        <v/>
      </c>
      <c r="H46" s="39" t="str">
        <f t="shared" si="5"/>
        <v/>
      </c>
    </row>
    <row r="47" spans="3:8" x14ac:dyDescent="0.45">
      <c r="C47" s="139" t="s">
        <v>308</v>
      </c>
      <c r="D47" s="110" t="b">
        <f>IF(In_Turnover="",FALSE,TRUE)</f>
        <v>1</v>
      </c>
      <c r="E47" s="110" t="b">
        <f>IF(D47,IF(ISNUMBER(In_Turnover),TRUE,FALSE),TRUE)</f>
        <v>1</v>
      </c>
      <c r="F47" s="110" t="b">
        <f>IF(AND(D47,E47),IF(In_Turnover&lt;=Calc_TurnoverTarget,TRUE,FALSE),FALSE)</f>
        <v>0</v>
      </c>
      <c r="G47" s="110" t="str">
        <f>IF(D47,IF(E47,IF(F47,"",""),C47&amp;" input invalid. Please try again."),"Please provide "&amp;C47&amp;" input.")</f>
        <v/>
      </c>
      <c r="H47" s="39" t="str">
        <f t="shared" si="3"/>
        <v/>
      </c>
    </row>
    <row r="48" spans="3:8" x14ac:dyDescent="0.45">
      <c r="C48" s="162" t="s">
        <v>324</v>
      </c>
      <c r="D48" s="163" t="b">
        <f>IF(In_GrossAssets="",FALSE,TRUE)</f>
        <v>1</v>
      </c>
      <c r="E48" s="163" t="b">
        <f>IF(D48,IF(ISNUMBER(In_GrossAssets),TRUE,FALSE),TRUE)</f>
        <v>1</v>
      </c>
      <c r="F48" s="163" t="b">
        <f>IF(AND(D48,E48),IF(In_GrossAssets&lt;=Calc_GrossAssetsTarget,TRUE,FALSE),FALSE)</f>
        <v>1</v>
      </c>
      <c r="G48" s="163" t="str">
        <f>IF(D48,IF(E48,IF(F48,"",""),C48&amp;" input invalid. Please try again."),"Please provide "&amp;C48&amp;" input.")</f>
        <v/>
      </c>
      <c r="H48" s="164" t="str">
        <f t="shared" si="3"/>
        <v/>
      </c>
    </row>
    <row r="49" spans="3:8" ht="14.65" thickBot="1" x14ac:dyDescent="0.5">
      <c r="C49" s="140" t="s">
        <v>339</v>
      </c>
      <c r="D49" s="141" t="b">
        <f>AND(D47:D48)</f>
        <v>1</v>
      </c>
      <c r="E49" s="141" t="b">
        <f>AND(E47:E48)</f>
        <v>1</v>
      </c>
      <c r="F49" s="141" t="b">
        <f>OR(F47,F48)</f>
        <v>1</v>
      </c>
      <c r="G49" s="141" t="str">
        <f>IF(D49,IF(E49,IF(F49,IF(F46,"Tests passed, applicant is an SME.",""),C49&amp;" failed. Applicant is not an SME."),""),"")</f>
        <v>Tests passed, applicant is an SME.</v>
      </c>
      <c r="H49" s="41" t="str">
        <f t="shared" si="3"/>
        <v>Tests passed, applicant is an SME.</v>
      </c>
    </row>
    <row r="50" spans="3:8" ht="14.65" thickBot="1" x14ac:dyDescent="0.5"/>
    <row r="51" spans="3:8" ht="14.65" thickBot="1" x14ac:dyDescent="0.5">
      <c r="C51" s="73" t="s">
        <v>329</v>
      </c>
      <c r="D51" s="72" t="str">
        <f>IF(COUNTIF($D$43:$D$48,FALSE)&gt;0,"Incomplete",IF(AND(F46,OR(F47,F48)),"Pass","Fail"))</f>
        <v>Pass</v>
      </c>
    </row>
  </sheetData>
  <sheetProtection algorithmName="SHA-512" hashValue="yb/dS64pY15t48rNQrh15bBYIjR/UZFp96O2+v+cgY4m+J2kKVTWv+fwQqQRTBzw1tIfm6BqlD0Af67HWLRfyg==" saltValue="0uVJ63JXd/WzvV1j0Exhiw==" spinCount="100000"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4EB1-379C-4765-9034-1F49F1A21265}">
  <sheetPr codeName="Sheet4"/>
  <dimension ref="A1:B4"/>
  <sheetViews>
    <sheetView workbookViewId="0">
      <selection activeCell="B1" sqref="B1"/>
    </sheetView>
  </sheetViews>
  <sheetFormatPr defaultRowHeight="14.25" x14ac:dyDescent="0.45"/>
  <sheetData>
    <row r="1" spans="1:2" x14ac:dyDescent="0.45">
      <c r="A1" t="s">
        <v>6</v>
      </c>
      <c r="B1" t="s">
        <v>310</v>
      </c>
    </row>
    <row r="2" spans="1:2" x14ac:dyDescent="0.45">
      <c r="A2" t="s">
        <v>7</v>
      </c>
      <c r="B2" t="s">
        <v>311</v>
      </c>
    </row>
    <row r="3" spans="1:2" x14ac:dyDescent="0.45">
      <c r="B3" t="s">
        <v>312</v>
      </c>
    </row>
    <row r="4" spans="1:2" x14ac:dyDescent="0.45">
      <c r="B4" t="s">
        <v>313</v>
      </c>
    </row>
  </sheetData>
  <sheetProtection algorithmName="SHA-512" hashValue="JjUcAv7QWv4tzWWi1OwQt/M1++xvFhjxvYSxMH7PGXpvoGs8S5xyPVCJuLjSs5d+qjvTZxPAjmljPg0Sn2xb9A==" saltValue="UqEjnkzgi4CqioKpzJmx8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Interface</vt:lpstr>
      <vt:lpstr>SME Wizard</vt:lpstr>
      <vt:lpstr>Calc_3YrInc</vt:lpstr>
      <vt:lpstr>Calc_DebtRatio1</vt:lpstr>
      <vt:lpstr>Calc_DebtRatio1_Sub</vt:lpstr>
      <vt:lpstr>Calc_DebtRatio2</vt:lpstr>
      <vt:lpstr>Calc_DebtRatio2_Sub</vt:lpstr>
      <vt:lpstr>Calc_DebtTest</vt:lpstr>
      <vt:lpstr>Calc_DebtTest_Sub</vt:lpstr>
      <vt:lpstr>Calc_EBITDARatio1</vt:lpstr>
      <vt:lpstr>Calc_EBITDARatio1_Sub</vt:lpstr>
      <vt:lpstr>Calc_EBITDARatio2</vt:lpstr>
      <vt:lpstr>Calc_EBITDARatio2_Sub</vt:lpstr>
      <vt:lpstr>Calc_EBITDATest</vt:lpstr>
      <vt:lpstr>Calc_EBITDATest_Sub</vt:lpstr>
      <vt:lpstr>Calc_FundsRatio</vt:lpstr>
      <vt:lpstr>Calc_FundsRatio_Sub</vt:lpstr>
      <vt:lpstr>Calc_GrossAssetsTarget</vt:lpstr>
      <vt:lpstr>Calc_LossResNeg</vt:lpstr>
      <vt:lpstr>Calc_ShareholderFunds</vt:lpstr>
      <vt:lpstr>Calc_ShareholderFunds_Sub</vt:lpstr>
      <vt:lpstr>Calc_SMEStatus</vt:lpstr>
      <vt:lpstr>Calc_TurnoverTarget</vt:lpstr>
      <vt:lpstr>In_3YrInc</vt:lpstr>
      <vt:lpstr>In_3YrInc_Sub</vt:lpstr>
      <vt:lpstr>In_Capital</vt:lpstr>
      <vt:lpstr>In_Capital_Sub</vt:lpstr>
      <vt:lpstr>In_Date1</vt:lpstr>
      <vt:lpstr>In_Date1_Sub</vt:lpstr>
      <vt:lpstr>In_Date2</vt:lpstr>
      <vt:lpstr>In_Date2_Sub</vt:lpstr>
      <vt:lpstr>In_Debt1</vt:lpstr>
      <vt:lpstr>In_Debt1_Sub</vt:lpstr>
      <vt:lpstr>In_Debt2</vt:lpstr>
      <vt:lpstr>In_Debt2_Sub</vt:lpstr>
      <vt:lpstr>In_EBITDA1</vt:lpstr>
      <vt:lpstr>In_EBITDA1_Sub</vt:lpstr>
      <vt:lpstr>In_EBITDA2</vt:lpstr>
      <vt:lpstr>In_EBITDA2_Sub</vt:lpstr>
      <vt:lpstr>In_Employees</vt:lpstr>
      <vt:lpstr>In_Funds1</vt:lpstr>
      <vt:lpstr>In_Funds1_Sub</vt:lpstr>
      <vt:lpstr>In_Funds2</vt:lpstr>
      <vt:lpstr>In_Funds2_Sub</vt:lpstr>
      <vt:lpstr>In_FXDate</vt:lpstr>
      <vt:lpstr>In_FXSpot</vt:lpstr>
      <vt:lpstr>In_GrossAssets</vt:lpstr>
      <vt:lpstr>In_Interest1</vt:lpstr>
      <vt:lpstr>In_Interest1_Sub</vt:lpstr>
      <vt:lpstr>In_Interest2</vt:lpstr>
      <vt:lpstr>In_Interest2_Sub</vt:lpstr>
      <vt:lpstr>In_LossResNeg</vt:lpstr>
      <vt:lpstr>In_LossResNeg_Sub</vt:lpstr>
      <vt:lpstr>In_ObligorName</vt:lpstr>
      <vt:lpstr>In_ObligorSME</vt:lpstr>
      <vt:lpstr>In_ObligorSMESub</vt:lpstr>
      <vt:lpstr>In_ObligorSub</vt:lpstr>
      <vt:lpstr>In_Profit</vt:lpstr>
      <vt:lpstr>In_Profit_Sub</vt:lpstr>
      <vt:lpstr>In_SMECurrency</vt:lpstr>
      <vt:lpstr>In_Turnover</vt:lpstr>
      <vt:lpstr>Lkp_Currency</vt:lpstr>
      <vt:lpstr>Lkp_YesNo</vt:lpstr>
      <vt:lpstr>Msg_Parent</vt:lpstr>
      <vt:lpstr>Msg_SMEWiz</vt:lpstr>
      <vt:lpstr>Msg_Sub</vt:lpstr>
      <vt:lpstr>PassFail_Overall</vt:lpstr>
      <vt:lpstr>PassFail_Parent</vt:lpstr>
      <vt:lpstr>PassFail_Sub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Grey</dc:creator>
  <cp:lastModifiedBy>Elizabeth Dada</cp:lastModifiedBy>
  <dcterms:created xsi:type="dcterms:W3CDTF">2018-09-20T14:49:45Z</dcterms:created>
  <dcterms:modified xsi:type="dcterms:W3CDTF">2019-01-09T16:13:53Z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-634219795</vt:i4>
  </property>
  <property fmtid="{D5CDD505-2E9C-101B-9397-08002B2CF9AE}" pid="3" name="_NewReviewCycle">
    <vt:lpwstr/>
  </property>
  <property fmtid="{D5CDD505-2E9C-101B-9397-08002B2CF9AE}" pid="4" name="_EmailSubject">
    <vt:lpwstr>Eligible person help/Ready reckoner spreadsheet</vt:lpwstr>
  </property>
  <property fmtid="{D5CDD505-2E9C-101B-9397-08002B2CF9AE}" pid="5" name="_AuthorEmail">
    <vt:lpwstr>Clare.Kent@ukexportfinance.gov.uk</vt:lpwstr>
  </property>
  <property fmtid="{D5CDD505-2E9C-101B-9397-08002B2CF9AE}" pid="6" name="_AuthorEmailDisplayName">
    <vt:lpwstr>Clare Kent</vt:lpwstr>
  </property>
  <property fmtid="{D5CDD505-2E9C-101B-9397-08002B2CF9AE}" pid="7" name="_PreviousAdHocReviewCycleID">
    <vt:i4>-1947475123</vt:i4>
  </property>
  <property fmtid="{D5CDD505-2E9C-101B-9397-08002B2CF9AE}" pid="8" name="_ReviewingToolsShownOnce">
    <vt:lpwstr/>
  </property>
</Properties>
</file>