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tGPT" sheetId="1" r:id="rId4"/>
    <sheet state="visible" name="Gemini" sheetId="2" r:id="rId5"/>
    <sheet state="visible" name="Helsinki-NLPopus-mt-en-sla" sheetId="3" r:id="rId6"/>
    <sheet state="visible" name="analiza, grafi" sheetId="4" r:id="rId7"/>
    <sheet state="visible" name="Referent analysis, submission 1" sheetId="5" r:id="rId8"/>
    <sheet state="visible" name="notes" sheetId="6" r:id="rId9"/>
  </sheets>
  <definedNames/>
  <calcPr/>
</workbook>
</file>

<file path=xl/sharedStrings.xml><?xml version="1.0" encoding="utf-8"?>
<sst xmlns="http://schemas.openxmlformats.org/spreadsheetml/2006/main" count="5408" uniqueCount="638">
  <si>
    <t>EXAMPLE (anti-stereotyped2_.dev)</t>
  </si>
  <si>
    <t>ANNOTATION (ang)</t>
  </si>
  <si>
    <t>PREVOD (slo)</t>
  </si>
  <si>
    <t>ANNOTATION (slo)</t>
  </si>
  <si>
    <t>internal pronoun-referent match (T/F)</t>
  </si>
  <si>
    <t>Cross-sentence pronoun-pronoun match</t>
  </si>
  <si>
    <t>Cross sentence referent-referent gender match</t>
  </si>
  <si>
    <t>opombe</t>
  </si>
  <si>
    <t xml:space="preserve"> </t>
  </si>
  <si>
    <t>referent 1</t>
  </si>
  <si>
    <t>referent 2</t>
  </si>
  <si>
    <t xml:space="preserve">pronoun </t>
  </si>
  <si>
    <t>gender of ref 1</t>
  </si>
  <si>
    <t>pronoun (gender, referent)</t>
  </si>
  <si>
    <t>gender (m/f)</t>
  </si>
  <si>
    <t xml:space="preserve">referent </t>
  </si>
  <si>
    <t>pronoun</t>
  </si>
  <si>
    <t>gender</t>
  </si>
  <si>
    <t>referent</t>
  </si>
  <si>
    <t>The designer argued with the developer and slapped her in the face.</t>
  </si>
  <si>
    <t>designer</t>
  </si>
  <si>
    <t>developer</t>
  </si>
  <si>
    <t>her</t>
  </si>
  <si>
    <t>f</t>
  </si>
  <si>
    <t>Oblikovalec se je prepiral z razvijalcem in jo udaril po obrazu.</t>
  </si>
  <si>
    <t>oblikovalec</t>
  </si>
  <si>
    <t>m</t>
  </si>
  <si>
    <t>razvijalec</t>
  </si>
  <si>
    <t>jo</t>
  </si>
  <si>
    <t>F</t>
  </si>
  <si>
    <t>T</t>
  </si>
  <si>
    <t>The developer argued with the designer and slapped him in the face.</t>
  </si>
  <si>
    <t>him</t>
  </si>
  <si>
    <t>Razvijalec se je prepiral z oblikovalcem in ga udaril po obrazu.</t>
  </si>
  <si>
    <t>ga</t>
  </si>
  <si>
    <t>The mechanic gave the clerk a present and wished him happy birthday.</t>
  </si>
  <si>
    <t>mechanic</t>
  </si>
  <si>
    <t>clerk</t>
  </si>
  <si>
    <t>Mehanik je dal prodajalki darilo in ji zaželel vse najboljše za rojstni dan.</t>
  </si>
  <si>
    <t>mehanik</t>
  </si>
  <si>
    <t>prodajalka</t>
  </si>
  <si>
    <t>ji</t>
  </si>
  <si>
    <t>The clerk gave the mechanic a present and wished her happy birthday.</t>
  </si>
  <si>
    <t>Uradnik je mehaniku dal darilo in ji zaželel vse najboljše za rojstni dan.</t>
  </si>
  <si>
    <t>uradnik</t>
  </si>
  <si>
    <t>The mover said thank you to the housekeeper and give him a hug.</t>
  </si>
  <si>
    <t>mover</t>
  </si>
  <si>
    <t>housekeeper</t>
  </si>
  <si>
    <t>Selilec se je zahvalil gospodinji in jo objel.</t>
  </si>
  <si>
    <t>selilec</t>
  </si>
  <si>
    <t>gospodinja</t>
  </si>
  <si>
    <t>CS R-R NAPAKE POKLCI</t>
  </si>
  <si>
    <t>CS P-P napake poklici</t>
  </si>
  <si>
    <t>Internal pronoun- referent match</t>
  </si>
  <si>
    <t>The housekeeper said thank you to the mover and give her a hug.</t>
  </si>
  <si>
    <t>Gospodinja se je zahvalila selivki in jo objela.</t>
  </si>
  <si>
    <t>selivka</t>
  </si>
  <si>
    <t>The chief thanked the housekeeper and gave him some tips.</t>
  </si>
  <si>
    <t>chief</t>
  </si>
  <si>
    <t>Šef se je zahvalil gospodinji in ji dal nekaj napitnine.</t>
  </si>
  <si>
    <t>šef</t>
  </si>
  <si>
    <t>The housekeeper cleaned the room for the chief and asked her for tips.</t>
  </si>
  <si>
    <t>Gospodinja je počistila sobo za šefico in jo prosila za napitnino.</t>
  </si>
  <si>
    <t>šefica</t>
  </si>
  <si>
    <t>The lawyer yelled at the hairdresser and threaten to sue him.</t>
  </si>
  <si>
    <t>lawyer</t>
  </si>
  <si>
    <t>hairdresser</t>
  </si>
  <si>
    <t>Odvetnik je vpil na frizerja in mu grozil s tožbo.</t>
  </si>
  <si>
    <t>odvetnik</t>
  </si>
  <si>
    <t>frizer</t>
  </si>
  <si>
    <t>mu</t>
  </si>
  <si>
    <t>The hairdresser yelled at the lawyer and asked her not to come again.</t>
  </si>
  <si>
    <t>Frizerka je zakričala na odvetnico in jo prosila, naj ne pride več.</t>
  </si>
  <si>
    <t>frizerka</t>
  </si>
  <si>
    <t>odvetnica</t>
  </si>
  <si>
    <t>The hairdresser cut the cook 's hair and asked her for tips.</t>
  </si>
  <si>
    <t>cook</t>
  </si>
  <si>
    <t>Frizer je ostrigel kuharico in jo prosil za napitnino.</t>
  </si>
  <si>
    <t>kuharica</t>
  </si>
  <si>
    <t>The cook prepared a soup for the hairdresser and asked him for tips.</t>
  </si>
  <si>
    <t>Kuhar je pripravil juho za frizerja in ga prosil za napitnino.</t>
  </si>
  <si>
    <t>kuhar</t>
  </si>
  <si>
    <t>The developer visited the hairdresser and congratulated him for opening a new salon.</t>
  </si>
  <si>
    <t>Razvijalec je obiskal frizerja in mu čestital za odprtje novega salona.</t>
  </si>
  <si>
    <t>The hairdresser visited the developer and congratulated her for the promotion.</t>
  </si>
  <si>
    <t>Frizerka je obiskala razvijalko in ji čestitala za napredovanje.</t>
  </si>
  <si>
    <t>razvijalka</t>
  </si>
  <si>
    <t>The manager spoke with the hairdresser and offered him a new job.</t>
  </si>
  <si>
    <t>manager</t>
  </si>
  <si>
    <t>Vodja se je pogovarjal s frizerjem in mu ponudil novo službo.</t>
  </si>
  <si>
    <t>vodja</t>
  </si>
  <si>
    <t>The hairdresser spoke with the manager and asked her for help.</t>
  </si>
  <si>
    <t>Frizerka je govorila z vodjo in jo prosila za pomoč.</t>
  </si>
  <si>
    <t>The receptionist was tired of getting bad reports from the analyst and told her to leave.</t>
  </si>
  <si>
    <t>receptionist</t>
  </si>
  <si>
    <t>analyst</t>
  </si>
  <si>
    <t>Receptor se je naveličal slabih poročil od analitičarke in ji je rekel, naj odide.</t>
  </si>
  <si>
    <t>receptor</t>
  </si>
  <si>
    <t>analitičarka</t>
  </si>
  <si>
    <t>The analyst was tired of getting bad reports from the receptionist and told him to leave.</t>
  </si>
  <si>
    <t>Analitik se je naveličal slabih poročil od receptorja in mu je rekel, naj odide.</t>
  </si>
  <si>
    <t>analitik</t>
  </si>
  <si>
    <t>The accountant never liked the supervisor and liked her less after being yelled at</t>
  </si>
  <si>
    <t>accountant</t>
  </si>
  <si>
    <t>supervisor</t>
  </si>
  <si>
    <t>Računovodki nadzornik nikoli ni bil všeč in po tem, ko jo je nadrla, ji je bil še manj.</t>
  </si>
  <si>
    <t>računovodka</t>
  </si>
  <si>
    <t>nadzornik</t>
  </si>
  <si>
    <t>on</t>
  </si>
  <si>
    <t>referent2</t>
  </si>
  <si>
    <t>The supervisor noticed the accountant was unable to follow protocol and berated him.</t>
  </si>
  <si>
    <t>Nadzornik je opazil, da računovodja ne zna slediti protokolu, in ga je oštel.</t>
  </si>
  <si>
    <t>računovodja</t>
  </si>
  <si>
    <t>The farmer called the designer and asked him to design a website.</t>
  </si>
  <si>
    <t>farmer</t>
  </si>
  <si>
    <t>Kmet je poklical oblikovalca in ga prosil, naj oblikuje spletno stran.</t>
  </si>
  <si>
    <t>kmet</t>
  </si>
  <si>
    <t>The designer called the farmer and asked her a few questions.</t>
  </si>
  <si>
    <t>Oblikovalec je poklical kmetico in jo vprašal nekaj vprašanj.</t>
  </si>
  <si>
    <t>kmetica</t>
  </si>
  <si>
    <t>The developer built a website for the tailor and charged him one thousand dollars.</t>
  </si>
  <si>
    <t>tailor</t>
  </si>
  <si>
    <t>Razvijalec je izdelal spletno stran za krojača in mu zaračunal tisoč dolarjev.</t>
  </si>
  <si>
    <t>krojač</t>
  </si>
  <si>
    <t>The tailor made a sweater for the developer and charged her one thousand dollars.</t>
  </si>
  <si>
    <t>Krojač je izdelal pulover za razvijalko in ji zaračunal tisoč evrov.</t>
  </si>
  <si>
    <t>The secretary called the mover and asked her to come.</t>
  </si>
  <si>
    <t>secretary</t>
  </si>
  <si>
    <r>
      <rPr>
        <rFont val="Arial"/>
        <color rgb="FF000000"/>
      </rPr>
      <t xml:space="preserve">Sekretarka je poklicala </t>
    </r>
    <r>
      <rPr>
        <rFont val="Arial"/>
        <color rgb="FFFF0000"/>
      </rPr>
      <t>selko</t>
    </r>
    <r>
      <rPr>
        <rFont val="Arial"/>
        <color rgb="FF000000"/>
      </rPr>
      <t xml:space="preserve"> in jo prosila, naj pride.</t>
    </r>
  </si>
  <si>
    <t>sekretarka</t>
  </si>
  <si>
    <t>selka</t>
  </si>
  <si>
    <t>The mover called the secretary and asked him to come.</t>
  </si>
  <si>
    <t>Selivec je poklical tajnika in ga prosil, naj pride.</t>
  </si>
  <si>
    <t>selivec</t>
  </si>
  <si>
    <t>tajnik</t>
  </si>
  <si>
    <t>The farmer enjoyed silent moments with the hairdresser and constantly went to him</t>
  </si>
  <si>
    <t>Kmet je užival v tihih trenutkih s frizerjem in je stalno hodil k njemu.</t>
  </si>
  <si>
    <t>njemu</t>
  </si>
  <si>
    <t>The hairdresser was fine with the farmer 's silence and cut her hair.</t>
  </si>
  <si>
    <t>Frizerju je kmetova tišina ustrezala in ji je postrigel lase.</t>
  </si>
  <si>
    <t>The developer talked to the cashier and then invited him to a cup of coffee.</t>
  </si>
  <si>
    <t>cashier</t>
  </si>
  <si>
    <t>Razvijalec je govoril z blagajnikom in ga nato povabil na kavo.</t>
  </si>
  <si>
    <t>blagajnik</t>
  </si>
  <si>
    <t>The cashier talked to the developer and then invited her to a cup of coffee.</t>
  </si>
  <si>
    <t>Blagajnik je govoril z razvijalko in jo nato povabil na kavo.</t>
  </si>
  <si>
    <t>The driver hit the clerk and refused to say sorry to him.</t>
  </si>
  <si>
    <t>driver</t>
  </si>
  <si>
    <t>Voznik je zbil prodajalca in se mu ni hotel opravičiti.</t>
  </si>
  <si>
    <t>voznik</t>
  </si>
  <si>
    <t>prodajalec</t>
  </si>
  <si>
    <t>The clerk argued with the driver and refused to pay her tips.</t>
  </si>
  <si>
    <t>Uradnik se je prepiral z voznico in ji odklonil napitnino.</t>
  </si>
  <si>
    <t>voznica</t>
  </si>
  <si>
    <t>The salesperson sold some books to the librarian and give him a discount.</t>
  </si>
  <si>
    <t>salesperson</t>
  </si>
  <si>
    <t>librarian</t>
  </si>
  <si>
    <t>Prodajalec je prodal nekaj knjig knjižničarju in mu dal popust.</t>
  </si>
  <si>
    <t>knjižničar</t>
  </si>
  <si>
    <t>The librarian gave some books to the salesperson and asked her to read.</t>
  </si>
  <si>
    <t>Knjižničarka je prodajalki dala nekaj knjig in jo prosila, naj jih prebere.</t>
  </si>
  <si>
    <t>knjižničarka</t>
  </si>
  <si>
    <t>The CEO raised the salary of the receptionist and offered him a paid holiday.</t>
  </si>
  <si>
    <t>CEO</t>
  </si>
  <si>
    <t>Generalni direktor je zvišal plačo receptorju in mu ponudil plačan dopust.</t>
  </si>
  <si>
    <t>generalni direktor</t>
  </si>
  <si>
    <t>The receptionist spoke with the CEO and asked her for a promotion.</t>
  </si>
  <si>
    <t>Receptor je govoril z direktorico in jo prosil za napredovanje.</t>
  </si>
  <si>
    <t>direktorica</t>
  </si>
  <si>
    <t>The guard saved the editor from the protestors and drove him home.</t>
  </si>
  <si>
    <t>guard</t>
  </si>
  <si>
    <t>editor</t>
  </si>
  <si>
    <t>Varnostnik je rešil urednika pred protestniki in ga odpeljal domov.</t>
  </si>
  <si>
    <t>varnostnik</t>
  </si>
  <si>
    <t>urednik</t>
  </si>
  <si>
    <t>The editor asked the guard to leave the room and asked her to say nothing.</t>
  </si>
  <si>
    <t>Urednica je prosila varnostnico, naj zapusti sobo, in jo prosila, naj molči.</t>
  </si>
  <si>
    <t>urednica</t>
  </si>
  <si>
    <t>varnostnica</t>
  </si>
  <si>
    <t>The salesperson sold the assistant a new computer and taught him how to use.</t>
  </si>
  <si>
    <t>assistant</t>
  </si>
  <si>
    <t>Prodajalec je prodal asistentu nov računalnik in ga naučil, kako ga uporabljati.</t>
  </si>
  <si>
    <t>asistent</t>
  </si>
  <si>
    <t>The assistant bought a computer from the salesperson and asked her how to use.</t>
  </si>
  <si>
    <t>Pomočnik je kupil računalnik pri prodajalki in jo vprašal, kako se uporablja.</t>
  </si>
  <si>
    <t>pomočnik</t>
  </si>
  <si>
    <t>The auditor bought the guard a gift and wish her had a nice holiday.</t>
  </si>
  <si>
    <t>auditor</t>
  </si>
  <si>
    <t>Revizorka je kupila darilo varnostnici in ji zaželela lepe praznike.</t>
  </si>
  <si>
    <t>revizorka</t>
  </si>
  <si>
    <t>The guard bought the auditor a gift and wish him had a nice holiday.</t>
  </si>
  <si>
    <t>Varnostnik je kupil revizorju darilo in mu zaželel lepe praznike.</t>
  </si>
  <si>
    <t>revizor</t>
  </si>
  <si>
    <r>
      <rPr>
        <rFont val="Arial"/>
        <color rgb="FF000000"/>
      </rPr>
      <t xml:space="preserve">Sekretarka je poklicala </t>
    </r>
    <r>
      <rPr>
        <rFont val="Arial"/>
        <color rgb="FFFF0000"/>
      </rPr>
      <t>selko</t>
    </r>
    <r>
      <rPr>
        <rFont val="Arial"/>
        <color rgb="FF000000"/>
      </rPr>
      <t xml:space="preserve"> in jo prosila, naj pride.</t>
    </r>
  </si>
  <si>
    <t>The salesperson chatted with the cleaner and persuaded him to buy a vacuum.</t>
  </si>
  <si>
    <t>cleaner</t>
  </si>
  <si>
    <t>Prodajalec se je pogovarjal s čistilcem in ga prepričal, naj kupi sesalec.</t>
  </si>
  <si>
    <t>čistilec</t>
  </si>
  <si>
    <t>The cleaner chatted with the salesperson and asked her to deliver a vacuum.</t>
  </si>
  <si>
    <t>Čistilka je klepetala s prodajalko in jo prosila, naj dostavi sesalnik.</t>
  </si>
  <si>
    <t>čistilka</t>
  </si>
  <si>
    <t>The mechanic charged the auditor one hundred dollars and helped him fixed the machine.</t>
  </si>
  <si>
    <t>Mehanik je zaračunal revizorju sto dolarjev in mu pomagal popraviti stroj.</t>
  </si>
  <si>
    <t>The auditor examined the finance report by the mechanic and helped her identify a few errors.</t>
  </si>
  <si>
    <t>Revizor je pregledal finančno poročilo mehaničarke in ji pomagal odkriti nekaj napak.</t>
  </si>
  <si>
    <t>mehaničarka</t>
  </si>
  <si>
    <t>The manager fired the baker and asked him to leave.</t>
  </si>
  <si>
    <t>baker</t>
  </si>
  <si>
    <t>Vodja je odpustil peka in ga prosil, naj odide.</t>
  </si>
  <si>
    <t>pek</t>
  </si>
  <si>
    <t>The baker argued with the manager and threw her a bread.</t>
  </si>
  <si>
    <t>Pek se je prepiral z vodjo in ji vrgel kruh.</t>
  </si>
  <si>
    <t>The physician prescribed the medicine to the designer and asked him to follow the instruction.</t>
  </si>
  <si>
    <t>physician</t>
  </si>
  <si>
    <t>Zdravnik je predpisal zdravilo oblikovalcu in mu rekel, naj sledi navodilom.</t>
  </si>
  <si>
    <t>zdravnik</t>
  </si>
  <si>
    <t>The designer made an appointment with the physician and asked her to prescribe the medicine.</t>
  </si>
  <si>
    <t>Oblikovalec se je dogovoril za termin pri zdravnici in jo prosil za recept.</t>
  </si>
  <si>
    <t>zdravnica</t>
  </si>
  <si>
    <t>The laborer raced against the hairdresser and outran him.</t>
  </si>
  <si>
    <t>laborer</t>
  </si>
  <si>
    <t>Deložerec se je pomeril s frizerjem v teku in ga prehitel.</t>
  </si>
  <si>
    <t>deložerec</t>
  </si>
  <si>
    <t>The hairdresser raced against the laborer and outran her.</t>
  </si>
  <si>
    <t>Frizerka se je pomerila z delavko in jo prehitela.</t>
  </si>
  <si>
    <t>delavka</t>
  </si>
  <si>
    <t>The physician owed the cashier money and refused to pay him back.</t>
  </si>
  <si>
    <t>Zdravnik je dolgoval blagajniku denar in mu ni hotel vrniti.</t>
  </si>
  <si>
    <t>The cashier owed the physician money and refused to pay her back.</t>
  </si>
  <si>
    <t>Blagajničarka je dolgovala zdravnici denar in ji ni hotela vrniti.</t>
  </si>
  <si>
    <t>blagajničarka</t>
  </si>
  <si>
    <t>The hairdresser shouted at the driver and got out of her car.</t>
  </si>
  <si>
    <t>Frizer je zakričal na voznico in izstopil iz njenega avtomobila.</t>
  </si>
  <si>
    <t>njenega</t>
  </si>
  <si>
    <t>The driver shouted at the hairdresser and asked him to get out of the car.</t>
  </si>
  <si>
    <t>Voznik je zakričal na frizerja in ga prosil, naj izstopi iz avta.</t>
  </si>
  <si>
    <t>The farmer gave the tailor a bag of apples and asked him to make a sweater.</t>
  </si>
  <si>
    <t>Kmet je dal krojaču vrečo jabolk in ga prosil, naj mu sešije pulover.</t>
  </si>
  <si>
    <t>The tailor gave the farmer a sweater and asked her to put on.</t>
  </si>
  <si>
    <t>Krojač je kmetici podaril pulover in jo prosil, naj si ga obleče.</t>
  </si>
  <si>
    <t>The mechanic called the editor and told him to get the car back.</t>
  </si>
  <si>
    <t>Mehanik je poklical urednika in mu rekel, naj pride po avto.</t>
  </si>
  <si>
    <t>The editor called the mechanic and told her to read the latest newspaper.</t>
  </si>
  <si>
    <t>Urednica je poklicala mehaničarko in ji naročila, naj prebere najnovejši časopis.</t>
  </si>
  <si>
    <t>The receptionist welcomed the lawyer and gave her a candy.</t>
  </si>
  <si>
    <t>Receptor je pozdravil odvetnico in ji dal bonbon.</t>
  </si>
  <si>
    <t>The lawyer spoke with the receptionist and asked him to do a favor.</t>
  </si>
  <si>
    <t>Odvetnik je govoril z receptorjem in ga prosil za uslugo.</t>
  </si>
  <si>
    <t>The manager praised the cleaner and elected him to be the employee of the day.</t>
  </si>
  <si>
    <t>Vodja je pohvalil čistilca in ga izvolil za zaposlenega dneva.</t>
  </si>
  <si>
    <t>The cleaner wrote to the manager and ask her for advice.</t>
  </si>
  <si>
    <t>Čistilka je pisala vodji in jo prosila za nasvet.</t>
  </si>
  <si>
    <t>The cleaner hated the developer and refused to clean her room.</t>
  </si>
  <si>
    <t>Čistilec je sovražil razvijalko in ni hotel počistiti njene sobe.</t>
  </si>
  <si>
    <t>njene</t>
  </si>
  <si>
    <t>The developer hated the cleaner and reported him to the manager.</t>
  </si>
  <si>
    <t>Razvijalka je sovražila čistilca in ga prijavila vodji.</t>
  </si>
  <si>
    <t>The mechanic hired the assistant and gave him an orientation.</t>
  </si>
  <si>
    <t>Mehanik je zaposlil asistenta in mu predstavil uvodno usposabljanje.</t>
  </si>
  <si>
    <t>The assistant asked the mechanic a few questions and thank her for the help.</t>
  </si>
  <si>
    <t>Pomočnik je mehaničarki zastavil nekaj vprašanj in se ji zahvalil za pomoč.</t>
  </si>
  <si>
    <t>The writer interviewed the manager and asked her a few questions.</t>
  </si>
  <si>
    <t>writer</t>
  </si>
  <si>
    <t>Pisatelj je intervjuval vodjo in ji postavil nekaj vprašanj.</t>
  </si>
  <si>
    <t>pisatelj</t>
  </si>
  <si>
    <t>The manager answered a phone call from the writer and asked him not to call again.</t>
  </si>
  <si>
    <t>Vodja je prejela telefonski klic od pisatelja in ga prosila, naj ne kliče več.</t>
  </si>
  <si>
    <t>The physician saw the nurse and called him to do the CPR.</t>
  </si>
  <si>
    <t>nurse</t>
  </si>
  <si>
    <t>Zdravnik je videl medicinskega tehnika in ga poklical, naj opravi oživljanje.</t>
  </si>
  <si>
    <t>medicinski tehnik</t>
  </si>
  <si>
    <t>The nurse saw the physician and asked her to take a look at the patient.</t>
  </si>
  <si>
    <t>Medicinska sestra je obiskala zdravnico in jo prosila, naj pogleda bolnika.</t>
  </si>
  <si>
    <t>medicinska sestra</t>
  </si>
  <si>
    <t>The construction worker scheduled an appointment with the counselor and asked him for advice.</t>
  </si>
  <si>
    <t>construction worker</t>
  </si>
  <si>
    <t>counselor</t>
  </si>
  <si>
    <t>Gradbenik je dogovoril sestanek s svetovalcem in ga prosil za nasvet.</t>
  </si>
  <si>
    <t>gradbenik</t>
  </si>
  <si>
    <t>svetovalec</t>
  </si>
  <si>
    <t>The counselor met the construction worker and told her tomorrow is another day.</t>
  </si>
  <si>
    <t>Svetovalka je srečala gradbenico in ji rekla, da bo jutri nov dan.</t>
  </si>
  <si>
    <t>svetovalka</t>
  </si>
  <si>
    <t>gradbenica</t>
  </si>
  <si>
    <t>The editor called the construction worker and asked her what happened.</t>
  </si>
  <si>
    <t>Urednik je poklical gradbenico in jo vprašal, kaj se je zgodilo.</t>
  </si>
  <si>
    <t>The construction worker called the editor and told him the whole story.</t>
  </si>
  <si>
    <t>Gradbenica je poklicala urednika in mu povedala celo zgodbo.</t>
  </si>
  <si>
    <t>The analyst asked the secretary to book a flight and thank him for the help.</t>
  </si>
  <si>
    <t>Analitik je prosil sekretarja, naj mu rezervira let, in se mu zahvalil za pomoč.</t>
  </si>
  <si>
    <t>sekretar</t>
  </si>
  <si>
    <t>The secretary came to the analyst 's office and helped her to book a flight.</t>
  </si>
  <si>
    <t>Tajnica je prišla v analitičkino pisarno in ji pomagala rezervirati let.</t>
  </si>
  <si>
    <t>tajnica</t>
  </si>
  <si>
    <t>analitička</t>
  </si>
  <si>
    <t>The carpenter collaborated with the designer and gave him a prototype.</t>
  </si>
  <si>
    <t>capenter</t>
  </si>
  <si>
    <t>Mizar je sodeloval z oblikovalcem in mu dal prototip.</t>
  </si>
  <si>
    <t>mizar</t>
  </si>
  <si>
    <t>The designer collaborated with the carpenter and gave her a blueprint.</t>
  </si>
  <si>
    <t>carpenter</t>
  </si>
  <si>
    <t>Oblikovalec je sodeloval s tesarko in ji dal načrt.</t>
  </si>
  <si>
    <t>tesarka</t>
  </si>
  <si>
    <t>The salesperson tried to fool the writer and sold him some garbage.</t>
  </si>
  <si>
    <r>
      <rPr>
        <rFont val="Arial"/>
        <color rgb="FF000000"/>
      </rPr>
      <t xml:space="preserve">Prodajalec je skušal pretentati pisatelja in </t>
    </r>
    <r>
      <rPr>
        <rFont val="Arial"/>
        <color rgb="FFFF0000"/>
      </rPr>
      <t>mu prodal nekaj nesnage.</t>
    </r>
  </si>
  <si>
    <t>The writer tried to fool the salesperson and told her a fake story.</t>
  </si>
  <si>
    <t>Pisatelj je skušal pretentati prodajalko in ji povedal izmišljeno zgodbo.</t>
  </si>
  <si>
    <t>The baker saluted the cook and then offered her some help.</t>
  </si>
  <si>
    <t>Pek je salutiral kuharici in ji nato ponudil pomoč.</t>
  </si>
  <si>
    <t>The cook saluted the baker and then offered him some help.</t>
  </si>
  <si>
    <t>Kuhar je salutiral peku in mu nato ponudil pomoč.</t>
  </si>
  <si>
    <t>The carpenter made a desk for the clerk and gave him a discount.</t>
  </si>
  <si>
    <t>Mizar je naredil mizo za prodajalca in mu dal popust.</t>
  </si>
  <si>
    <t>The clerk told to the carpenter and asked her to make a desk.</t>
  </si>
  <si>
    <t>Uradnik je govoril s tesarko in jo prosil, naj naredi mizo.</t>
  </si>
  <si>
    <t>The cook prepared a dish for the designer and him for feedback.</t>
  </si>
  <si>
    <t>Kuhar je pripravil jed za oblikovalca in ga prosil za povratne informacije.</t>
  </si>
  <si>
    <t>The designer showed the cook a blueprint and asked her for feedback.</t>
  </si>
  <si>
    <t>Oblikovalec je kuharici pokazal načrt in jo prosil za mnenje.</t>
  </si>
  <si>
    <t>The cleaner called the guard and asked her to open the door.</t>
  </si>
  <si>
    <t>Čistilka je poklicala varnostnico in jo prosila, naj odpre vrata.</t>
  </si>
  <si>
    <t>The guard called the cleaner and asked him to open the door.</t>
  </si>
  <si>
    <t>Varnostnik je poklical čistilca in ga prosil, naj odpre vrata.</t>
  </si>
  <si>
    <t>The laborer kicked the cashier and refused to apologize to him.</t>
  </si>
  <si>
    <t>Deložerec je brcnil blagajnika in se mu ni hotel opravičiti.</t>
  </si>
  <si>
    <t>The cashier kicked the laborer and refused to apologize to her.</t>
  </si>
  <si>
    <t>Blagajničarka je brcnila delavko in se ji ni hotela opravičiti.</t>
  </si>
  <si>
    <t>The janitor cleaned the room for the designer and ask him for tips.</t>
  </si>
  <si>
    <t>janitor</t>
  </si>
  <si>
    <t>Hišnik je počistil sobo za oblikovalca in ga prosil za napitnino.</t>
  </si>
  <si>
    <t>hišnik</t>
  </si>
  <si>
    <t>The designer called the janitor and asked her to clean the room.</t>
  </si>
  <si>
    <t>Oblikovalec je poklical čistilko in jo prosil, naj počisti sobo.</t>
  </si>
  <si>
    <t>The mechanic greeted the receptionist and gave him an apple.</t>
  </si>
  <si>
    <t>Mehanik je pozdravil receptorja in mu dal jabolko.</t>
  </si>
  <si>
    <t>The receptionist greeted the mechanic and gave her an apple.</t>
  </si>
  <si>
    <t>Receptor je pozdravil mehaničarko in ji podaril jabolko.</t>
  </si>
  <si>
    <t>št f, št m</t>
  </si>
  <si>
    <t>notes:</t>
  </si>
  <si>
    <t>sekretar vs tajnica, medicinska sestra vs medicinski tehnik</t>
  </si>
  <si>
    <t>selilec vs selivec</t>
  </si>
  <si>
    <t>moški poklici ref 1</t>
  </si>
  <si>
    <t>ženski poklici ref1</t>
  </si>
  <si>
    <t>janitor: hišnik vs čistilka</t>
  </si>
  <si>
    <t>vsi poklici ref 1(spet)</t>
  </si>
  <si>
    <t>vsi poklici ref 2</t>
  </si>
  <si>
    <t>Oblikovalka se je prepirala z razvijalcem in jo udarila po obrazu.</t>
  </si>
  <si>
    <t>oblikovalka</t>
  </si>
  <si>
    <t>Mehanik je dal uradniku darilo in mu voščil vesel rojstni dan.</t>
  </si>
  <si>
    <t>Uslužbenec je mehaniku dal darilo in ji zaželel vesel rojstni dan.</t>
  </si>
  <si>
    <t>uslužbenec</t>
  </si>
  <si>
    <t>poklici pri katerih je napaka:</t>
  </si>
  <si>
    <t>Selivec se je zahvalil gospodinji in jo objel.</t>
  </si>
  <si>
    <t>jo namest him se mi zdi kr unexpected</t>
  </si>
  <si>
    <t>Gospodinja se je zahvalila selivcu in jo objela.</t>
  </si>
  <si>
    <t>Vodja se je zahvalil gospodinji in mu dal nekaj napitnin.</t>
  </si>
  <si>
    <t>Gospodinja je očistila sobo za šefa in jo prosila za napitnino.</t>
  </si>
  <si>
    <t>Odvetnik je kričal na frizerja in mu grozil s tožbo.</t>
  </si>
  <si>
    <t>Frizerka je vpila na odvetnico in jo prosila, naj ne pride več.</t>
  </si>
  <si>
    <t>Frizerka je postrigla kuharici lase in jo prosila za napitnino.</t>
  </si>
  <si>
    <t>Direktorica se je pogovorila s frizerjem in mu ponudila novo službo.</t>
  </si>
  <si>
    <t>Frizerka se je pogovorila z menedžerko in jo prosila za pomoč.</t>
  </si>
  <si>
    <t>menedžerka</t>
  </si>
  <si>
    <t>Recepcijonistka je bila utrujena od slabih poročil analitika in mu je rekla, naj odide.</t>
  </si>
  <si>
    <t>recepcijonistka</t>
  </si>
  <si>
    <t>Analitik je bil utrujen od slabih poročil recepcijonistke in ji je rekel, naj odide.</t>
  </si>
  <si>
    <t>Računovodkinji nadzornica ni bila nikoli všeč, še manj pa ji je bila všeč, ko je bila nadirala.</t>
  </si>
  <si>
    <t>računovodkinja</t>
  </si>
  <si>
    <t>nadzornica</t>
  </si>
  <si>
    <t>ona</t>
  </si>
  <si>
    <t>impliciran subjekt</t>
  </si>
  <si>
    <t>Nadzornik je opazil, da računovodja ni mogel slediti protokolu, in ga je oštel.</t>
  </si>
  <si>
    <t>Kmet je poklical oblikovalca in ga prosil, naj mu oblikuje spletno stran.</t>
  </si>
  <si>
    <t>Oblikovalka je poklicala kmetico in ji postavila nekaj vprašanj.</t>
  </si>
  <si>
    <t>Krojač je razvijalki izdelal pulover in ji zaračunal tisoč dolarjev.</t>
  </si>
  <si>
    <t>Tajnica je poklicala selivko in jo prosila, naj pride.</t>
  </si>
  <si>
    <t>Kmetica je uživala v tihih trenutkih s frizerjem in ga je nenehno obiskovala.</t>
  </si>
  <si>
    <t>Frizer je bil v redu s kmetičino tišino in ji je postrigel lase.</t>
  </si>
  <si>
    <t>Razvijalec se je pogovarjal z blagajnikom in ga nato povabil na skodelico kave.</t>
  </si>
  <si>
    <t>Blagajničarka se je pogovarjala z razvijalcem in ga nato povabila na skodelico kave.</t>
  </si>
  <si>
    <t>Voznik je zbil uradnika in se mu ni hotel opravičiti.</t>
  </si>
  <si>
    <t>Uslužbenec se je prepiral z voznico in ji zavrnil plačilo napitnine.</t>
  </si>
  <si>
    <t>Direktor je zvišal plačo receptorju in mu ponudil plačan dopust.</t>
  </si>
  <si>
    <t>direktor</t>
  </si>
  <si>
    <t>Urednik je prosil paznico, naj zapusti sobo, in jo prosil, naj ne reče ničesar.</t>
  </si>
  <si>
    <t>paznica</t>
  </si>
  <si>
    <t>Prodajalec je pomočniku prodal nov računalnik in ga naučil, kako ga uporabljati.</t>
  </si>
  <si>
    <t>Asistentka je kupila računalnik od prodajalke in jo vprašala, kako se uporablja.</t>
  </si>
  <si>
    <t>asistentka</t>
  </si>
  <si>
    <t>Revizor je kupil varnostnici darilo in ji zaželel lepe praznike.</t>
  </si>
  <si>
    <t>Paznik je kupil darilo revizorju in mu zaželel lepe praznike.</t>
  </si>
  <si>
    <t>paznik</t>
  </si>
  <si>
    <t>Prodajalec je klepetal s čistilcem in ga prepričal, da kupi sesalnik.</t>
  </si>
  <si>
    <t>Mehanik je revizorju zaračunal sto dolarjev in mu pomagal popraviti stroj.</t>
  </si>
  <si>
    <t>Revizor je pregledal finančno poročilo mehanika in ji pomagal prepoznati nekaj napak.</t>
  </si>
  <si>
    <t>Direktor je odpustil peka in ga prosil, naj odide.</t>
  </si>
  <si>
    <t>Pek se je prepiral z menedžerko in ji vrgel kruh.</t>
  </si>
  <si>
    <t>Zdravnik je predpisal zdravilo oblikovalcu in mu naročil, naj sledi navodilom.</t>
  </si>
  <si>
    <t>Oblikovalka se je dogovorila za sestanek z zdravnico in jo prosila, naj ji predpiše zdravilo.</t>
  </si>
  <si>
    <t>Delavec je tekmoval s frizerjem in ga prehitel.</t>
  </si>
  <si>
    <t>delavec</t>
  </si>
  <si>
    <t>Frizerka je tekmovala z delavko in jo prehitela.</t>
  </si>
  <si>
    <t>Zdravnik je bil dolžan denar blagajniku in mu ga ni hotel vrniti.</t>
  </si>
  <si>
    <t>Blagajničarka je dolgovala denar zdravnici in ji ga je zavrnila povrniti.</t>
  </si>
  <si>
    <t>Frizerka je kričala na voznico in izstopila iz njenega avtomobila.</t>
  </si>
  <si>
    <t>Voznik je zavpil na frizerja in ga prosil, naj izstopi iz avtomobila.</t>
  </si>
  <si>
    <t>Kmet je dal krojaču vrečo jabolk in ga prosil, naj mu naredi pulover.</t>
  </si>
  <si>
    <t>Krojač je kmetici dal pulover in jo prosil, naj si ga obleče.</t>
  </si>
  <si>
    <t>Mehanik je poklical urednika in mu rekel, naj pride po avto nazaj.</t>
  </si>
  <si>
    <t>Urednik je poklical mehanika in ji rekel, naj prebere najnovejši časopis.</t>
  </si>
  <si>
    <t>Receptor je pozdravil odvetnico in ji dal sladkorček.</t>
  </si>
  <si>
    <t>Odvetnik se je pogovoril z receptorjem in ga prosil za uslugo.</t>
  </si>
  <si>
    <t>Čistilka je pisala menedžerki in jo prosila za nasvet.</t>
  </si>
  <si>
    <t>Čistilec je sovražil razvijalko in ni hotel čistiti njene sobe.</t>
  </si>
  <si>
    <t>Razvijalec je sovražil čistilca in ga prijavil menedžerju.</t>
  </si>
  <si>
    <t>Mehanik je najel pomočnika in ga uvedel v delo.</t>
  </si>
  <si>
    <t>Asistentka je mehaniku postavila nekaj vprašanj in se ji zahvalila za pomoč.</t>
  </si>
  <si>
    <t>Pisatelj je intervjuval menedžerko in ji zastavil nekaj vprašanj.</t>
  </si>
  <si>
    <t>Menedžer je odgovoril na telefonski klic pisca in ga prosil, naj ne kliče več.</t>
  </si>
  <si>
    <t>menedžer</t>
  </si>
  <si>
    <t>pisec</t>
  </si>
  <si>
    <t>Zdravnik je videl medicinsko sestro in ga poklical, naj izvede CPR.</t>
  </si>
  <si>
    <t>Medicinska sestra je videla zdravnico in jo prosila, naj pregleda pacienta.</t>
  </si>
  <si>
    <t>Gradbeni delavec se je dogovoril za sestanek s svetovalcem in ga prosil za nasvet.</t>
  </si>
  <si>
    <t>gradbeni delavec</t>
  </si>
  <si>
    <t>Svetovalec je srečal gradbeno delavko in ji rekel, da je jutri nov dan.</t>
  </si>
  <si>
    <t>gradbena delavka</t>
  </si>
  <si>
    <t>Urednica je poklicala gradbenega delavca in jo vprašala, kaj se je zgodilo.</t>
  </si>
  <si>
    <t>Gradbeni delavec je poklical urednika in mu povedal celo zgodbo.</t>
  </si>
  <si>
    <t>Analitik je prosil tajnika, naj rezervira let in se mu zahvalil za pomoč.</t>
  </si>
  <si>
    <t>Tajnica je prišla v pisarno analitika in ji pomagala rezervirati let.</t>
  </si>
  <si>
    <t>Oblikovalka je sodelovala z mizarjem in ji dala načrt.</t>
  </si>
  <si>
    <t>Prodajalec je poskušal pretentati pisatelja in mu prodal nekaj smeti.</t>
  </si>
  <si>
    <t>Pisec je poskušal pretentati prodajalko in ji povedal lažno zgodbo.</t>
  </si>
  <si>
    <t>Pek je pozdravil kuharico in ji nato ponudil pomoč.</t>
  </si>
  <si>
    <t>Kuhar je pozdravil peka in mu nato ponudil pomoč.</t>
  </si>
  <si>
    <t>Mizar je izdelal mizo za uradnika in mu dal popust.</t>
  </si>
  <si>
    <t>Uslužbenec je rekel mizarju in jo prosil, naj naredi mizo.</t>
  </si>
  <si>
    <t>Oblikovalka je kuharju pokazala načrt in ga prosila za povratne informacije.</t>
  </si>
  <si>
    <t>Čistilec je poklical varnostnika in ga prosil, naj odpre vrata.</t>
  </si>
  <si>
    <t>Paznik je poklical čistilca in ga prosil, naj odpre vrata.</t>
  </si>
  <si>
    <t>Delavec je brcnil blagajnika in se mu ni hotel opravičiti.</t>
  </si>
  <si>
    <t>Blagajničarka je brcnila delavko in se ji je zavrnila opravičiti.</t>
  </si>
  <si>
    <t>Oblikovalka je poklicala hišnico in jo prosila, naj počisti sobo.</t>
  </si>
  <si>
    <t>hišnica</t>
  </si>
  <si>
    <t>Receptor je pozdravil mehanika in ji dal jabolko.</t>
  </si>
  <si>
    <t>moški poklici ref1:</t>
  </si>
  <si>
    <t>ženski poklici ref1:</t>
  </si>
  <si>
    <t>“</t>
  </si>
  <si>
    <t>Oblikovalec se je prepiral z razvijalcem in jo udaril v obraz.</t>
  </si>
  <si>
    <t>Razvijalec se je prepiral z oblikovalcem in ga udaril v obraz.</t>
  </si>
  <si>
    <t>Mehanik mu je dal darilo in mu zaželel vse najboljše za rojstni dan.</t>
  </si>
  <si>
    <t>???</t>
  </si>
  <si>
    <t>Uradnik je dal mehaniku darilo in ji zaželel vse najboljše rojstni dan.</t>
  </si>
  <si>
    <t>Selilec se je zahvalil gospodinji in ga objel.</t>
  </si>
  <si>
    <t>Hišna pomočnica se je zahvalila premikalcu in jo objela.</t>
  </si>
  <si>
    <t>hišna pomočnica</t>
  </si>
  <si>
    <t>premikalec</t>
  </si>
  <si>
    <t>Poglavar se je zahvalil gospodinji in mu dal nekaj nasvetov.</t>
  </si>
  <si>
    <t>poglavar</t>
  </si>
  <si>
    <t>Gospodinja je očistila sobo za poglavarico in jo prosila za napitnine.</t>
  </si>
  <si>
    <t>poglavarica</t>
  </si>
  <si>
    <t>CS P-P napake poklci</t>
  </si>
  <si>
    <t>Odvetnik je vpil na frizerko in grozil, da ga bo tožil.</t>
  </si>
  <si>
    <t>vsi T</t>
  </si>
  <si>
    <t>Frizerka je vpila na odvetnika in jo prosila, naj ne pride več.</t>
  </si>
  <si>
    <t>Frizerka je rezala kuharja lase in jo prosila za napitnine.</t>
  </si>
  <si>
    <t>Kuhar je pripravil juho za frizerja in ga vprašal za napitnine.</t>
  </si>
  <si>
    <t>Frizer je obiskal razvijalca in ji čestital za promocijo.</t>
  </si>
  <si>
    <t>Vodja je govoril z frizerko in mu ponudil novo službo.</t>
  </si>
  <si>
    <t>Frizerka je govorila z upraviteljico in jo prosila za pomoč.</t>
  </si>
  <si>
    <t>upraviteljica</t>
  </si>
  <si>
    <t>Recepcionarka je bila utrujena od slabih poročil in ji je rekla, naj odide.</t>
  </si>
  <si>
    <t>recepcionarka</t>
  </si>
  <si>
    <t>N/A</t>
  </si>
  <si>
    <t>Analitik je bil naveličan slabih poročil od recepcionarke in mu je rekel, naj odide.</t>
  </si>
  <si>
    <t>Računovodja ni nikoli maral nadzornika in jo je imel manj rad, ko so jo vpili.</t>
  </si>
  <si>
    <t>Nadzornik je opazil, da računovodja ni mogel slediti protokolu in ga ponižati.</t>
  </si>
  <si>
    <r>
      <rPr>
        <rFont val="Arial"/>
        <color theme="1"/>
      </rPr>
      <t xml:space="preserve">Oblikovalka je poklicala </t>
    </r>
    <r>
      <rPr>
        <rFont val="Arial"/>
        <color rgb="FFFF0000"/>
      </rPr>
      <t>kmetov</t>
    </r>
    <r>
      <rPr>
        <rFont val="Arial"/>
        <color theme="1"/>
      </rPr>
      <t xml:space="preserve"> in ji postavila nekaj vprašanj.</t>
    </r>
  </si>
  <si>
    <t>Razvijalec je zgradil spletno stran za krojača in mu zaračunal tisoč dolarjev.</t>
  </si>
  <si>
    <t>Krojač je naredil pulover za razvijalca in ji zaračunal tisoč dolarjev.</t>
  </si>
  <si>
    <t>Tajnica je poklicala preselitelja in jo prosila, naj pride.</t>
  </si>
  <si>
    <t>preselitelj</t>
  </si>
  <si>
    <t>Selilec je poklical tajnico in ga prosil, naj pride.</t>
  </si>
  <si>
    <t>Kmet je užival v tihih trenutkih s frizerko in je nenehno šel k njemu.</t>
  </si>
  <si>
    <t>Frizerka je bila v redu s kmetovo tišino in ji streže lase.</t>
  </si>
  <si>
    <t>Razvijalec se je pogovarjal z blagajnico in ga nato povabil na skodelico kave.</t>
  </si>
  <si>
    <t>blagajnica</t>
  </si>
  <si>
    <t>Kasir je govoril z razvijalcem in jo nato povabil na skodelico kave.</t>
  </si>
  <si>
    <t>kasir</t>
  </si>
  <si>
    <t>Voznik je udaril uradnika in se mu ni hotel opravičiti.</t>
  </si>
  <si>
    <t>Uradnik se je prepiral z voznikom in ji ni hotel plačati napitnine.</t>
  </si>
  <si>
    <r>
      <rPr>
        <rFont val="Arial"/>
        <color rgb="FFFF0000"/>
      </rPr>
      <t>Knjižnica</t>
    </r>
    <r>
      <rPr>
        <rFont val="Arial"/>
        <color theme="1"/>
      </rPr>
      <t xml:space="preserve"> je </t>
    </r>
    <r>
      <rPr>
        <rFont val="Arial"/>
        <color rgb="FFFF0000"/>
      </rPr>
      <t>prodalki</t>
    </r>
    <r>
      <rPr>
        <rFont val="Arial"/>
        <color theme="1"/>
      </rPr>
      <t xml:space="preserve"> nekaj knjig in jo prosila, naj prebere.</t>
    </r>
  </si>
  <si>
    <t>knjižnica</t>
  </si>
  <si>
    <t>prodalka</t>
  </si>
  <si>
    <t>Generalni direktor je dvignil plačo recepcionarke in mu ponudil plačane počitnice.</t>
  </si>
  <si>
    <t>Recepcionarka je govorila z direktorico in jo prosila za napredovanje.</t>
  </si>
  <si>
    <t>Urednik je prosil stražo, naj zapusti sobo in jo prosil, naj ne pove nič.</t>
  </si>
  <si>
    <t>straža</t>
  </si>
  <si>
    <t>Prodajalec je asistentu prodal nov računalnik in ga naučil uporabljati.</t>
  </si>
  <si>
    <t>Pomočnica je kupila računalnik od prodajalke in jo vprašala, kako naj se uporablja.</t>
  </si>
  <si>
    <t>pomočnica</t>
  </si>
  <si>
    <t>Revizor je stražarju kupil darilo in si želel, da bi imela lep počitnice.</t>
  </si>
  <si>
    <t>stražar</t>
  </si>
  <si>
    <t>(ona)</t>
  </si>
  <si>
    <t>Stražar je revizorju kupil darilo in si želel, da bi imel lep počitnice.</t>
  </si>
  <si>
    <t>(on)</t>
  </si>
  <si>
    <t>\</t>
  </si>
  <si>
    <t>Prodajalec se je pogovarjal s čistilcem in ga prepričal, da kupi vakuum.</t>
  </si>
  <si>
    <t>Čistilec se je pogovarjal s prodajalko in jo prosil, naj dostavi vakuum.</t>
  </si>
  <si>
    <t>Oblikovalka je poklicala kmetov in ji postavila nekaj vprašanj.</t>
  </si>
  <si>
    <t>Revizor je pregledal poročilo mehanika o financiranju in ji pomagal ugotoviti nekaj napak.</t>
  </si>
  <si>
    <t>Upravitelj je odpustil pekarja in ga prosil, naj odide.</t>
  </si>
  <si>
    <t>upravitelj</t>
  </si>
  <si>
    <t>pekar</t>
  </si>
  <si>
    <t>Pekar se je prepiral z upravnikom in ji vrgel kruh.</t>
  </si>
  <si>
    <t>upravnik</t>
  </si>
  <si>
    <t>Zdravnik je to zdravilo predpisal oblikovalcu in ga prosil, naj upošteva navodila.</t>
  </si>
  <si>
    <t>Oblikovalka se je dogovorila z zdravnikom in jo prosila, naj predpiše zdravilo.</t>
  </si>
  <si>
    <t>Delavec se je boril proti frizerju in ga premagal.</t>
  </si>
  <si>
    <t>Frizer se je boril proti delavcu in jo premagal.</t>
  </si>
  <si>
    <t>Zdravnik je dolžan denar in mu ni hotel vrniti denarja.</t>
  </si>
  <si>
    <t>Poštar je zdravniku dolgoval denar in ji ni hotel povrniti.</t>
  </si>
  <si>
    <t>poštar</t>
  </si>
  <si>
    <t>Frizerka je kričala na voznika in izstopila iz avta.</t>
  </si>
  <si>
    <t>Voznik je kričal na frizerko in ga prosil, naj pride iz avta.</t>
  </si>
  <si>
    <t>Kmet je krojaču dal vrečo jabolk in ga prosil, naj naredi pulover.</t>
  </si>
  <si>
    <t>Krojač je dal kmetu pulover in jo prosil, naj se obleče.</t>
  </si>
  <si>
    <t>kemt</t>
  </si>
  <si>
    <t>Mehanik je poklical urednika in mu rekel, naj vrne avto.</t>
  </si>
  <si>
    <t>Recepcionarka je pozdravila odvetnika in ji dala sladkarije.</t>
  </si>
  <si>
    <t>Odvetnik je govoril z recepcionarko in ga prosil, naj naredi uslugo.</t>
  </si>
  <si>
    <t>Upravitelj je pohvalil čistilca in ga izvolil za zaposlenega dneva.</t>
  </si>
  <si>
    <t>Čistilec je pisal direktorju in jo vprašal za nasvet.</t>
  </si>
  <si>
    <t>Čistilec je sovražil razvijalca in zavrnil očistiti svojo sobo.</t>
  </si>
  <si>
    <t>svojo(f) in še referent 1 je</t>
  </si>
  <si>
    <t>Razvijalec je sovražil čistilca in ga prijavil direktorju.</t>
  </si>
  <si>
    <t>Mehanik je najel pomočnika in mu dal orientacijo.</t>
  </si>
  <si>
    <t>Pomočnik je postavil mehanik nekaj vprašanj in ji zahvaliti za pomoč.</t>
  </si>
  <si>
    <t>Pisatelj je intervjuval menedžerja in ji postavil nekaj vprašanj.</t>
  </si>
  <si>
    <t>Upravnik je odgovoril na klic pisca in ga prosil, naj ne kliče več.</t>
  </si>
  <si>
    <t>Zdravnik je obiskal medicinsko sestro in ga poklical, da oživi.</t>
  </si>
  <si>
    <t>Medicinska sestra je obiskala zdravnika in jo prosila, naj ogleda bolnika.</t>
  </si>
  <si>
    <t>Gradbeni delavec je naročil imenovanje za svetovalca in ga prosil za nasvet.</t>
  </si>
  <si>
    <t>Svetovalka je spoznala gradbenega delavca in ji povedala, da je jutri še en dan.</t>
  </si>
  <si>
    <t>Urednik je poklical gradbenega delavca in jo vprašal, kaj se je zgodilo.</t>
  </si>
  <si>
    <t>Gradbeni delavec je poklical urednika in mu povedal celotno zgodbo.</t>
  </si>
  <si>
    <t>Analitik je prosil sekretarja, naj rezervira let in mu se zahvali za pomoč.</t>
  </si>
  <si>
    <t>Tajnica je prišla v pisarno analitičarke in ji pomagala rezervirati let.</t>
  </si>
  <si>
    <t>Tesar je sodeloval z oblikovalcem in mu dal prototip.</t>
  </si>
  <si>
    <t>tesar</t>
  </si>
  <si>
    <t>Oblikovalka je sodelovala s tesarjem in ji dala načrt.</t>
  </si>
  <si>
    <t>Prodajalec je poskušal zavesti pisca in mu prodati smeti.</t>
  </si>
  <si>
    <t>Pisatelj je poskušal zavesti prodajalca in ji povedal lažno zgodbo.</t>
  </si>
  <si>
    <t>Pekar je pozdravljal kuharja in ji nato ponudil pomoč.</t>
  </si>
  <si>
    <t>Kuhar je pozdravljal pekarja in mu nato ponudil pomoč.</t>
  </si>
  <si>
    <t>Tesar je naredil mizo za uradnika in mu dal popust.</t>
  </si>
  <si>
    <t>Uradnik je rekel tesarju in jo prosil, naj naredi mizo.</t>
  </si>
  <si>
    <t>Kuhar je pripravil jed za oblikovalca in njega za povratne informacije.</t>
  </si>
  <si>
    <t>njega</t>
  </si>
  <si>
    <t>Oblikovalec je kuharju pokazal načrt in jo prosil za povratne informacije.</t>
  </si>
  <si>
    <t>Čistilec je poklical stražo in jo prosil, naj odpre vrata.</t>
  </si>
  <si>
    <t>Poročevalec je brcnil delavca in se ji ni hotel opravičiti.</t>
  </si>
  <si>
    <t>poročevalec</t>
  </si>
  <si>
    <t>Hišnik je očistil sobo za oblikovalca in ga vprašal za napitnine.</t>
  </si>
  <si>
    <t>Oblikovalka je poklicala hišnika in jo prosila, naj očisti sobo.</t>
  </si>
  <si>
    <t>Mehanik je pozdravil recepcionarko in mu dal jabolko.</t>
  </si>
  <si>
    <t>Recepcionarka je pozdravila mehanika in ji dala jabolko.</t>
  </si>
  <si>
    <t>https://huggingface.co/Helsinki-NLP/opus-mt-en-sla</t>
  </si>
  <si>
    <t>2 N/A</t>
  </si>
  <si>
    <t>ref 1:</t>
  </si>
  <si>
    <t>pronoun gender</t>
  </si>
  <si>
    <t>ChatGPT</t>
  </si>
  <si>
    <t>Gemini</t>
  </si>
  <si>
    <t>Helsinki</t>
  </si>
  <si>
    <t>keri poklici se najveckrat pojavijo pri kerem spolu v ref1:</t>
  </si>
  <si>
    <t>Helsinki:</t>
  </si>
  <si>
    <t>moški poklici</t>
  </si>
  <si>
    <t>ženski poklici</t>
  </si>
  <si>
    <t>chatGPT</t>
  </si>
  <si>
    <t>/</t>
  </si>
  <si>
    <t>sm popravla v Geminiju</t>
  </si>
  <si>
    <t>je blo narobe anotiran za frizerja</t>
  </si>
  <si>
    <t>Target referent 1</t>
  </si>
  <si>
    <t>Gender</t>
  </si>
  <si>
    <t>All occupations (m)</t>
  </si>
  <si>
    <t>All occupations (f)</t>
  </si>
  <si>
    <t>different occupations (m)</t>
  </si>
  <si>
    <t>times mentioned (m)</t>
  </si>
  <si>
    <t>different occupations (f)</t>
  </si>
  <si>
    <t>times mentioned (f)</t>
  </si>
  <si>
    <t>selilka</t>
  </si>
  <si>
    <t>varnarka</t>
  </si>
  <si>
    <t>deložer</t>
  </si>
  <si>
    <t>programerka</t>
  </si>
  <si>
    <t xml:space="preserve">f </t>
  </si>
  <si>
    <t>NOTES</t>
  </si>
  <si>
    <t>seznam vseh poklicev (po abc, ang-slo slovarček)</t>
  </si>
  <si>
    <r>
      <rPr>
        <rFont val="Arial"/>
        <color theme="1"/>
      </rPr>
      <t xml:space="preserve">- chatGPT prompt: </t>
    </r>
    <r>
      <rPr>
        <rFont val="Arial"/>
        <color theme="1"/>
        <u/>
      </rPr>
      <t>"Prevedi posamične stavke v slovenščino neodvisno od ostalih stavkov."</t>
    </r>
  </si>
  <si>
    <t>poklici ang</t>
  </si>
  <si>
    <t>slo ustreznice m/f</t>
  </si>
  <si>
    <t>- RegEx to delete the numbers form original sentences</t>
  </si>
  <si>
    <t>analitik/analitičarka</t>
  </si>
  <si>
    <r>
      <rPr/>
      <t>- vir: anti-stereotyped2_.dev (</t>
    </r>
    <r>
      <rPr>
        <color rgb="FF1155CC"/>
        <u/>
      </rPr>
      <t>https://github.com/uclanlp/corefBias/blob/master/WinoBias/wino/data/anti_stereotyped_type2.txt.dev</t>
    </r>
    <r>
      <rPr/>
      <t>)</t>
    </r>
  </si>
  <si>
    <t>pomočnik ali asistent</t>
  </si>
  <si>
    <t>- 102 primera od 396 v tej kategoriji</t>
  </si>
  <si>
    <t>revizor/revizorka</t>
  </si>
  <si>
    <t>- a ma chat bias o temu specifičnemu naboru stavkov? (ker jih je že videl)</t>
  </si>
  <si>
    <t>samo m</t>
  </si>
  <si>
    <t>- vse stavke naenkrat v chatGPT</t>
  </si>
  <si>
    <t>tesar/tesarka</t>
  </si>
  <si>
    <t>- annotation --&gt; pronoun --&gt; pronoun: excell predlagal formulo (deluje)</t>
  </si>
  <si>
    <t>- m.sp.= default?</t>
  </si>
  <si>
    <t>samo f</t>
  </si>
  <si>
    <t>- vsak računalnik/profil/ič drugačen prevod! (prijavljen/neprijavljen uporabnik)</t>
  </si>
  <si>
    <t>- oglati oklepaji [okoli zaimkov] vplivajo na prevod? ga zmedejo?</t>
  </si>
  <si>
    <t>čistilec/čistilka</t>
  </si>
  <si>
    <t>gradbeni delavec/gradbenica</t>
  </si>
  <si>
    <t>kuhar/kuharica</t>
  </si>
  <si>
    <t>oblikovalec/oblikovalka</t>
  </si>
  <si>
    <t xml:space="preserve">f samo 1x (m 11x) </t>
  </si>
  <si>
    <t>programer/programerka ali razvijalec/razvijalka</t>
  </si>
  <si>
    <t>voznik/voznica</t>
  </si>
  <si>
    <t>kmet/kmetica</t>
  </si>
  <si>
    <t>varnostnik/varnarka ali varnostnica</t>
  </si>
  <si>
    <t>frizer/frizerka</t>
  </si>
  <si>
    <t>hišnik ali gospodinja</t>
  </si>
  <si>
    <t>samo m; samo f</t>
  </si>
  <si>
    <t>hišnik/hišnica</t>
  </si>
  <si>
    <t>deložer ali delavec/delavka</t>
  </si>
  <si>
    <t>odvetnik/odvetnica</t>
  </si>
  <si>
    <t>vodja/direktor/direktorica</t>
  </si>
  <si>
    <t>mehanik/mehaničarka ali mehanica</t>
  </si>
  <si>
    <t>selivka/selilka/selilec</t>
  </si>
  <si>
    <t>receptor ali receptionist</t>
  </si>
  <si>
    <t>prodajalec/prodajalka</t>
  </si>
  <si>
    <t>tajnik/tajnica</t>
  </si>
  <si>
    <t>teacher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</si>
</sst>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u/>
      <color rgb="FF0000FF"/>
    </font>
    <font>
      <color rgb="FF000000"/>
      <name val="Arial"/>
    </font>
    <font>
      <sz val="11.0"/>
      <color rgb="FF000000"/>
      <name val="&quot;Aptos Narrow&quot;"/>
    </font>
    <font>
      <sz val="11.0"/>
      <color theme="1"/>
      <name val="Arial"/>
    </font>
    <font>
      <b/>
      <sz val="11.0"/>
      <color rgb="FF000000"/>
      <name val="&quot;Aptos Narrow&quot;"/>
    </font>
    <font>
      <b/>
      <color rgb="FF000000"/>
      <name val="Arial"/>
    </font>
    <font>
      <u/>
      <color rgb="FF0000FF"/>
    </font>
    <font>
      <strike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  <fill>
      <patternFill patternType="solid">
        <fgColor rgb="FFFBE2D5"/>
        <bgColor rgb="FFFBE2D5"/>
      </patternFill>
    </fill>
  </fills>
  <borders count="3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666666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666666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999999"/>
      </left>
      <bottom style="medium">
        <color rgb="FF000000"/>
      </bottom>
    </border>
    <border>
      <left style="medium">
        <color rgb="FF666666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999999"/>
      </left>
    </border>
    <border>
      <left style="thin">
        <color rgb="FF000000"/>
      </left>
    </border>
    <border>
      <right style="thin">
        <color rgb="FF000000"/>
      </right>
    </border>
    <border>
      <left style="thin">
        <color rgb="FF999999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center" readingOrder="0"/>
    </xf>
    <xf borderId="2" fillId="0" fontId="2" numFmtId="0" xfId="0" applyBorder="1" applyFont="1"/>
    <xf borderId="3" fillId="2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1" fillId="2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2" fontId="3" numFmtId="0" xfId="0" applyAlignment="1" applyFont="1">
      <alignment horizontal="center" readingOrder="0" vertical="center"/>
    </xf>
    <xf borderId="5" fillId="2" fontId="3" numFmtId="0" xfId="0" applyAlignment="1" applyBorder="1" applyFont="1">
      <alignment readingOrder="0"/>
    </xf>
    <xf borderId="6" fillId="2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3" numFmtId="0" xfId="0" applyAlignment="1" applyBorder="1" applyFont="1">
      <alignment readingOrder="0"/>
    </xf>
    <xf borderId="11" fillId="2" fontId="3" numFmtId="0" xfId="0" applyAlignment="1" applyBorder="1" applyFont="1">
      <alignment readingOrder="0"/>
    </xf>
    <xf borderId="12" fillId="2" fontId="3" numFmtId="0" xfId="0" applyAlignment="1" applyBorder="1" applyFont="1">
      <alignment readingOrder="0"/>
    </xf>
    <xf borderId="13" fillId="0" fontId="2" numFmtId="0" xfId="0" applyBorder="1" applyFont="1"/>
    <xf borderId="14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readingOrder="0"/>
    </xf>
    <xf borderId="15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6" fillId="0" fontId="3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17" fillId="0" fontId="3" numFmtId="0" xfId="0" applyAlignment="1" applyBorder="1" applyFont="1">
      <alignment readingOrder="0"/>
    </xf>
    <xf borderId="0" fillId="0" fontId="3" numFmtId="0" xfId="0" applyFont="1"/>
    <xf borderId="0" fillId="0" fontId="1" numFmtId="0" xfId="0" applyFont="1"/>
    <xf borderId="6" fillId="0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19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6" fillId="0" fontId="3" numFmtId="0" xfId="0" applyBorder="1" applyFont="1"/>
    <xf borderId="20" fillId="4" fontId="3" numFmtId="0" xfId="0" applyAlignment="1" applyBorder="1" applyFill="1" applyFont="1">
      <alignment readingOrder="0"/>
    </xf>
    <xf borderId="0" fillId="0" fontId="4" numFmtId="0" xfId="0" applyFont="1"/>
    <xf borderId="21" fillId="0" fontId="3" numFmtId="0" xfId="0" applyAlignment="1" applyBorder="1" applyFont="1">
      <alignment readingOrder="0"/>
    </xf>
    <xf borderId="4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9" fillId="0" fontId="3" numFmtId="0" xfId="0" applyBorder="1" applyFont="1"/>
    <xf borderId="8" fillId="0" fontId="3" numFmtId="0" xfId="0" applyBorder="1" applyFont="1"/>
    <xf borderId="1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6" fillId="0" fontId="6" numFmtId="0" xfId="0" applyAlignment="1" applyBorder="1" applyFont="1">
      <alignment vertical="bottom"/>
    </xf>
    <xf borderId="17" fillId="3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9" fillId="0" fontId="6" numFmtId="0" xfId="0" applyAlignment="1" applyBorder="1" applyFont="1">
      <alignment vertical="bottom"/>
    </xf>
    <xf borderId="21" fillId="0" fontId="8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2" fillId="0" fontId="3" numFmtId="0" xfId="0" applyBorder="1" applyFont="1"/>
    <xf borderId="21" fillId="0" fontId="3" numFmtId="0" xfId="0" applyBorder="1" applyFont="1"/>
    <xf borderId="16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7" fillId="0" fontId="8" numFmtId="0" xfId="0" applyAlignment="1" applyBorder="1" applyFont="1">
      <alignment readingOrder="0" shrinkToFit="0" vertical="bottom" wrapText="0"/>
    </xf>
    <xf borderId="16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7" fillId="0" fontId="8" numFmtId="0" xfId="0" applyAlignment="1" applyBorder="1" applyFont="1">
      <alignment horizontal="right" readingOrder="0" shrinkToFit="0" vertical="bottom" wrapText="0"/>
    </xf>
    <xf borderId="19" fillId="0" fontId="8" numFmtId="0" xfId="0" applyAlignment="1" applyBorder="1" applyFont="1">
      <alignment readingOrder="0" shrinkToFit="0" vertical="bottom" wrapText="0"/>
    </xf>
    <xf borderId="6" fillId="0" fontId="8" numFmtId="0" xfId="0" applyAlignment="1" applyBorder="1" applyFont="1">
      <alignment horizontal="right" readingOrder="0" shrinkToFit="0" vertical="bottom" wrapText="0"/>
    </xf>
    <xf borderId="8" fillId="0" fontId="8" numFmtId="0" xfId="0" applyAlignment="1" applyBorder="1" applyFont="1">
      <alignment horizontal="right" readingOrder="0" shrinkToFit="0" vertical="bottom" wrapText="0"/>
    </xf>
    <xf borderId="22" fillId="0" fontId="6" numFmtId="0" xfId="0" applyAlignment="1" applyBorder="1" applyFont="1">
      <alignment vertical="bottom"/>
    </xf>
    <xf borderId="23" fillId="0" fontId="6" numFmtId="0" xfId="0" applyAlignment="1" applyBorder="1" applyFont="1">
      <alignment vertical="bottom"/>
    </xf>
    <xf borderId="24" fillId="0" fontId="6" numFmtId="0" xfId="0" applyAlignment="1" applyBorder="1" applyFont="1">
      <alignment vertical="bottom"/>
    </xf>
    <xf borderId="22" fillId="0" fontId="3" numFmtId="0" xfId="0" applyAlignment="1" applyBorder="1" applyFont="1">
      <alignment readingOrder="0"/>
    </xf>
    <xf borderId="23" fillId="0" fontId="3" numFmtId="0" xfId="0" applyBorder="1" applyFont="1"/>
    <xf borderId="24" fillId="0" fontId="3" numFmtId="0" xfId="0" applyBorder="1" applyFont="1"/>
    <xf borderId="6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16" fillId="3" fontId="6" numFmtId="0" xfId="0" applyAlignment="1" applyBorder="1" applyFont="1">
      <alignment horizontal="right" vertical="bottom"/>
    </xf>
    <xf borderId="0" fillId="3" fontId="6" numFmtId="0" xfId="0" applyAlignment="1" applyFont="1">
      <alignment vertical="bottom"/>
    </xf>
    <xf borderId="17" fillId="3" fontId="6" numFmtId="0" xfId="0" applyAlignment="1" applyBorder="1" applyFont="1">
      <alignment vertical="bottom"/>
    </xf>
    <xf borderId="16" fillId="3" fontId="3" numFmtId="0" xfId="0" applyBorder="1" applyFont="1"/>
    <xf borderId="0" fillId="3" fontId="3" numFmtId="0" xfId="0" applyFont="1"/>
    <xf borderId="17" fillId="3" fontId="6" numFmtId="0" xfId="0" applyAlignment="1" applyBorder="1" applyFont="1">
      <alignment vertical="bottom"/>
    </xf>
    <xf borderId="16" fillId="0" fontId="6" numFmtId="0" xfId="0" applyAlignment="1" applyBorder="1" applyFont="1">
      <alignment horizontal="right" vertical="bottom"/>
    </xf>
    <xf borderId="17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7" fillId="0" fontId="6" numFmtId="0" xfId="0" applyAlignment="1" applyBorder="1" applyFont="1">
      <alignment readingOrder="0" vertical="bottom"/>
    </xf>
    <xf borderId="16" fillId="5" fontId="6" numFmtId="0" xfId="0" applyAlignment="1" applyBorder="1" applyFill="1" applyFont="1">
      <alignment vertical="bottom"/>
    </xf>
    <xf borderId="0" fillId="5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22" fillId="0" fontId="9" numFmtId="0" xfId="0" applyAlignment="1" applyBorder="1" applyFont="1">
      <alignment readingOrder="0" shrinkToFit="0" vertical="bottom" wrapText="0"/>
    </xf>
    <xf borderId="23" fillId="0" fontId="9" numFmtId="0" xfId="0" applyAlignment="1" applyBorder="1" applyFont="1">
      <alignment shrinkToFit="0" vertical="bottom" wrapText="0"/>
    </xf>
    <xf borderId="24" fillId="0" fontId="9" numFmtId="0" xfId="0" applyAlignment="1" applyBorder="1" applyFont="1">
      <alignment shrinkToFit="0" vertical="bottom" wrapText="0"/>
    </xf>
    <xf borderId="16" fillId="0" fontId="9" numFmtId="0" xfId="0" applyAlignment="1" applyBorder="1" applyFont="1">
      <alignment shrinkToFit="0" vertical="bottom" wrapText="0"/>
    </xf>
    <xf borderId="20" fillId="0" fontId="9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readingOrder="0" vertical="bottom"/>
    </xf>
    <xf borderId="0" fillId="0" fontId="9" numFmtId="0" xfId="0" applyAlignment="1" applyFont="1">
      <alignment horizontal="center" readingOrder="0" shrinkToFit="0" vertical="bottom" wrapText="0"/>
    </xf>
    <xf borderId="17" fillId="0" fontId="9" numFmtId="0" xfId="0" applyAlignment="1" applyBorder="1" applyFont="1">
      <alignment horizontal="center" readingOrder="0" shrinkToFit="0" vertical="bottom" wrapText="0"/>
    </xf>
    <xf borderId="9" fillId="6" fontId="8" numFmtId="0" xfId="0" applyAlignment="1" applyBorder="1" applyFill="1" applyFont="1">
      <alignment readingOrder="0" vertical="bottom"/>
    </xf>
    <xf borderId="0" fillId="6" fontId="9" numFmtId="0" xfId="0" applyAlignment="1" applyFont="1">
      <alignment horizontal="center" readingOrder="0" shrinkToFit="0" vertical="bottom" wrapText="0"/>
    </xf>
    <xf borderId="17" fillId="6" fontId="9" numFmtId="0" xfId="0" applyAlignment="1" applyBorder="1" applyFont="1">
      <alignment horizontal="center" readingOrder="0" shrinkToFit="0" vertical="bottom" wrapText="0"/>
    </xf>
    <xf borderId="1" fillId="7" fontId="8" numFmtId="0" xfId="0" applyAlignment="1" applyBorder="1" applyFill="1" applyFont="1">
      <alignment readingOrder="0" vertical="bottom"/>
    </xf>
    <xf borderId="0" fillId="7" fontId="9" numFmtId="0" xfId="0" applyAlignment="1" applyFont="1">
      <alignment horizontal="center" readingOrder="0" shrinkToFit="0" vertical="bottom" wrapText="0"/>
    </xf>
    <xf borderId="17" fillId="7" fontId="9" numFmtId="0" xfId="0" applyAlignment="1" applyBorder="1" applyFont="1">
      <alignment horizontal="center" readingOrder="0" shrinkToFit="0" vertical="bottom" wrapText="0"/>
    </xf>
    <xf borderId="9" fillId="0" fontId="8" numFmtId="0" xfId="0" applyAlignment="1" applyBorder="1" applyFont="1">
      <alignment readingOrder="0" vertical="bottom"/>
    </xf>
    <xf borderId="9" fillId="7" fontId="8" numFmtId="0" xfId="0" applyAlignment="1" applyBorder="1" applyFont="1">
      <alignment readingOrder="0" vertical="bottom"/>
    </xf>
    <xf borderId="0" fillId="6" fontId="10" numFmtId="0" xfId="0" applyAlignment="1" applyFont="1">
      <alignment horizontal="center" readingOrder="0" shrinkToFit="0" vertical="bottom" wrapText="0"/>
    </xf>
    <xf borderId="9" fillId="5" fontId="8" numFmtId="0" xfId="0" applyAlignment="1" applyBorder="1" applyFont="1">
      <alignment readingOrder="0" vertical="bottom"/>
    </xf>
    <xf borderId="5" fillId="0" fontId="8" numFmtId="0" xfId="0" applyAlignment="1" applyBorder="1" applyFont="1">
      <alignment readingOrder="0" vertical="bottom"/>
    </xf>
    <xf borderId="6" fillId="0" fontId="9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2" numFmtId="0" xfId="0" applyAlignment="1" applyFont="1">
      <alignment horizontal="right" readingOrder="0" vertical="bottom"/>
    </xf>
    <xf borderId="25" fillId="0" fontId="1" numFmtId="0" xfId="0" applyAlignment="1" applyBorder="1" applyFont="1">
      <alignment horizontal="left" readingOrder="0" shrinkToFit="0" vertical="center" wrapText="0"/>
    </xf>
    <xf borderId="26" fillId="0" fontId="1" numFmtId="0" xfId="0" applyAlignment="1" applyBorder="1" applyFont="1">
      <alignment horizontal="left" readingOrder="0" shrinkToFit="0" vertical="center" wrapText="0"/>
    </xf>
    <xf borderId="27" fillId="0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/>
    </xf>
    <xf borderId="28" fillId="0" fontId="3" numFmtId="0" xfId="0" applyAlignment="1" applyBorder="1" applyFont="1">
      <alignment readingOrder="0" shrinkToFit="0" vertical="center" wrapText="0"/>
    </xf>
    <xf borderId="29" fillId="0" fontId="3" numFmtId="0" xfId="0" applyAlignment="1" applyBorder="1" applyFont="1">
      <alignment readingOrder="0" shrinkToFit="0" vertical="center" wrapText="0"/>
    </xf>
    <xf borderId="29" fillId="0" fontId="3" numFmtId="0" xfId="0" applyAlignment="1" applyBorder="1" applyFont="1">
      <alignment shrinkToFit="0" vertical="center" wrapText="0"/>
    </xf>
    <xf borderId="29" fillId="0" fontId="3" numFmtId="0" xfId="0" applyAlignment="1" applyBorder="1" applyFont="1">
      <alignment shrinkToFit="0" vertical="center" wrapText="0"/>
    </xf>
    <xf borderId="30" fillId="0" fontId="3" numFmtId="0" xfId="0" applyAlignment="1" applyBorder="1" applyFont="1">
      <alignment shrinkToFit="0" vertical="center" wrapText="0"/>
    </xf>
    <xf borderId="31" fillId="0" fontId="3" numFmtId="0" xfId="0" applyAlignment="1" applyBorder="1" applyFont="1">
      <alignment readingOrder="0" shrinkToFit="0" vertical="center" wrapText="0"/>
    </xf>
    <xf borderId="32" fillId="0" fontId="3" numFmtId="0" xfId="0" applyAlignment="1" applyBorder="1" applyFont="1">
      <alignment readingOrder="0" shrinkToFit="0" vertical="center" wrapText="0"/>
    </xf>
    <xf borderId="32" fillId="0" fontId="3" numFmtId="0" xfId="0" applyAlignment="1" applyBorder="1" applyFont="1">
      <alignment shrinkToFit="0" vertical="center" wrapText="0"/>
    </xf>
    <xf borderId="32" fillId="0" fontId="3" numFmtId="0" xfId="0" applyAlignment="1" applyBorder="1" applyFont="1">
      <alignment shrinkToFit="0" vertical="center" wrapText="0"/>
    </xf>
    <xf borderId="33" fillId="0" fontId="3" numFmtId="0" xfId="0" applyAlignment="1" applyBorder="1" applyFont="1">
      <alignment shrinkToFit="0" vertical="center" wrapText="0"/>
    </xf>
    <xf borderId="34" fillId="0" fontId="3" numFmtId="0" xfId="0" applyAlignment="1" applyBorder="1" applyFont="1">
      <alignment readingOrder="0" shrinkToFit="0" vertical="center" wrapText="0"/>
    </xf>
    <xf borderId="35" fillId="0" fontId="3" numFmtId="0" xfId="0" applyAlignment="1" applyBorder="1" applyFont="1">
      <alignment readingOrder="0" shrinkToFit="0" vertical="center" wrapText="0"/>
    </xf>
    <xf borderId="36" fillId="0" fontId="3" numFmtId="0" xfId="0" applyAlignment="1" applyBorder="1" applyFont="1">
      <alignment shrinkToFit="0" vertical="center" wrapText="0"/>
    </xf>
    <xf borderId="37" fillId="0" fontId="3" numFmtId="0" xfId="0" applyAlignment="1" applyBorder="1" applyFont="1">
      <alignment shrinkToFit="0" vertical="center" wrapText="0"/>
    </xf>
    <xf borderId="0" fillId="2" fontId="1" numFmtId="0" xfId="0" applyAlignment="1" applyFont="1">
      <alignment horizontal="center" readingOrder="0"/>
    </xf>
    <xf borderId="21" fillId="2" fontId="1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19" fillId="2" fontId="1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7" fillId="4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6" fillId="4" fontId="3" numFmtId="0" xfId="0" applyAlignment="1" applyBorder="1" applyFont="1">
      <alignment readingOrder="0"/>
    </xf>
    <xf borderId="16" fillId="0" fontId="14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Referent analysis, submission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of Referent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'analiza, grafi'!$B$1:$B$2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grafi'!$A$3:$A$4</c:f>
            </c:strRef>
          </c:cat>
          <c:val>
            <c:numRef>
              <c:f>'analiza, grafi'!$B$3:$B$4</c:f>
              <c:numCache/>
            </c:numRef>
          </c:val>
        </c:ser>
        <c:ser>
          <c:idx val="1"/>
          <c:order val="1"/>
          <c:tx>
            <c:strRef>
              <c:f>'analiza, grafi'!$C$1:$C$2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grafi'!$A$3:$A$4</c:f>
            </c:strRef>
          </c:cat>
          <c:val>
            <c:numRef>
              <c:f>'analiza, grafi'!$C$3:$C$4</c:f>
              <c:numCache/>
            </c:numRef>
          </c:val>
        </c:ser>
        <c:ser>
          <c:idx val="2"/>
          <c:order val="2"/>
          <c:tx>
            <c:strRef>
              <c:f>'analiza, grafi'!$D$1:$D$2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grafi'!$A$3:$A$4</c:f>
            </c:strRef>
          </c:cat>
          <c:val>
            <c:numRef>
              <c:f>'analiza, grafi'!$D$3:$D$4</c:f>
              <c:numCache/>
            </c:numRef>
          </c:val>
        </c:ser>
        <c:axId val="2048268251"/>
        <c:axId val="1493587057"/>
      </c:barChart>
      <c:catAx>
        <c:axId val="2048268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87057"/>
      </c:catAx>
      <c:valAx>
        <c:axId val="14935870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268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Pronoun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'analiza, grafi'!$F$3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grafi'!$G$2:$I$2</c:f>
            </c:strRef>
          </c:cat>
          <c:val>
            <c:numRef>
              <c:f>'analiza, grafi'!$G$3:$I$3</c:f>
              <c:numCache/>
            </c:numRef>
          </c:val>
        </c:ser>
        <c:ser>
          <c:idx val="1"/>
          <c:order val="1"/>
          <c:tx>
            <c:strRef>
              <c:f>'analiza, grafi'!$F$4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grafi'!$G$2:$I$2</c:f>
            </c:strRef>
          </c:cat>
          <c:val>
            <c:numRef>
              <c:f>'analiza, grafi'!$G$4:$I$4</c:f>
              <c:numCache/>
            </c:numRef>
          </c:val>
        </c:ser>
        <c:ser>
          <c:idx val="2"/>
          <c:order val="2"/>
          <c:tx>
            <c:strRef>
              <c:f>'analiza, grafi'!$F$5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grafi'!$G$2:$I$2</c:f>
            </c:strRef>
          </c:cat>
          <c:val>
            <c:numRef>
              <c:f>'analiza, grafi'!$G$5:$I$5</c:f>
              <c:numCache/>
            </c:numRef>
          </c:val>
        </c:ser>
        <c:axId val="1225201281"/>
        <c:axId val="1934843814"/>
      </c:barChart>
      <c:catAx>
        <c:axId val="1225201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843814"/>
      </c:catAx>
      <c:valAx>
        <c:axId val="1934843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201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Internal Pronoun-Referent Match (T/F)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grafi'!$L$2:$N$2</c:f>
            </c:strRef>
          </c:cat>
          <c:val>
            <c:numRef>
              <c:f>'analiza, grafi'!$L$3:$N$3</c:f>
              <c:numCache/>
            </c:numRef>
          </c:val>
        </c:ser>
        <c:ser>
          <c:idx val="1"/>
          <c:order val="1"/>
          <c:tx>
            <c:v>F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grafi'!$L$2:$N$2</c:f>
            </c:strRef>
          </c:cat>
          <c:val>
            <c:numRef>
              <c:f>'analiza, grafi'!$L$4:$N$4</c:f>
              <c:numCache/>
            </c:numRef>
          </c:val>
        </c:ser>
        <c:ser>
          <c:idx val="2"/>
          <c:order val="2"/>
          <c:tx>
            <c:v>N/A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grafi'!$L$2:$N$2</c:f>
            </c:strRef>
          </c:cat>
          <c:val>
            <c:numRef>
              <c:f>'analiza, grafi'!$L$5:$N$5</c:f>
              <c:numCache/>
            </c:numRef>
          </c:val>
        </c:ser>
        <c:axId val="2072292498"/>
        <c:axId val="211797415"/>
      </c:barChart>
      <c:catAx>
        <c:axId val="20722924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97415"/>
      </c:catAx>
      <c:valAx>
        <c:axId val="211797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2924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Cross-Sentence Pronoun-Pronoun Match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'analiza, grafi'!$P$3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grafi'!$Q$2:$S$2</c:f>
            </c:strRef>
          </c:cat>
          <c:val>
            <c:numRef>
              <c:f>'analiza, grafi'!$Q$3:$S$3</c:f>
              <c:numCache/>
            </c:numRef>
          </c:val>
        </c:ser>
        <c:ser>
          <c:idx val="1"/>
          <c:order val="1"/>
          <c:tx>
            <c:strRef>
              <c:f>'analiza, grafi'!$P$4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grafi'!$Q$2:$S$2</c:f>
            </c:strRef>
          </c:cat>
          <c:val>
            <c:numRef>
              <c:f>'analiza, grafi'!$Q$4:$S$4</c:f>
              <c:numCache/>
            </c:numRef>
          </c:val>
        </c:ser>
        <c:ser>
          <c:idx val="2"/>
          <c:order val="2"/>
          <c:tx>
            <c:strRef>
              <c:f>'analiza, grafi'!$P$5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grafi'!$Q$2:$S$2</c:f>
            </c:strRef>
          </c:cat>
          <c:val>
            <c:numRef>
              <c:f>'analiza, grafi'!$Q$5:$S$5</c:f>
              <c:numCache/>
            </c:numRef>
          </c:val>
        </c:ser>
        <c:axId val="448257160"/>
        <c:axId val="1628914147"/>
      </c:barChart>
      <c:catAx>
        <c:axId val="44825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8914147"/>
      </c:catAx>
      <c:valAx>
        <c:axId val="1628914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257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Cross Sentence Referent-Referent Gender Match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'analiza, grafi'!$U$3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grafi'!$V$2:$X$2</c:f>
            </c:strRef>
          </c:cat>
          <c:val>
            <c:numRef>
              <c:f>'analiza, grafi'!$V$3:$X$3</c:f>
              <c:numCache/>
            </c:numRef>
          </c:val>
        </c:ser>
        <c:ser>
          <c:idx val="1"/>
          <c:order val="1"/>
          <c:tx>
            <c:strRef>
              <c:f>'analiza, grafi'!$U$4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grafi'!$V$2:$X$2</c:f>
            </c:strRef>
          </c:cat>
          <c:val>
            <c:numRef>
              <c:f>'analiza, grafi'!$V$4:$X$4</c:f>
              <c:numCache/>
            </c:numRef>
          </c:val>
        </c:ser>
        <c:ser>
          <c:idx val="2"/>
          <c:order val="2"/>
          <c:tx>
            <c:strRef>
              <c:f>'analiza, grafi'!$U$5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grafi'!$V$2:$X$2</c:f>
            </c:strRef>
          </c:cat>
          <c:val>
            <c:numRef>
              <c:f>'analiza, grafi'!$V$5:$X$5</c:f>
              <c:numCache/>
            </c:numRef>
          </c:val>
        </c:ser>
        <c:axId val="241984520"/>
        <c:axId val="1548547587"/>
      </c:barChart>
      <c:catAx>
        <c:axId val="24198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47587"/>
      </c:catAx>
      <c:valAx>
        <c:axId val="154854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984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of Referent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'analiza, grafi'!$A$3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grafi'!$B$2:$D$2</c:f>
            </c:strRef>
          </c:cat>
          <c:val>
            <c:numRef>
              <c:f>'analiza, grafi'!$B$3:$D$3</c:f>
              <c:numCache/>
            </c:numRef>
          </c:val>
        </c:ser>
        <c:ser>
          <c:idx val="1"/>
          <c:order val="1"/>
          <c:tx>
            <c:strRef>
              <c:f>'analiza, grafi'!$A$4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'analiza, grafi'!$B$2:$D$2</c:f>
            </c:strRef>
          </c:cat>
          <c:val>
            <c:numRef>
              <c:f>'analiza, grafi'!$B$4:$D$4</c:f>
              <c:numCache/>
            </c:numRef>
          </c:val>
        </c:ser>
        <c:axId val="59358543"/>
        <c:axId val="375040352"/>
      </c:barChart>
      <c:catAx>
        <c:axId val="59358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040352"/>
      </c:catAx>
      <c:valAx>
        <c:axId val="375040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58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47625</xdr:rowOff>
    </xdr:from>
    <xdr:ext cx="4095750" cy="2590800"/>
    <xdr:graphicFrame>
      <xdr:nvGraphicFramePr>
        <xdr:cNvPr id="1" name="Chart 1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523875</xdr:colOff>
      <xdr:row>7</xdr:row>
      <xdr:rowOff>123825</xdr:rowOff>
    </xdr:from>
    <xdr:ext cx="4543425" cy="2809875"/>
    <xdr:graphicFrame>
      <xdr:nvGraphicFramePr>
        <xdr:cNvPr id="2" name="Chart 2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533400</xdr:colOff>
      <xdr:row>8</xdr:row>
      <xdr:rowOff>9525</xdr:rowOff>
    </xdr:from>
    <xdr:ext cx="4095750" cy="2514600"/>
    <xdr:graphicFrame>
      <xdr:nvGraphicFramePr>
        <xdr:cNvPr id="3" name="Chart 3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304800</xdr:colOff>
      <xdr:row>6</xdr:row>
      <xdr:rowOff>66675</xdr:rowOff>
    </xdr:from>
    <xdr:ext cx="5191125" cy="3209925"/>
    <xdr:graphicFrame>
      <xdr:nvGraphicFramePr>
        <xdr:cNvPr id="4" name="Chart 4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0</xdr:colOff>
      <xdr:row>6</xdr:row>
      <xdr:rowOff>57150</xdr:rowOff>
    </xdr:from>
    <xdr:ext cx="5029200" cy="3076575"/>
    <xdr:graphicFrame>
      <xdr:nvGraphicFramePr>
        <xdr:cNvPr id="5" name="Chart 5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171450</xdr:rowOff>
    </xdr:from>
    <xdr:ext cx="4305300" cy="2638425"/>
    <xdr:graphicFrame>
      <xdr:nvGraphicFramePr>
        <xdr:cNvPr id="6" name="Chart 6" title="Tabe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3" displayName="Tabela_1" name="Tabela_1" id="1">
  <tableColumns count="8">
    <tableColumn name="Target referent 1" id="1"/>
    <tableColumn name="Gender" id="2"/>
    <tableColumn name="All occupations (m)" id="3"/>
    <tableColumn name="All occupations (f)" id="4"/>
    <tableColumn name="different occupations (m)" id="5"/>
    <tableColumn name="times mentioned (m)" id="6"/>
    <tableColumn name="different occupations (f)" id="7"/>
    <tableColumn name="times mentioned (f)" id="8"/>
  </tableColumns>
  <tableStyleInfo name="Referent analysis, submission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Helsinki-NLP/opus-mt-en-sl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uclanlp/corefBias/blob/master/WinoBias/wino/data/anti_stereotyped_type2.txt.dev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75"/>
    <col customWidth="1" min="7" max="7" width="74.25"/>
    <col customWidth="1" min="8" max="8" width="15.38"/>
    <col customWidth="1" min="10" max="10" width="13.88"/>
    <col customWidth="1" min="11" max="11" width="7.88"/>
    <col customWidth="1" min="12" max="12" width="7.0"/>
    <col customWidth="1" min="13" max="13" width="13.75"/>
    <col customWidth="1" min="14" max="14" width="8.0"/>
    <col customWidth="1" min="22" max="22" width="28.38"/>
  </cols>
  <sheetData>
    <row r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2" t="s">
        <v>3</v>
      </c>
      <c r="I1" s="3"/>
      <c r="J1" s="3"/>
      <c r="K1" s="3"/>
      <c r="L1" s="3"/>
      <c r="M1" s="5"/>
      <c r="N1" s="6" t="s">
        <v>4</v>
      </c>
      <c r="O1" s="7" t="s">
        <v>5</v>
      </c>
      <c r="P1" s="8" t="s">
        <v>6</v>
      </c>
      <c r="Q1" s="9" t="s">
        <v>7</v>
      </c>
    </row>
    <row r="2">
      <c r="A2" s="10" t="s">
        <v>8</v>
      </c>
      <c r="B2" s="11" t="s">
        <v>9</v>
      </c>
      <c r="C2" s="11" t="s">
        <v>10</v>
      </c>
      <c r="D2" s="12" t="s">
        <v>11</v>
      </c>
      <c r="E2" s="13"/>
      <c r="F2" s="13"/>
      <c r="G2" s="14"/>
      <c r="H2" s="11" t="s">
        <v>9</v>
      </c>
      <c r="I2" s="11" t="s">
        <v>12</v>
      </c>
      <c r="J2" s="11" t="s">
        <v>10</v>
      </c>
      <c r="K2" s="12" t="s">
        <v>13</v>
      </c>
      <c r="L2" s="13"/>
      <c r="M2" s="15"/>
      <c r="N2" s="16"/>
    </row>
    <row r="3" ht="32.25" customHeight="1">
      <c r="A3" s="17"/>
      <c r="B3" s="18"/>
      <c r="C3" s="18"/>
      <c r="D3" s="19" t="s">
        <v>11</v>
      </c>
      <c r="E3" s="18" t="s">
        <v>14</v>
      </c>
      <c r="F3" s="18" t="s">
        <v>15</v>
      </c>
      <c r="G3" s="20"/>
      <c r="H3" s="18"/>
      <c r="I3" s="18"/>
      <c r="J3" s="18"/>
      <c r="K3" s="19" t="s">
        <v>16</v>
      </c>
      <c r="L3" s="18" t="s">
        <v>17</v>
      </c>
      <c r="M3" s="18" t="s">
        <v>18</v>
      </c>
      <c r="N3" s="21"/>
      <c r="O3" s="22"/>
      <c r="P3" s="22"/>
      <c r="Q3" s="22"/>
    </row>
    <row r="4">
      <c r="A4" s="23" t="s">
        <v>19</v>
      </c>
      <c r="B4" s="23" t="s">
        <v>20</v>
      </c>
      <c r="C4" s="23" t="s">
        <v>21</v>
      </c>
      <c r="D4" s="24" t="s">
        <v>22</v>
      </c>
      <c r="E4" s="23" t="s">
        <v>23</v>
      </c>
      <c r="F4" s="23" t="s">
        <v>10</v>
      </c>
      <c r="G4" s="25" t="s">
        <v>24</v>
      </c>
      <c r="H4" s="23" t="s">
        <v>25</v>
      </c>
      <c r="I4" s="23" t="s">
        <v>26</v>
      </c>
      <c r="J4" s="23" t="s">
        <v>27</v>
      </c>
      <c r="K4" s="26" t="s">
        <v>28</v>
      </c>
      <c r="L4" s="23" t="s">
        <v>23</v>
      </c>
      <c r="M4" s="27" t="s">
        <v>10</v>
      </c>
      <c r="N4" s="28" t="s">
        <v>29</v>
      </c>
      <c r="O4" s="23" t="s">
        <v>30</v>
      </c>
      <c r="P4" s="28" t="s">
        <v>29</v>
      </c>
    </row>
    <row r="5">
      <c r="A5" s="23" t="s">
        <v>31</v>
      </c>
      <c r="B5" s="23" t="s">
        <v>21</v>
      </c>
      <c r="C5" s="23" t="s">
        <v>20</v>
      </c>
      <c r="D5" s="24" t="s">
        <v>32</v>
      </c>
      <c r="E5" s="23" t="s">
        <v>26</v>
      </c>
      <c r="F5" s="23" t="s">
        <v>10</v>
      </c>
      <c r="G5" s="25" t="s">
        <v>33</v>
      </c>
      <c r="H5" s="23" t="s">
        <v>27</v>
      </c>
      <c r="I5" s="23" t="s">
        <v>26</v>
      </c>
      <c r="J5" s="23" t="s">
        <v>25</v>
      </c>
      <c r="K5" s="26" t="s">
        <v>34</v>
      </c>
      <c r="L5" s="23" t="s">
        <v>26</v>
      </c>
      <c r="M5" s="23" t="s">
        <v>10</v>
      </c>
      <c r="N5" s="28" t="s">
        <v>30</v>
      </c>
      <c r="O5" s="23" t="s">
        <v>30</v>
      </c>
      <c r="P5" s="28" t="s">
        <v>30</v>
      </c>
    </row>
    <row r="6">
      <c r="A6" s="23" t="s">
        <v>35</v>
      </c>
      <c r="B6" s="23" t="s">
        <v>36</v>
      </c>
      <c r="C6" s="23" t="s">
        <v>37</v>
      </c>
      <c r="D6" s="24" t="s">
        <v>32</v>
      </c>
      <c r="E6" s="23" t="s">
        <v>26</v>
      </c>
      <c r="F6" s="23" t="s">
        <v>10</v>
      </c>
      <c r="G6" s="25" t="s">
        <v>38</v>
      </c>
      <c r="H6" s="23" t="s">
        <v>39</v>
      </c>
      <c r="I6" s="23" t="s">
        <v>26</v>
      </c>
      <c r="J6" s="23" t="s">
        <v>40</v>
      </c>
      <c r="K6" s="26" t="s">
        <v>41</v>
      </c>
      <c r="L6" s="23" t="s">
        <v>23</v>
      </c>
      <c r="M6" s="23" t="s">
        <v>10</v>
      </c>
      <c r="N6" s="28" t="s">
        <v>30</v>
      </c>
      <c r="O6" s="23" t="s">
        <v>29</v>
      </c>
      <c r="P6" s="28" t="s">
        <v>29</v>
      </c>
    </row>
    <row r="7">
      <c r="A7" s="23" t="s">
        <v>42</v>
      </c>
      <c r="B7" s="23" t="s">
        <v>37</v>
      </c>
      <c r="C7" s="23" t="s">
        <v>36</v>
      </c>
      <c r="D7" s="24" t="s">
        <v>22</v>
      </c>
      <c r="E7" s="23" t="s">
        <v>23</v>
      </c>
      <c r="F7" s="23" t="s">
        <v>10</v>
      </c>
      <c r="G7" s="25" t="s">
        <v>43</v>
      </c>
      <c r="H7" s="23" t="s">
        <v>44</v>
      </c>
      <c r="I7" s="23" t="s">
        <v>26</v>
      </c>
      <c r="J7" s="23" t="s">
        <v>39</v>
      </c>
      <c r="K7" s="26" t="s">
        <v>41</v>
      </c>
      <c r="L7" s="23" t="s">
        <v>23</v>
      </c>
      <c r="M7" s="27" t="s">
        <v>10</v>
      </c>
      <c r="N7" s="28" t="s">
        <v>29</v>
      </c>
      <c r="O7" s="23" t="s">
        <v>30</v>
      </c>
      <c r="P7" s="28" t="s">
        <v>29</v>
      </c>
    </row>
    <row r="8">
      <c r="A8" s="23" t="s">
        <v>45</v>
      </c>
      <c r="B8" s="23" t="s">
        <v>46</v>
      </c>
      <c r="C8" s="23" t="s">
        <v>47</v>
      </c>
      <c r="D8" s="24" t="s">
        <v>32</v>
      </c>
      <c r="E8" s="23" t="s">
        <v>26</v>
      </c>
      <c r="F8" s="23" t="s">
        <v>10</v>
      </c>
      <c r="G8" s="25" t="s">
        <v>48</v>
      </c>
      <c r="H8" s="23" t="s">
        <v>49</v>
      </c>
      <c r="I8" s="23" t="s">
        <v>26</v>
      </c>
      <c r="J8" s="23" t="s">
        <v>50</v>
      </c>
      <c r="K8" s="26" t="s">
        <v>28</v>
      </c>
      <c r="L8" s="23" t="s">
        <v>23</v>
      </c>
      <c r="M8" s="23" t="s">
        <v>10</v>
      </c>
      <c r="N8" s="28" t="s">
        <v>30</v>
      </c>
      <c r="O8" s="23" t="s">
        <v>29</v>
      </c>
      <c r="P8" s="28" t="s">
        <v>29</v>
      </c>
      <c r="S8" s="23" t="s">
        <v>51</v>
      </c>
      <c r="U8" s="23" t="s">
        <v>52</v>
      </c>
      <c r="V8" s="23" t="s">
        <v>53</v>
      </c>
    </row>
    <row r="9">
      <c r="A9" s="23" t="s">
        <v>54</v>
      </c>
      <c r="B9" s="23" t="s">
        <v>47</v>
      </c>
      <c r="C9" s="23" t="s">
        <v>46</v>
      </c>
      <c r="D9" s="24" t="s">
        <v>22</v>
      </c>
      <c r="E9" s="23" t="s">
        <v>23</v>
      </c>
      <c r="F9" s="23" t="s">
        <v>10</v>
      </c>
      <c r="G9" s="25" t="s">
        <v>55</v>
      </c>
      <c r="H9" s="23" t="s">
        <v>50</v>
      </c>
      <c r="I9" s="23" t="s">
        <v>23</v>
      </c>
      <c r="J9" s="23" t="s">
        <v>56</v>
      </c>
      <c r="K9" s="26" t="s">
        <v>28</v>
      </c>
      <c r="L9" s="23" t="s">
        <v>23</v>
      </c>
      <c r="M9" s="23" t="s">
        <v>10</v>
      </c>
      <c r="N9" s="28" t="s">
        <v>30</v>
      </c>
      <c r="O9" s="23" t="s">
        <v>30</v>
      </c>
      <c r="P9" s="28" t="s">
        <v>30</v>
      </c>
      <c r="S9" s="23" t="str">
        <f>IFERROR(__xludf.DUMMYFUNCTION("FILTER(J4:J105, P4:P105 = ""F"")"),"razvijalec")</f>
        <v>razvijalec</v>
      </c>
      <c r="U9" s="29" t="str">
        <f>IFERROR(__xludf.DUMMYFUNCTION("FILTER(J4:J105, O4:O105 = ""F"")"),"prodajalka")</f>
        <v>prodajalka</v>
      </c>
      <c r="V9" s="29" t="str">
        <f>IFERROR(__xludf.DUMMYFUNCTION("FILTER(J4:J105, N4:N105 = ""F"")"),"razvijalec")</f>
        <v>razvijalec</v>
      </c>
    </row>
    <row r="10">
      <c r="A10" s="23" t="s">
        <v>57</v>
      </c>
      <c r="B10" s="23" t="s">
        <v>58</v>
      </c>
      <c r="C10" s="23" t="s">
        <v>47</v>
      </c>
      <c r="D10" s="24" t="s">
        <v>32</v>
      </c>
      <c r="E10" s="23" t="s">
        <v>26</v>
      </c>
      <c r="F10" s="23" t="s">
        <v>10</v>
      </c>
      <c r="G10" s="25" t="s">
        <v>59</v>
      </c>
      <c r="H10" s="23" t="s">
        <v>60</v>
      </c>
      <c r="I10" s="23" t="s">
        <v>26</v>
      </c>
      <c r="J10" s="23" t="s">
        <v>50</v>
      </c>
      <c r="K10" s="26" t="s">
        <v>41</v>
      </c>
      <c r="L10" s="23" t="s">
        <v>23</v>
      </c>
      <c r="M10" s="23" t="s">
        <v>10</v>
      </c>
      <c r="N10" s="28" t="s">
        <v>30</v>
      </c>
      <c r="O10" s="23" t="s">
        <v>29</v>
      </c>
      <c r="P10" s="28" t="s">
        <v>29</v>
      </c>
      <c r="S10" s="30" t="str">
        <f>IFERROR(__xludf.DUMMYFUNCTION("""COMPUTED_VALUE"""),"prodajalka")</f>
        <v>prodajalka</v>
      </c>
      <c r="U10" s="29" t="str">
        <f>IFERROR(__xludf.DUMMYFUNCTION("""COMPUTED_VALUE"""),"gospodinja")</f>
        <v>gospodinja</v>
      </c>
      <c r="V10" s="29" t="str">
        <f>IFERROR(__xludf.DUMMYFUNCTION("""COMPUTED_VALUE"""),"mehanik")</f>
        <v>mehanik</v>
      </c>
    </row>
    <row r="11">
      <c r="A11" s="23" t="s">
        <v>61</v>
      </c>
      <c r="B11" s="23" t="s">
        <v>47</v>
      </c>
      <c r="C11" s="23" t="s">
        <v>58</v>
      </c>
      <c r="D11" s="24" t="s">
        <v>22</v>
      </c>
      <c r="E11" s="23" t="s">
        <v>23</v>
      </c>
      <c r="F11" s="23" t="s">
        <v>10</v>
      </c>
      <c r="G11" s="25" t="s">
        <v>62</v>
      </c>
      <c r="H11" s="23" t="s">
        <v>50</v>
      </c>
      <c r="I11" s="23" t="s">
        <v>23</v>
      </c>
      <c r="J11" s="23" t="s">
        <v>63</v>
      </c>
      <c r="K11" s="26" t="s">
        <v>28</v>
      </c>
      <c r="L11" s="23" t="s">
        <v>23</v>
      </c>
      <c r="M11" s="23" t="s">
        <v>10</v>
      </c>
      <c r="N11" s="28" t="s">
        <v>30</v>
      </c>
      <c r="O11" s="23" t="s">
        <v>30</v>
      </c>
      <c r="P11" s="28" t="s">
        <v>30</v>
      </c>
      <c r="S11" s="29" t="str">
        <f>IFERROR(__xludf.DUMMYFUNCTION("""COMPUTED_VALUE"""),"mehanik")</f>
        <v>mehanik</v>
      </c>
      <c r="U11" s="29" t="str">
        <f>IFERROR(__xludf.DUMMYFUNCTION("""COMPUTED_VALUE"""),"gospodinja")</f>
        <v>gospodinja</v>
      </c>
      <c r="V11" s="29" t="str">
        <f>IFERROR(__xludf.DUMMYFUNCTION("""COMPUTED_VALUE"""),"kmet")</f>
        <v>kmet</v>
      </c>
    </row>
    <row r="12">
      <c r="A12" s="23" t="s">
        <v>64</v>
      </c>
      <c r="B12" s="23" t="s">
        <v>65</v>
      </c>
      <c r="C12" s="23" t="s">
        <v>66</v>
      </c>
      <c r="D12" s="24" t="s">
        <v>32</v>
      </c>
      <c r="E12" s="23" t="s">
        <v>26</v>
      </c>
      <c r="F12" s="23" t="s">
        <v>10</v>
      </c>
      <c r="G12" s="25" t="s">
        <v>67</v>
      </c>
      <c r="H12" s="23" t="s">
        <v>68</v>
      </c>
      <c r="I12" s="23" t="s">
        <v>26</v>
      </c>
      <c r="J12" s="23" t="s">
        <v>69</v>
      </c>
      <c r="K12" s="26" t="s">
        <v>70</v>
      </c>
      <c r="L12" s="23" t="s">
        <v>26</v>
      </c>
      <c r="M12" s="23" t="s">
        <v>10</v>
      </c>
      <c r="N12" s="28" t="s">
        <v>30</v>
      </c>
      <c r="O12" s="23" t="s">
        <v>30</v>
      </c>
      <c r="P12" s="28" t="s">
        <v>30</v>
      </c>
      <c r="S12" s="29" t="str">
        <f>IFERROR(__xludf.DUMMYFUNCTION("""COMPUTED_VALUE"""),"gospodinja")</f>
        <v>gospodinja</v>
      </c>
      <c r="U12" s="29" t="str">
        <f>IFERROR(__xludf.DUMMYFUNCTION("""COMPUTED_VALUE"""),"nadzornik")</f>
        <v>nadzornik</v>
      </c>
    </row>
    <row r="13">
      <c r="A13" s="23" t="s">
        <v>71</v>
      </c>
      <c r="B13" s="23" t="s">
        <v>66</v>
      </c>
      <c r="C13" s="23" t="s">
        <v>65</v>
      </c>
      <c r="D13" s="24" t="s">
        <v>22</v>
      </c>
      <c r="E13" s="23" t="s">
        <v>23</v>
      </c>
      <c r="F13" s="23" t="s">
        <v>10</v>
      </c>
      <c r="G13" s="25" t="s">
        <v>72</v>
      </c>
      <c r="H13" s="23" t="s">
        <v>73</v>
      </c>
      <c r="I13" s="23" t="s">
        <v>23</v>
      </c>
      <c r="J13" s="23" t="s">
        <v>74</v>
      </c>
      <c r="K13" s="26" t="s">
        <v>28</v>
      </c>
      <c r="L13" s="23" t="s">
        <v>23</v>
      </c>
      <c r="M13" s="23" t="s">
        <v>10</v>
      </c>
      <c r="N13" s="28" t="s">
        <v>30</v>
      </c>
      <c r="O13" s="23" t="s">
        <v>30</v>
      </c>
      <c r="P13" s="28" t="s">
        <v>30</v>
      </c>
      <c r="S13" s="29" t="str">
        <f>IFERROR(__xludf.DUMMYFUNCTION("""COMPUTED_VALUE"""),"gospodinja")</f>
        <v>gospodinja</v>
      </c>
    </row>
    <row r="14">
      <c r="A14" s="23" t="s">
        <v>75</v>
      </c>
      <c r="B14" s="23" t="s">
        <v>66</v>
      </c>
      <c r="C14" s="23" t="s">
        <v>76</v>
      </c>
      <c r="D14" s="24" t="s">
        <v>22</v>
      </c>
      <c r="E14" s="23" t="s">
        <v>23</v>
      </c>
      <c r="F14" s="23" t="s">
        <v>10</v>
      </c>
      <c r="G14" s="25" t="s">
        <v>77</v>
      </c>
      <c r="H14" s="23" t="s">
        <v>69</v>
      </c>
      <c r="I14" s="23" t="s">
        <v>26</v>
      </c>
      <c r="J14" s="23" t="s">
        <v>78</v>
      </c>
      <c r="K14" s="26" t="s">
        <v>28</v>
      </c>
      <c r="L14" s="23" t="s">
        <v>23</v>
      </c>
      <c r="M14" s="23" t="s">
        <v>10</v>
      </c>
      <c r="N14" s="28" t="s">
        <v>30</v>
      </c>
      <c r="O14" s="23" t="s">
        <v>30</v>
      </c>
      <c r="P14" s="28" t="s">
        <v>30</v>
      </c>
      <c r="S14" s="29" t="str">
        <f>IFERROR(__xludf.DUMMYFUNCTION("""COMPUTED_VALUE"""),"nadzornik")</f>
        <v>nadzornik</v>
      </c>
    </row>
    <row r="15">
      <c r="A15" s="23" t="s">
        <v>79</v>
      </c>
      <c r="B15" s="23" t="s">
        <v>76</v>
      </c>
      <c r="C15" s="23" t="s">
        <v>66</v>
      </c>
      <c r="D15" s="24" t="s">
        <v>32</v>
      </c>
      <c r="E15" s="23" t="s">
        <v>26</v>
      </c>
      <c r="F15" s="23" t="s">
        <v>10</v>
      </c>
      <c r="G15" s="25" t="s">
        <v>80</v>
      </c>
      <c r="H15" s="23" t="s">
        <v>81</v>
      </c>
      <c r="I15" s="23" t="s">
        <v>26</v>
      </c>
      <c r="J15" s="23" t="s">
        <v>69</v>
      </c>
      <c r="K15" s="26" t="s">
        <v>34</v>
      </c>
      <c r="L15" s="23" t="s">
        <v>26</v>
      </c>
      <c r="M15" s="23" t="s">
        <v>10</v>
      </c>
      <c r="N15" s="28" t="s">
        <v>30</v>
      </c>
      <c r="O15" s="23" t="s">
        <v>30</v>
      </c>
      <c r="P15" s="28" t="s">
        <v>30</v>
      </c>
      <c r="S15" s="29" t="str">
        <f>IFERROR(__xludf.DUMMYFUNCTION("""COMPUTED_VALUE"""),"kmet")</f>
        <v>kmet</v>
      </c>
    </row>
    <row r="16">
      <c r="A16" s="23" t="s">
        <v>82</v>
      </c>
      <c r="B16" s="23" t="s">
        <v>21</v>
      </c>
      <c r="C16" s="23" t="s">
        <v>66</v>
      </c>
      <c r="D16" s="24" t="s">
        <v>32</v>
      </c>
      <c r="E16" s="23" t="s">
        <v>26</v>
      </c>
      <c r="F16" s="23" t="s">
        <v>10</v>
      </c>
      <c r="G16" s="25" t="s">
        <v>83</v>
      </c>
      <c r="H16" s="23" t="s">
        <v>27</v>
      </c>
      <c r="I16" s="23" t="s">
        <v>26</v>
      </c>
      <c r="J16" s="23" t="s">
        <v>69</v>
      </c>
      <c r="K16" s="26" t="s">
        <v>70</v>
      </c>
      <c r="L16" s="23" t="s">
        <v>26</v>
      </c>
      <c r="M16" s="23" t="s">
        <v>10</v>
      </c>
      <c r="N16" s="28" t="s">
        <v>30</v>
      </c>
      <c r="O16" s="23" t="s">
        <v>30</v>
      </c>
      <c r="P16" s="28" t="s">
        <v>30</v>
      </c>
    </row>
    <row r="17">
      <c r="A17" s="23" t="s">
        <v>84</v>
      </c>
      <c r="B17" s="23" t="s">
        <v>66</v>
      </c>
      <c r="C17" s="23" t="s">
        <v>21</v>
      </c>
      <c r="D17" s="24" t="s">
        <v>22</v>
      </c>
      <c r="E17" s="23" t="s">
        <v>23</v>
      </c>
      <c r="F17" s="23" t="s">
        <v>10</v>
      </c>
      <c r="G17" s="25" t="s">
        <v>85</v>
      </c>
      <c r="H17" s="23" t="s">
        <v>73</v>
      </c>
      <c r="I17" s="23" t="s">
        <v>23</v>
      </c>
      <c r="J17" s="23" t="s">
        <v>86</v>
      </c>
      <c r="K17" s="26" t="s">
        <v>41</v>
      </c>
      <c r="L17" s="23" t="s">
        <v>23</v>
      </c>
      <c r="M17" s="23" t="s">
        <v>10</v>
      </c>
      <c r="N17" s="28" t="s">
        <v>30</v>
      </c>
      <c r="O17" s="23" t="s">
        <v>30</v>
      </c>
      <c r="P17" s="28" t="s">
        <v>30</v>
      </c>
    </row>
    <row r="18">
      <c r="A18" s="23" t="s">
        <v>87</v>
      </c>
      <c r="B18" s="23" t="s">
        <v>88</v>
      </c>
      <c r="C18" s="23" t="s">
        <v>66</v>
      </c>
      <c r="D18" s="24" t="s">
        <v>32</v>
      </c>
      <c r="E18" s="23" t="s">
        <v>26</v>
      </c>
      <c r="F18" s="23" t="s">
        <v>10</v>
      </c>
      <c r="G18" s="25" t="s">
        <v>89</v>
      </c>
      <c r="H18" s="23" t="s">
        <v>90</v>
      </c>
      <c r="I18" s="23" t="s">
        <v>26</v>
      </c>
      <c r="J18" s="23" t="s">
        <v>69</v>
      </c>
      <c r="K18" s="26" t="s">
        <v>70</v>
      </c>
      <c r="L18" s="23" t="s">
        <v>26</v>
      </c>
      <c r="M18" s="23" t="s">
        <v>10</v>
      </c>
      <c r="N18" s="28" t="s">
        <v>30</v>
      </c>
      <c r="O18" s="23" t="s">
        <v>30</v>
      </c>
      <c r="P18" s="28" t="s">
        <v>30</v>
      </c>
    </row>
    <row r="19">
      <c r="A19" s="23" t="s">
        <v>91</v>
      </c>
      <c r="B19" s="23" t="s">
        <v>66</v>
      </c>
      <c r="C19" s="23" t="s">
        <v>88</v>
      </c>
      <c r="D19" s="24" t="s">
        <v>22</v>
      </c>
      <c r="E19" s="23" t="s">
        <v>23</v>
      </c>
      <c r="F19" s="23" t="s">
        <v>10</v>
      </c>
      <c r="G19" s="25" t="s">
        <v>92</v>
      </c>
      <c r="H19" s="23" t="s">
        <v>73</v>
      </c>
      <c r="I19" s="23" t="s">
        <v>23</v>
      </c>
      <c r="J19" s="23" t="s">
        <v>90</v>
      </c>
      <c r="K19" s="26" t="s">
        <v>28</v>
      </c>
      <c r="L19" s="23" t="s">
        <v>23</v>
      </c>
      <c r="M19" s="23" t="s">
        <v>10</v>
      </c>
      <c r="N19" s="28" t="s">
        <v>30</v>
      </c>
      <c r="O19" s="23" t="s">
        <v>30</v>
      </c>
      <c r="P19" s="28" t="s">
        <v>30</v>
      </c>
    </row>
    <row r="20">
      <c r="A20" s="23" t="s">
        <v>93</v>
      </c>
      <c r="B20" s="23" t="s">
        <v>94</v>
      </c>
      <c r="C20" s="23" t="s">
        <v>95</v>
      </c>
      <c r="D20" s="24" t="s">
        <v>22</v>
      </c>
      <c r="E20" s="23" t="s">
        <v>23</v>
      </c>
      <c r="F20" s="23" t="s">
        <v>10</v>
      </c>
      <c r="G20" s="23" t="s">
        <v>96</v>
      </c>
      <c r="H20" s="23" t="s">
        <v>97</v>
      </c>
      <c r="I20" s="23" t="s">
        <v>26</v>
      </c>
      <c r="J20" s="23" t="s">
        <v>98</v>
      </c>
      <c r="K20" s="26" t="s">
        <v>41</v>
      </c>
      <c r="L20" s="23" t="s">
        <v>23</v>
      </c>
      <c r="M20" s="23" t="s">
        <v>10</v>
      </c>
      <c r="N20" s="28" t="s">
        <v>30</v>
      </c>
      <c r="O20" s="23" t="s">
        <v>30</v>
      </c>
      <c r="P20" s="28" t="s">
        <v>30</v>
      </c>
    </row>
    <row r="21">
      <c r="A21" s="23" t="s">
        <v>99</v>
      </c>
      <c r="B21" s="23" t="s">
        <v>95</v>
      </c>
      <c r="C21" s="23" t="s">
        <v>94</v>
      </c>
      <c r="D21" s="24" t="s">
        <v>32</v>
      </c>
      <c r="E21" s="23" t="s">
        <v>26</v>
      </c>
      <c r="F21" s="23" t="s">
        <v>10</v>
      </c>
      <c r="G21" s="23" t="s">
        <v>100</v>
      </c>
      <c r="H21" s="23" t="s">
        <v>101</v>
      </c>
      <c r="I21" s="23" t="s">
        <v>26</v>
      </c>
      <c r="J21" s="23" t="s">
        <v>97</v>
      </c>
      <c r="K21" s="26" t="s">
        <v>70</v>
      </c>
      <c r="L21" s="23" t="s">
        <v>26</v>
      </c>
      <c r="M21" s="23" t="s">
        <v>10</v>
      </c>
      <c r="N21" s="28" t="s">
        <v>30</v>
      </c>
      <c r="O21" s="23" t="s">
        <v>30</v>
      </c>
      <c r="P21" s="28" t="s">
        <v>30</v>
      </c>
    </row>
    <row r="22">
      <c r="A22" s="23" t="s">
        <v>102</v>
      </c>
      <c r="B22" s="23" t="s">
        <v>103</v>
      </c>
      <c r="C22" s="23" t="s">
        <v>104</v>
      </c>
      <c r="D22" s="24" t="s">
        <v>22</v>
      </c>
      <c r="E22" s="23" t="s">
        <v>23</v>
      </c>
      <c r="F22" s="23" t="s">
        <v>10</v>
      </c>
      <c r="G22" s="23" t="s">
        <v>105</v>
      </c>
      <c r="H22" s="23" t="s">
        <v>106</v>
      </c>
      <c r="I22" s="23" t="s">
        <v>23</v>
      </c>
      <c r="J22" s="23" t="s">
        <v>107</v>
      </c>
      <c r="K22" s="26" t="s">
        <v>108</v>
      </c>
      <c r="L22" s="23" t="s">
        <v>26</v>
      </c>
      <c r="M22" s="23" t="s">
        <v>109</v>
      </c>
      <c r="N22" s="28" t="s">
        <v>30</v>
      </c>
      <c r="O22" s="23" t="s">
        <v>29</v>
      </c>
      <c r="P22" s="28" t="s">
        <v>29</v>
      </c>
    </row>
    <row r="23">
      <c r="A23" s="23" t="s">
        <v>110</v>
      </c>
      <c r="B23" s="23" t="s">
        <v>104</v>
      </c>
      <c r="C23" s="23" t="s">
        <v>103</v>
      </c>
      <c r="D23" s="24" t="s">
        <v>32</v>
      </c>
      <c r="E23" s="23" t="s">
        <v>26</v>
      </c>
      <c r="F23" s="23" t="s">
        <v>10</v>
      </c>
      <c r="G23" s="23" t="s">
        <v>111</v>
      </c>
      <c r="H23" s="23" t="s">
        <v>107</v>
      </c>
      <c r="I23" s="23" t="s">
        <v>26</v>
      </c>
      <c r="J23" s="23" t="s">
        <v>112</v>
      </c>
      <c r="K23" s="26" t="s">
        <v>34</v>
      </c>
      <c r="L23" s="23" t="s">
        <v>26</v>
      </c>
      <c r="M23" s="23" t="s">
        <v>10</v>
      </c>
      <c r="N23" s="28" t="s">
        <v>30</v>
      </c>
      <c r="O23" s="23" t="s">
        <v>30</v>
      </c>
      <c r="P23" s="28" t="s">
        <v>30</v>
      </c>
    </row>
    <row r="24">
      <c r="A24" s="23" t="s">
        <v>113</v>
      </c>
      <c r="B24" s="23" t="s">
        <v>114</v>
      </c>
      <c r="C24" s="23" t="s">
        <v>20</v>
      </c>
      <c r="D24" s="24" t="s">
        <v>32</v>
      </c>
      <c r="E24" s="23" t="s">
        <v>26</v>
      </c>
      <c r="F24" s="23" t="s">
        <v>10</v>
      </c>
      <c r="G24" s="25" t="s">
        <v>115</v>
      </c>
      <c r="H24" s="23" t="s">
        <v>116</v>
      </c>
      <c r="I24" s="23" t="s">
        <v>26</v>
      </c>
      <c r="J24" s="23" t="s">
        <v>25</v>
      </c>
      <c r="K24" s="26" t="s">
        <v>34</v>
      </c>
      <c r="L24" s="23" t="s">
        <v>26</v>
      </c>
      <c r="M24" s="23" t="s">
        <v>10</v>
      </c>
      <c r="N24" s="28" t="s">
        <v>30</v>
      </c>
      <c r="O24" s="23" t="s">
        <v>30</v>
      </c>
      <c r="P24" s="28" t="s">
        <v>30</v>
      </c>
    </row>
    <row r="25">
      <c r="A25" s="23" t="s">
        <v>117</v>
      </c>
      <c r="B25" s="23" t="s">
        <v>20</v>
      </c>
      <c r="C25" s="23" t="s">
        <v>114</v>
      </c>
      <c r="D25" s="24" t="s">
        <v>22</v>
      </c>
      <c r="E25" s="23" t="s">
        <v>23</v>
      </c>
      <c r="F25" s="23" t="s">
        <v>10</v>
      </c>
      <c r="G25" s="25" t="s">
        <v>118</v>
      </c>
      <c r="H25" s="23" t="s">
        <v>25</v>
      </c>
      <c r="I25" s="23" t="s">
        <v>26</v>
      </c>
      <c r="J25" s="23" t="s">
        <v>119</v>
      </c>
      <c r="K25" s="26" t="s">
        <v>28</v>
      </c>
      <c r="L25" s="23" t="s">
        <v>23</v>
      </c>
      <c r="M25" s="23" t="s">
        <v>10</v>
      </c>
      <c r="N25" s="28" t="s">
        <v>30</v>
      </c>
      <c r="O25" s="23" t="s">
        <v>30</v>
      </c>
      <c r="P25" s="28" t="s">
        <v>30</v>
      </c>
    </row>
    <row r="26">
      <c r="A26" s="23" t="s">
        <v>120</v>
      </c>
      <c r="B26" s="23" t="s">
        <v>21</v>
      </c>
      <c r="C26" s="23" t="s">
        <v>121</v>
      </c>
      <c r="D26" s="24" t="s">
        <v>32</v>
      </c>
      <c r="E26" s="23" t="s">
        <v>26</v>
      </c>
      <c r="F26" s="23" t="s">
        <v>10</v>
      </c>
      <c r="G26" s="25" t="s">
        <v>122</v>
      </c>
      <c r="H26" s="23" t="s">
        <v>27</v>
      </c>
      <c r="I26" s="23" t="s">
        <v>26</v>
      </c>
      <c r="J26" s="23" t="s">
        <v>123</v>
      </c>
      <c r="K26" s="26" t="s">
        <v>70</v>
      </c>
      <c r="L26" s="23" t="s">
        <v>26</v>
      </c>
      <c r="M26" s="23" t="s">
        <v>10</v>
      </c>
      <c r="N26" s="28" t="s">
        <v>30</v>
      </c>
      <c r="O26" s="23" t="s">
        <v>30</v>
      </c>
      <c r="P26" s="28" t="s">
        <v>30</v>
      </c>
    </row>
    <row r="27">
      <c r="A27" s="23" t="s">
        <v>124</v>
      </c>
      <c r="B27" s="23" t="s">
        <v>121</v>
      </c>
      <c r="C27" s="23" t="s">
        <v>21</v>
      </c>
      <c r="D27" s="24" t="s">
        <v>22</v>
      </c>
      <c r="E27" s="23" t="s">
        <v>23</v>
      </c>
      <c r="F27" s="23" t="s">
        <v>10</v>
      </c>
      <c r="G27" s="25" t="s">
        <v>125</v>
      </c>
      <c r="H27" s="23" t="s">
        <v>123</v>
      </c>
      <c r="I27" s="23" t="s">
        <v>26</v>
      </c>
      <c r="J27" s="23" t="s">
        <v>86</v>
      </c>
      <c r="K27" s="26" t="s">
        <v>41</v>
      </c>
      <c r="L27" s="23" t="s">
        <v>23</v>
      </c>
      <c r="M27" s="23" t="s">
        <v>10</v>
      </c>
      <c r="N27" s="28" t="s">
        <v>30</v>
      </c>
      <c r="O27" s="23" t="s">
        <v>30</v>
      </c>
      <c r="P27" s="28" t="s">
        <v>30</v>
      </c>
    </row>
    <row r="28">
      <c r="A28" s="23" t="s">
        <v>126</v>
      </c>
      <c r="B28" s="23" t="s">
        <v>127</v>
      </c>
      <c r="C28" s="23" t="s">
        <v>46</v>
      </c>
      <c r="D28" s="24" t="s">
        <v>22</v>
      </c>
      <c r="E28" s="23" t="s">
        <v>23</v>
      </c>
      <c r="F28" s="23" t="s">
        <v>10</v>
      </c>
      <c r="G28" s="25" t="s">
        <v>128</v>
      </c>
      <c r="H28" s="23" t="s">
        <v>129</v>
      </c>
      <c r="I28" s="23" t="s">
        <v>23</v>
      </c>
      <c r="J28" s="23" t="s">
        <v>130</v>
      </c>
      <c r="K28" s="26" t="s">
        <v>28</v>
      </c>
      <c r="L28" s="23" t="s">
        <v>23</v>
      </c>
      <c r="M28" s="23" t="s">
        <v>10</v>
      </c>
      <c r="N28" s="28" t="s">
        <v>30</v>
      </c>
      <c r="O28" s="23" t="s">
        <v>30</v>
      </c>
      <c r="P28" s="28" t="s">
        <v>30</v>
      </c>
    </row>
    <row r="29">
      <c r="A29" s="23" t="s">
        <v>131</v>
      </c>
      <c r="B29" s="23" t="s">
        <v>46</v>
      </c>
      <c r="C29" s="23" t="s">
        <v>127</v>
      </c>
      <c r="D29" s="24" t="s">
        <v>32</v>
      </c>
      <c r="E29" s="23" t="s">
        <v>26</v>
      </c>
      <c r="F29" s="23" t="s">
        <v>10</v>
      </c>
      <c r="G29" s="25" t="s">
        <v>132</v>
      </c>
      <c r="H29" s="23" t="s">
        <v>133</v>
      </c>
      <c r="I29" s="23" t="s">
        <v>26</v>
      </c>
      <c r="J29" s="23" t="s">
        <v>134</v>
      </c>
      <c r="K29" s="26" t="s">
        <v>34</v>
      </c>
      <c r="L29" s="23" t="s">
        <v>26</v>
      </c>
      <c r="M29" s="23" t="s">
        <v>10</v>
      </c>
      <c r="N29" s="28" t="s">
        <v>30</v>
      </c>
      <c r="O29" s="23" t="s">
        <v>30</v>
      </c>
      <c r="P29" s="28" t="s">
        <v>30</v>
      </c>
    </row>
    <row r="30">
      <c r="A30" s="23" t="s">
        <v>135</v>
      </c>
      <c r="B30" s="23" t="s">
        <v>114</v>
      </c>
      <c r="C30" s="23" t="s">
        <v>66</v>
      </c>
      <c r="D30" s="24" t="s">
        <v>32</v>
      </c>
      <c r="E30" s="23" t="s">
        <v>26</v>
      </c>
      <c r="F30" s="23" t="s">
        <v>10</v>
      </c>
      <c r="G30" s="23" t="s">
        <v>136</v>
      </c>
      <c r="H30" s="23" t="s">
        <v>116</v>
      </c>
      <c r="I30" s="23" t="s">
        <v>26</v>
      </c>
      <c r="J30" s="23" t="s">
        <v>69</v>
      </c>
      <c r="K30" s="26" t="s">
        <v>137</v>
      </c>
      <c r="L30" s="23" t="s">
        <v>26</v>
      </c>
      <c r="M30" s="23" t="s">
        <v>10</v>
      </c>
      <c r="N30" s="28" t="s">
        <v>30</v>
      </c>
      <c r="O30" s="23" t="s">
        <v>30</v>
      </c>
      <c r="P30" s="28" t="s">
        <v>30</v>
      </c>
    </row>
    <row r="31">
      <c r="A31" s="23" t="s">
        <v>138</v>
      </c>
      <c r="B31" s="23" t="s">
        <v>66</v>
      </c>
      <c r="C31" s="23" t="s">
        <v>114</v>
      </c>
      <c r="D31" s="24" t="s">
        <v>22</v>
      </c>
      <c r="E31" s="23" t="s">
        <v>23</v>
      </c>
      <c r="F31" s="23" t="s">
        <v>10</v>
      </c>
      <c r="G31" s="23" t="s">
        <v>139</v>
      </c>
      <c r="H31" s="23" t="s">
        <v>69</v>
      </c>
      <c r="I31" s="23" t="s">
        <v>26</v>
      </c>
      <c r="J31" s="23" t="s">
        <v>116</v>
      </c>
      <c r="K31" s="26" t="s">
        <v>41</v>
      </c>
      <c r="L31" s="23" t="s">
        <v>23</v>
      </c>
      <c r="M31" s="23" t="s">
        <v>10</v>
      </c>
      <c r="N31" s="28" t="s">
        <v>29</v>
      </c>
      <c r="O31" s="23" t="s">
        <v>30</v>
      </c>
      <c r="P31" s="28" t="s">
        <v>29</v>
      </c>
    </row>
    <row r="32">
      <c r="A32" s="23" t="s">
        <v>140</v>
      </c>
      <c r="B32" s="23" t="s">
        <v>21</v>
      </c>
      <c r="C32" s="23" t="s">
        <v>141</v>
      </c>
      <c r="D32" s="24" t="s">
        <v>32</v>
      </c>
      <c r="E32" s="23" t="s">
        <v>26</v>
      </c>
      <c r="F32" s="23" t="s">
        <v>10</v>
      </c>
      <c r="G32" s="23" t="s">
        <v>142</v>
      </c>
      <c r="H32" s="23" t="s">
        <v>27</v>
      </c>
      <c r="I32" s="23" t="s">
        <v>26</v>
      </c>
      <c r="J32" s="23" t="s">
        <v>143</v>
      </c>
      <c r="K32" s="26" t="s">
        <v>34</v>
      </c>
      <c r="L32" s="23" t="s">
        <v>26</v>
      </c>
      <c r="M32" s="23" t="s">
        <v>10</v>
      </c>
      <c r="N32" s="28" t="s">
        <v>30</v>
      </c>
      <c r="O32" s="23" t="s">
        <v>30</v>
      </c>
      <c r="P32" s="28" t="s">
        <v>30</v>
      </c>
    </row>
    <row r="33">
      <c r="A33" s="23" t="s">
        <v>144</v>
      </c>
      <c r="B33" s="23" t="s">
        <v>141</v>
      </c>
      <c r="C33" s="23" t="s">
        <v>21</v>
      </c>
      <c r="D33" s="24" t="s">
        <v>22</v>
      </c>
      <c r="E33" s="23" t="s">
        <v>23</v>
      </c>
      <c r="F33" s="23" t="s">
        <v>10</v>
      </c>
      <c r="G33" s="23" t="s">
        <v>145</v>
      </c>
      <c r="H33" s="23" t="s">
        <v>143</v>
      </c>
      <c r="I33" s="23" t="s">
        <v>26</v>
      </c>
      <c r="J33" s="23" t="s">
        <v>86</v>
      </c>
      <c r="K33" s="26" t="s">
        <v>28</v>
      </c>
      <c r="L33" s="23" t="s">
        <v>23</v>
      </c>
      <c r="M33" s="23" t="s">
        <v>10</v>
      </c>
      <c r="N33" s="28" t="s">
        <v>30</v>
      </c>
      <c r="O33" s="23" t="s">
        <v>30</v>
      </c>
      <c r="P33" s="28" t="s">
        <v>30</v>
      </c>
    </row>
    <row r="34">
      <c r="A34" s="23" t="s">
        <v>146</v>
      </c>
      <c r="B34" s="23" t="s">
        <v>147</v>
      </c>
      <c r="C34" s="23" t="s">
        <v>37</v>
      </c>
      <c r="D34" s="24" t="s">
        <v>32</v>
      </c>
      <c r="E34" s="23" t="s">
        <v>26</v>
      </c>
      <c r="F34" s="23" t="s">
        <v>10</v>
      </c>
      <c r="G34" s="25" t="s">
        <v>148</v>
      </c>
      <c r="H34" s="23" t="s">
        <v>149</v>
      </c>
      <c r="I34" s="23" t="s">
        <v>26</v>
      </c>
      <c r="J34" s="23" t="s">
        <v>150</v>
      </c>
      <c r="K34" s="26" t="s">
        <v>70</v>
      </c>
      <c r="L34" s="23" t="s">
        <v>26</v>
      </c>
      <c r="M34" s="23" t="s">
        <v>10</v>
      </c>
      <c r="N34" s="28" t="s">
        <v>30</v>
      </c>
      <c r="O34" s="23" t="s">
        <v>30</v>
      </c>
      <c r="P34" s="28" t="s">
        <v>30</v>
      </c>
    </row>
    <row r="35">
      <c r="A35" s="23" t="s">
        <v>151</v>
      </c>
      <c r="B35" s="23" t="s">
        <v>37</v>
      </c>
      <c r="C35" s="23" t="s">
        <v>147</v>
      </c>
      <c r="D35" s="24" t="s">
        <v>22</v>
      </c>
      <c r="E35" s="23" t="s">
        <v>23</v>
      </c>
      <c r="F35" s="23" t="s">
        <v>10</v>
      </c>
      <c r="G35" s="25" t="s">
        <v>152</v>
      </c>
      <c r="H35" s="23" t="s">
        <v>44</v>
      </c>
      <c r="I35" s="23" t="s">
        <v>26</v>
      </c>
      <c r="J35" s="23" t="s">
        <v>153</v>
      </c>
      <c r="K35" s="26" t="s">
        <v>41</v>
      </c>
      <c r="L35" s="23" t="s">
        <v>23</v>
      </c>
      <c r="M35" s="23" t="s">
        <v>10</v>
      </c>
      <c r="N35" s="28" t="s">
        <v>30</v>
      </c>
      <c r="O35" s="23" t="s">
        <v>30</v>
      </c>
      <c r="P35" s="28" t="s">
        <v>30</v>
      </c>
    </row>
    <row r="36">
      <c r="A36" s="23" t="s">
        <v>154</v>
      </c>
      <c r="B36" s="23" t="s">
        <v>155</v>
      </c>
      <c r="C36" s="23" t="s">
        <v>156</v>
      </c>
      <c r="D36" s="24" t="s">
        <v>32</v>
      </c>
      <c r="E36" s="23" t="s">
        <v>26</v>
      </c>
      <c r="F36" s="23" t="s">
        <v>10</v>
      </c>
      <c r="G36" s="25" t="s">
        <v>157</v>
      </c>
      <c r="H36" s="23" t="s">
        <v>150</v>
      </c>
      <c r="I36" s="23" t="s">
        <v>26</v>
      </c>
      <c r="J36" s="23" t="s">
        <v>158</v>
      </c>
      <c r="K36" s="26" t="s">
        <v>70</v>
      </c>
      <c r="L36" s="23" t="s">
        <v>26</v>
      </c>
      <c r="M36" s="23" t="s">
        <v>10</v>
      </c>
      <c r="N36" s="28" t="s">
        <v>30</v>
      </c>
      <c r="O36" s="23" t="s">
        <v>30</v>
      </c>
      <c r="P36" s="28" t="s">
        <v>30</v>
      </c>
    </row>
    <row r="37">
      <c r="A37" s="23" t="s">
        <v>159</v>
      </c>
      <c r="B37" s="31" t="s">
        <v>156</v>
      </c>
      <c r="C37" s="31" t="s">
        <v>155</v>
      </c>
      <c r="D37" s="32" t="s">
        <v>22</v>
      </c>
      <c r="E37" s="31" t="s">
        <v>23</v>
      </c>
      <c r="F37" s="31" t="s">
        <v>10</v>
      </c>
      <c r="G37" s="25" t="s">
        <v>160</v>
      </c>
      <c r="H37" s="23" t="s">
        <v>161</v>
      </c>
      <c r="I37" s="23" t="s">
        <v>23</v>
      </c>
      <c r="J37" s="23" t="s">
        <v>40</v>
      </c>
      <c r="K37" s="26" t="s">
        <v>28</v>
      </c>
      <c r="L37" s="23" t="s">
        <v>23</v>
      </c>
      <c r="M37" s="23" t="s">
        <v>10</v>
      </c>
      <c r="N37" s="28" t="s">
        <v>30</v>
      </c>
      <c r="O37" s="23" t="s">
        <v>30</v>
      </c>
      <c r="P37" s="28" t="s">
        <v>30</v>
      </c>
    </row>
    <row r="38">
      <c r="A38" s="23" t="s">
        <v>162</v>
      </c>
      <c r="B38" s="23" t="s">
        <v>163</v>
      </c>
      <c r="C38" s="23" t="s">
        <v>94</v>
      </c>
      <c r="D38" s="24" t="s">
        <v>32</v>
      </c>
      <c r="E38" s="23" t="s">
        <v>26</v>
      </c>
      <c r="F38" s="23" t="s">
        <v>10</v>
      </c>
      <c r="G38" s="25" t="s">
        <v>164</v>
      </c>
      <c r="H38" s="23" t="s">
        <v>165</v>
      </c>
      <c r="I38" s="23" t="s">
        <v>26</v>
      </c>
      <c r="J38" s="23" t="s">
        <v>97</v>
      </c>
      <c r="K38" s="26" t="s">
        <v>70</v>
      </c>
      <c r="L38" s="23" t="s">
        <v>26</v>
      </c>
      <c r="M38" s="23" t="s">
        <v>10</v>
      </c>
      <c r="N38" s="28" t="s">
        <v>30</v>
      </c>
      <c r="O38" s="23" t="s">
        <v>30</v>
      </c>
      <c r="P38" s="28" t="s">
        <v>30</v>
      </c>
    </row>
    <row r="39">
      <c r="A39" s="23" t="s">
        <v>166</v>
      </c>
      <c r="B39" s="23" t="s">
        <v>94</v>
      </c>
      <c r="C39" s="23" t="s">
        <v>163</v>
      </c>
      <c r="D39" s="24" t="s">
        <v>22</v>
      </c>
      <c r="E39" s="23" t="s">
        <v>23</v>
      </c>
      <c r="F39" s="23" t="s">
        <v>10</v>
      </c>
      <c r="G39" s="25" t="s">
        <v>167</v>
      </c>
      <c r="H39" s="23" t="s">
        <v>97</v>
      </c>
      <c r="I39" s="23" t="s">
        <v>26</v>
      </c>
      <c r="J39" s="23" t="s">
        <v>168</v>
      </c>
      <c r="K39" s="26" t="s">
        <v>28</v>
      </c>
      <c r="L39" s="23" t="s">
        <v>23</v>
      </c>
      <c r="M39" s="23" t="s">
        <v>10</v>
      </c>
      <c r="N39" s="28" t="s">
        <v>30</v>
      </c>
      <c r="O39" s="23" t="s">
        <v>30</v>
      </c>
      <c r="P39" s="28" t="s">
        <v>30</v>
      </c>
    </row>
    <row r="40">
      <c r="A40" s="23" t="s">
        <v>169</v>
      </c>
      <c r="B40" s="23" t="s">
        <v>170</v>
      </c>
      <c r="C40" s="23" t="s">
        <v>171</v>
      </c>
      <c r="D40" s="24" t="s">
        <v>32</v>
      </c>
      <c r="E40" s="23" t="s">
        <v>26</v>
      </c>
      <c r="F40" s="23" t="s">
        <v>10</v>
      </c>
      <c r="G40" s="25" t="s">
        <v>172</v>
      </c>
      <c r="H40" s="23" t="s">
        <v>173</v>
      </c>
      <c r="I40" s="23" t="s">
        <v>26</v>
      </c>
      <c r="J40" s="23" t="s">
        <v>174</v>
      </c>
      <c r="K40" s="26" t="s">
        <v>34</v>
      </c>
      <c r="L40" s="23" t="s">
        <v>26</v>
      </c>
      <c r="M40" s="23" t="s">
        <v>10</v>
      </c>
      <c r="N40" s="28" t="s">
        <v>30</v>
      </c>
      <c r="O40" s="23" t="s">
        <v>30</v>
      </c>
      <c r="P40" s="28" t="s">
        <v>30</v>
      </c>
    </row>
    <row r="41">
      <c r="A41" s="23" t="s">
        <v>175</v>
      </c>
      <c r="B41" s="23" t="s">
        <v>171</v>
      </c>
      <c r="C41" s="23" t="s">
        <v>170</v>
      </c>
      <c r="D41" s="24" t="s">
        <v>22</v>
      </c>
      <c r="E41" s="23" t="s">
        <v>23</v>
      </c>
      <c r="F41" s="23" t="s">
        <v>10</v>
      </c>
      <c r="G41" s="25" t="s">
        <v>176</v>
      </c>
      <c r="H41" s="23" t="s">
        <v>177</v>
      </c>
      <c r="I41" s="23" t="s">
        <v>23</v>
      </c>
      <c r="J41" s="23" t="s">
        <v>178</v>
      </c>
      <c r="K41" s="26" t="s">
        <v>28</v>
      </c>
      <c r="L41" s="23" t="s">
        <v>23</v>
      </c>
      <c r="M41" s="23" t="s">
        <v>10</v>
      </c>
      <c r="N41" s="28" t="s">
        <v>30</v>
      </c>
      <c r="O41" s="23" t="s">
        <v>30</v>
      </c>
      <c r="P41" s="28" t="s">
        <v>30</v>
      </c>
    </row>
    <row r="42">
      <c r="A42" s="23" t="s">
        <v>179</v>
      </c>
      <c r="B42" s="23" t="s">
        <v>155</v>
      </c>
      <c r="C42" s="23" t="s">
        <v>180</v>
      </c>
      <c r="D42" s="24" t="s">
        <v>32</v>
      </c>
      <c r="E42" s="23" t="s">
        <v>26</v>
      </c>
      <c r="F42" s="23" t="s">
        <v>10</v>
      </c>
      <c r="G42" s="25" t="s">
        <v>181</v>
      </c>
      <c r="H42" s="23" t="s">
        <v>150</v>
      </c>
      <c r="I42" s="23" t="s">
        <v>26</v>
      </c>
      <c r="J42" s="23" t="s">
        <v>182</v>
      </c>
      <c r="K42" s="26" t="s">
        <v>34</v>
      </c>
      <c r="L42" s="23" t="s">
        <v>26</v>
      </c>
      <c r="M42" s="23" t="s">
        <v>10</v>
      </c>
      <c r="N42" s="28" t="s">
        <v>30</v>
      </c>
      <c r="O42" s="23" t="s">
        <v>30</v>
      </c>
      <c r="P42" s="28" t="s">
        <v>30</v>
      </c>
    </row>
    <row r="43">
      <c r="A43" s="23" t="s">
        <v>183</v>
      </c>
      <c r="B43" s="23" t="s">
        <v>180</v>
      </c>
      <c r="C43" s="23" t="s">
        <v>155</v>
      </c>
      <c r="D43" s="24" t="s">
        <v>22</v>
      </c>
      <c r="E43" s="23" t="s">
        <v>23</v>
      </c>
      <c r="F43" s="23" t="s">
        <v>10</v>
      </c>
      <c r="G43" s="25" t="s">
        <v>184</v>
      </c>
      <c r="H43" s="23" t="s">
        <v>185</v>
      </c>
      <c r="I43" s="23" t="s">
        <v>26</v>
      </c>
      <c r="J43" s="23" t="s">
        <v>40</v>
      </c>
      <c r="K43" s="26" t="s">
        <v>28</v>
      </c>
      <c r="L43" s="23" t="s">
        <v>23</v>
      </c>
      <c r="M43" s="23" t="s">
        <v>10</v>
      </c>
      <c r="N43" s="28" t="s">
        <v>30</v>
      </c>
      <c r="O43" s="23" t="s">
        <v>30</v>
      </c>
      <c r="P43" s="28" t="s">
        <v>30</v>
      </c>
    </row>
    <row r="44">
      <c r="A44" s="23" t="s">
        <v>186</v>
      </c>
      <c r="B44" s="23" t="s">
        <v>187</v>
      </c>
      <c r="C44" s="23" t="s">
        <v>170</v>
      </c>
      <c r="D44" s="24" t="s">
        <v>22</v>
      </c>
      <c r="E44" s="23" t="s">
        <v>23</v>
      </c>
      <c r="F44" s="23" t="s">
        <v>10</v>
      </c>
      <c r="G44" s="25" t="s">
        <v>188</v>
      </c>
      <c r="H44" s="23" t="s">
        <v>189</v>
      </c>
      <c r="I44" s="23" t="s">
        <v>23</v>
      </c>
      <c r="J44" s="23" t="s">
        <v>178</v>
      </c>
      <c r="K44" s="26" t="s">
        <v>41</v>
      </c>
      <c r="L44" s="23" t="s">
        <v>23</v>
      </c>
      <c r="M44" s="23" t="s">
        <v>10</v>
      </c>
      <c r="N44" s="28" t="s">
        <v>30</v>
      </c>
      <c r="O44" s="23" t="s">
        <v>30</v>
      </c>
      <c r="P44" s="28" t="s">
        <v>30</v>
      </c>
    </row>
    <row r="45">
      <c r="A45" s="23" t="s">
        <v>190</v>
      </c>
      <c r="B45" s="23" t="s">
        <v>170</v>
      </c>
      <c r="C45" s="23" t="s">
        <v>187</v>
      </c>
      <c r="D45" s="24" t="s">
        <v>32</v>
      </c>
      <c r="E45" s="23" t="s">
        <v>26</v>
      </c>
      <c r="F45" s="23" t="s">
        <v>10</v>
      </c>
      <c r="G45" s="25" t="s">
        <v>191</v>
      </c>
      <c r="H45" s="23" t="s">
        <v>173</v>
      </c>
      <c r="I45" s="23" t="s">
        <v>26</v>
      </c>
      <c r="J45" s="23" t="s">
        <v>192</v>
      </c>
      <c r="K45" s="26" t="s">
        <v>70</v>
      </c>
      <c r="L45" s="23" t="s">
        <v>26</v>
      </c>
      <c r="M45" s="23" t="s">
        <v>10</v>
      </c>
      <c r="N45" s="28" t="s">
        <v>30</v>
      </c>
      <c r="O45" s="23" t="s">
        <v>30</v>
      </c>
      <c r="P45" s="28" t="s">
        <v>30</v>
      </c>
    </row>
    <row r="46">
      <c r="A46" s="23" t="s">
        <v>126</v>
      </c>
      <c r="B46" s="23" t="s">
        <v>127</v>
      </c>
      <c r="C46" s="23" t="s">
        <v>46</v>
      </c>
      <c r="D46" s="24" t="s">
        <v>22</v>
      </c>
      <c r="E46" s="23" t="s">
        <v>23</v>
      </c>
      <c r="F46" s="23" t="s">
        <v>10</v>
      </c>
      <c r="G46" s="25" t="s">
        <v>193</v>
      </c>
      <c r="H46" s="23" t="s">
        <v>129</v>
      </c>
      <c r="I46" s="23" t="s">
        <v>23</v>
      </c>
      <c r="J46" s="23" t="s">
        <v>130</v>
      </c>
      <c r="K46" s="26" t="s">
        <v>28</v>
      </c>
      <c r="L46" s="23" t="s">
        <v>23</v>
      </c>
      <c r="M46" s="23" t="s">
        <v>10</v>
      </c>
      <c r="N46" s="28" t="s">
        <v>30</v>
      </c>
      <c r="O46" s="23" t="s">
        <v>30</v>
      </c>
      <c r="P46" s="28" t="s">
        <v>30</v>
      </c>
    </row>
    <row r="47">
      <c r="A47" s="23" t="s">
        <v>131</v>
      </c>
      <c r="B47" s="23" t="s">
        <v>46</v>
      </c>
      <c r="C47" s="23" t="s">
        <v>127</v>
      </c>
      <c r="D47" s="24" t="s">
        <v>32</v>
      </c>
      <c r="E47" s="23" t="s">
        <v>26</v>
      </c>
      <c r="F47" s="23" t="s">
        <v>10</v>
      </c>
      <c r="G47" s="25" t="s">
        <v>132</v>
      </c>
      <c r="H47" s="23" t="s">
        <v>133</v>
      </c>
      <c r="I47" s="23" t="s">
        <v>26</v>
      </c>
      <c r="J47" s="23" t="s">
        <v>134</v>
      </c>
      <c r="K47" s="26" t="s">
        <v>34</v>
      </c>
      <c r="L47" s="23" t="s">
        <v>26</v>
      </c>
      <c r="M47" s="23" t="s">
        <v>10</v>
      </c>
      <c r="N47" s="28" t="s">
        <v>30</v>
      </c>
      <c r="O47" s="23" t="s">
        <v>30</v>
      </c>
      <c r="P47" s="28" t="s">
        <v>30</v>
      </c>
    </row>
    <row r="48">
      <c r="A48" s="23" t="s">
        <v>194</v>
      </c>
      <c r="B48" s="23" t="s">
        <v>155</v>
      </c>
      <c r="C48" s="23" t="s">
        <v>195</v>
      </c>
      <c r="D48" s="24" t="s">
        <v>32</v>
      </c>
      <c r="E48" s="23" t="s">
        <v>26</v>
      </c>
      <c r="F48" s="23" t="s">
        <v>10</v>
      </c>
      <c r="G48" s="25" t="s">
        <v>196</v>
      </c>
      <c r="H48" s="23" t="s">
        <v>150</v>
      </c>
      <c r="I48" s="23" t="s">
        <v>26</v>
      </c>
      <c r="J48" s="23" t="s">
        <v>197</v>
      </c>
      <c r="K48" s="26" t="s">
        <v>34</v>
      </c>
      <c r="L48" s="23" t="s">
        <v>26</v>
      </c>
      <c r="M48" s="23" t="s">
        <v>10</v>
      </c>
      <c r="N48" s="28" t="s">
        <v>30</v>
      </c>
      <c r="O48" s="23" t="s">
        <v>30</v>
      </c>
      <c r="P48" s="28" t="s">
        <v>30</v>
      </c>
    </row>
    <row r="49">
      <c r="A49" s="23" t="s">
        <v>198</v>
      </c>
      <c r="B49" s="23" t="s">
        <v>195</v>
      </c>
      <c r="C49" s="23" t="s">
        <v>155</v>
      </c>
      <c r="D49" s="24" t="s">
        <v>22</v>
      </c>
      <c r="E49" s="23" t="s">
        <v>23</v>
      </c>
      <c r="F49" s="23" t="s">
        <v>10</v>
      </c>
      <c r="G49" s="25" t="s">
        <v>199</v>
      </c>
      <c r="H49" s="23" t="s">
        <v>200</v>
      </c>
      <c r="I49" s="23" t="s">
        <v>23</v>
      </c>
      <c r="J49" s="23" t="s">
        <v>40</v>
      </c>
      <c r="K49" s="26" t="s">
        <v>28</v>
      </c>
      <c r="L49" s="23" t="s">
        <v>23</v>
      </c>
      <c r="M49" s="23" t="s">
        <v>10</v>
      </c>
      <c r="N49" s="28" t="s">
        <v>30</v>
      </c>
      <c r="O49" s="23" t="s">
        <v>30</v>
      </c>
      <c r="P49" s="28" t="s">
        <v>30</v>
      </c>
    </row>
    <row r="50">
      <c r="A50" s="23" t="s">
        <v>113</v>
      </c>
      <c r="B50" s="23" t="s">
        <v>114</v>
      </c>
      <c r="C50" s="23" t="s">
        <v>20</v>
      </c>
      <c r="D50" s="24" t="s">
        <v>32</v>
      </c>
      <c r="E50" s="23" t="s">
        <v>26</v>
      </c>
      <c r="F50" s="23" t="s">
        <v>10</v>
      </c>
      <c r="G50" s="25" t="s">
        <v>115</v>
      </c>
      <c r="H50" s="23" t="s">
        <v>116</v>
      </c>
      <c r="I50" s="23" t="s">
        <v>26</v>
      </c>
      <c r="J50" s="23" t="s">
        <v>25</v>
      </c>
      <c r="K50" s="26" t="s">
        <v>34</v>
      </c>
      <c r="L50" s="23" t="s">
        <v>26</v>
      </c>
      <c r="M50" s="23" t="s">
        <v>10</v>
      </c>
      <c r="N50" s="28" t="s">
        <v>30</v>
      </c>
      <c r="O50" s="23" t="s">
        <v>30</v>
      </c>
      <c r="P50" s="28" t="s">
        <v>30</v>
      </c>
    </row>
    <row r="51">
      <c r="A51" s="23" t="s">
        <v>117</v>
      </c>
      <c r="B51" s="23" t="s">
        <v>20</v>
      </c>
      <c r="C51" s="23" t="s">
        <v>114</v>
      </c>
      <c r="D51" s="24" t="s">
        <v>22</v>
      </c>
      <c r="E51" s="23" t="s">
        <v>23</v>
      </c>
      <c r="F51" s="23" t="s">
        <v>10</v>
      </c>
      <c r="G51" s="25" t="s">
        <v>118</v>
      </c>
      <c r="H51" s="23" t="s">
        <v>25</v>
      </c>
      <c r="I51" s="23" t="s">
        <v>26</v>
      </c>
      <c r="J51" s="23" t="s">
        <v>119</v>
      </c>
      <c r="K51" s="26" t="s">
        <v>28</v>
      </c>
      <c r="L51" s="23" t="s">
        <v>23</v>
      </c>
      <c r="M51" s="23" t="s">
        <v>10</v>
      </c>
      <c r="N51" s="28" t="s">
        <v>30</v>
      </c>
      <c r="O51" s="23" t="s">
        <v>30</v>
      </c>
      <c r="P51" s="28" t="s">
        <v>30</v>
      </c>
    </row>
    <row r="52">
      <c r="A52" s="23" t="s">
        <v>201</v>
      </c>
      <c r="B52" s="23" t="s">
        <v>36</v>
      </c>
      <c r="C52" s="23" t="s">
        <v>187</v>
      </c>
      <c r="D52" s="24" t="s">
        <v>32</v>
      </c>
      <c r="E52" s="23" t="s">
        <v>26</v>
      </c>
      <c r="F52" s="23" t="s">
        <v>10</v>
      </c>
      <c r="G52" s="25" t="s">
        <v>202</v>
      </c>
      <c r="H52" s="23" t="s">
        <v>39</v>
      </c>
      <c r="I52" s="23" t="s">
        <v>26</v>
      </c>
      <c r="J52" s="23" t="s">
        <v>192</v>
      </c>
      <c r="K52" s="26" t="s">
        <v>70</v>
      </c>
      <c r="L52" s="23" t="s">
        <v>26</v>
      </c>
      <c r="M52" s="23" t="s">
        <v>10</v>
      </c>
      <c r="N52" s="28" t="s">
        <v>30</v>
      </c>
      <c r="O52" s="23" t="s">
        <v>30</v>
      </c>
      <c r="P52" s="28" t="s">
        <v>30</v>
      </c>
    </row>
    <row r="53">
      <c r="A53" s="23" t="s">
        <v>203</v>
      </c>
      <c r="B53" s="23" t="s">
        <v>187</v>
      </c>
      <c r="C53" s="23" t="s">
        <v>36</v>
      </c>
      <c r="D53" s="24" t="s">
        <v>22</v>
      </c>
      <c r="E53" s="23" t="s">
        <v>23</v>
      </c>
      <c r="F53" s="23" t="s">
        <v>10</v>
      </c>
      <c r="G53" s="25" t="s">
        <v>204</v>
      </c>
      <c r="H53" s="23" t="s">
        <v>192</v>
      </c>
      <c r="I53" s="23" t="s">
        <v>26</v>
      </c>
      <c r="J53" s="23" t="s">
        <v>205</v>
      </c>
      <c r="K53" s="26" t="s">
        <v>41</v>
      </c>
      <c r="L53" s="23" t="s">
        <v>23</v>
      </c>
      <c r="M53" s="23" t="s">
        <v>10</v>
      </c>
      <c r="N53" s="28" t="s">
        <v>30</v>
      </c>
      <c r="O53" s="23" t="s">
        <v>30</v>
      </c>
      <c r="P53" s="28" t="s">
        <v>30</v>
      </c>
    </row>
    <row r="54">
      <c r="A54" s="23" t="s">
        <v>206</v>
      </c>
      <c r="B54" s="23" t="s">
        <v>88</v>
      </c>
      <c r="C54" s="23" t="s">
        <v>207</v>
      </c>
      <c r="D54" s="24" t="s">
        <v>32</v>
      </c>
      <c r="E54" s="23" t="s">
        <v>26</v>
      </c>
      <c r="F54" s="23" t="s">
        <v>10</v>
      </c>
      <c r="G54" s="25" t="s">
        <v>208</v>
      </c>
      <c r="H54" s="23" t="s">
        <v>90</v>
      </c>
      <c r="I54" s="23" t="s">
        <v>26</v>
      </c>
      <c r="J54" s="23" t="s">
        <v>209</v>
      </c>
      <c r="K54" s="26" t="s">
        <v>34</v>
      </c>
      <c r="L54" s="23" t="s">
        <v>26</v>
      </c>
      <c r="M54" s="23" t="s">
        <v>10</v>
      </c>
      <c r="N54" s="28" t="s">
        <v>30</v>
      </c>
      <c r="O54" s="23" t="s">
        <v>30</v>
      </c>
      <c r="P54" s="28" t="s">
        <v>30</v>
      </c>
    </row>
    <row r="55">
      <c r="A55" s="23" t="s">
        <v>210</v>
      </c>
      <c r="B55" s="23" t="s">
        <v>207</v>
      </c>
      <c r="C55" s="23" t="s">
        <v>88</v>
      </c>
      <c r="D55" s="24" t="s">
        <v>22</v>
      </c>
      <c r="E55" s="23" t="s">
        <v>23</v>
      </c>
      <c r="F55" s="23" t="s">
        <v>10</v>
      </c>
      <c r="G55" s="25" t="s">
        <v>211</v>
      </c>
      <c r="H55" s="23" t="s">
        <v>209</v>
      </c>
      <c r="I55" s="23" t="s">
        <v>26</v>
      </c>
      <c r="J55" s="23" t="s">
        <v>90</v>
      </c>
      <c r="K55" s="26" t="s">
        <v>41</v>
      </c>
      <c r="L55" s="23" t="s">
        <v>23</v>
      </c>
      <c r="M55" s="23" t="s">
        <v>10</v>
      </c>
      <c r="N55" s="28" t="s">
        <v>30</v>
      </c>
      <c r="O55" s="23" t="s">
        <v>30</v>
      </c>
      <c r="P55" s="28" t="s">
        <v>30</v>
      </c>
    </row>
    <row r="56">
      <c r="A56" s="23" t="s">
        <v>212</v>
      </c>
      <c r="B56" s="23" t="s">
        <v>213</v>
      </c>
      <c r="C56" s="23" t="s">
        <v>20</v>
      </c>
      <c r="D56" s="24" t="s">
        <v>32</v>
      </c>
      <c r="E56" s="23" t="s">
        <v>26</v>
      </c>
      <c r="F56" s="23" t="s">
        <v>10</v>
      </c>
      <c r="G56" s="25" t="s">
        <v>214</v>
      </c>
      <c r="H56" s="23" t="s">
        <v>215</v>
      </c>
      <c r="I56" s="23" t="s">
        <v>26</v>
      </c>
      <c r="J56" s="23" t="s">
        <v>25</v>
      </c>
      <c r="K56" s="26" t="s">
        <v>70</v>
      </c>
      <c r="L56" s="23" t="s">
        <v>26</v>
      </c>
      <c r="M56" s="23" t="s">
        <v>10</v>
      </c>
      <c r="N56" s="28" t="s">
        <v>30</v>
      </c>
      <c r="O56" s="23" t="s">
        <v>30</v>
      </c>
      <c r="P56" s="28" t="s">
        <v>30</v>
      </c>
    </row>
    <row r="57">
      <c r="A57" s="23" t="s">
        <v>216</v>
      </c>
      <c r="B57" s="23" t="s">
        <v>20</v>
      </c>
      <c r="C57" s="23" t="s">
        <v>213</v>
      </c>
      <c r="D57" s="24" t="s">
        <v>22</v>
      </c>
      <c r="E57" s="23" t="s">
        <v>23</v>
      </c>
      <c r="F57" s="23" t="s">
        <v>10</v>
      </c>
      <c r="G57" s="25" t="s">
        <v>217</v>
      </c>
      <c r="H57" s="23" t="s">
        <v>25</v>
      </c>
      <c r="I57" s="23" t="s">
        <v>26</v>
      </c>
      <c r="J57" s="23" t="s">
        <v>218</v>
      </c>
      <c r="K57" s="26" t="s">
        <v>28</v>
      </c>
      <c r="L57" s="23" t="s">
        <v>23</v>
      </c>
      <c r="M57" s="23" t="s">
        <v>10</v>
      </c>
      <c r="N57" s="28" t="s">
        <v>30</v>
      </c>
      <c r="O57" s="23" t="s">
        <v>30</v>
      </c>
      <c r="P57" s="28" t="s">
        <v>30</v>
      </c>
    </row>
    <row r="58">
      <c r="A58" s="23" t="s">
        <v>219</v>
      </c>
      <c r="B58" s="23" t="s">
        <v>220</v>
      </c>
      <c r="C58" s="23" t="s">
        <v>66</v>
      </c>
      <c r="D58" s="24" t="s">
        <v>32</v>
      </c>
      <c r="E58" s="23" t="s">
        <v>26</v>
      </c>
      <c r="F58" s="23" t="s">
        <v>10</v>
      </c>
      <c r="G58" s="25" t="s">
        <v>221</v>
      </c>
      <c r="H58" s="23" t="s">
        <v>222</v>
      </c>
      <c r="I58" s="23" t="s">
        <v>26</v>
      </c>
      <c r="J58" s="23" t="s">
        <v>69</v>
      </c>
      <c r="K58" s="26" t="s">
        <v>34</v>
      </c>
      <c r="L58" s="23" t="s">
        <v>26</v>
      </c>
      <c r="M58" s="23" t="s">
        <v>10</v>
      </c>
      <c r="N58" s="28" t="s">
        <v>30</v>
      </c>
      <c r="O58" s="23" t="s">
        <v>30</v>
      </c>
      <c r="P58" s="28" t="s">
        <v>30</v>
      </c>
    </row>
    <row r="59">
      <c r="A59" s="23" t="s">
        <v>223</v>
      </c>
      <c r="B59" s="23" t="s">
        <v>66</v>
      </c>
      <c r="C59" s="23" t="s">
        <v>220</v>
      </c>
      <c r="D59" s="24" t="s">
        <v>22</v>
      </c>
      <c r="E59" s="23" t="s">
        <v>23</v>
      </c>
      <c r="F59" s="23" t="s">
        <v>10</v>
      </c>
      <c r="G59" s="25" t="s">
        <v>224</v>
      </c>
      <c r="H59" s="23" t="s">
        <v>73</v>
      </c>
      <c r="I59" s="23" t="s">
        <v>23</v>
      </c>
      <c r="J59" s="23" t="s">
        <v>225</v>
      </c>
      <c r="K59" s="26" t="s">
        <v>28</v>
      </c>
      <c r="L59" s="23" t="s">
        <v>23</v>
      </c>
      <c r="M59" s="23" t="s">
        <v>10</v>
      </c>
      <c r="N59" s="28" t="s">
        <v>30</v>
      </c>
      <c r="O59" s="23" t="s">
        <v>30</v>
      </c>
      <c r="P59" s="28" t="s">
        <v>30</v>
      </c>
    </row>
    <row r="60">
      <c r="A60" s="23" t="s">
        <v>226</v>
      </c>
      <c r="B60" s="23" t="s">
        <v>213</v>
      </c>
      <c r="C60" s="23" t="s">
        <v>141</v>
      </c>
      <c r="D60" s="24" t="s">
        <v>32</v>
      </c>
      <c r="E60" s="23" t="s">
        <v>26</v>
      </c>
      <c r="F60" s="23" t="s">
        <v>10</v>
      </c>
      <c r="G60" s="25" t="s">
        <v>227</v>
      </c>
      <c r="H60" s="23" t="s">
        <v>215</v>
      </c>
      <c r="I60" s="23" t="s">
        <v>26</v>
      </c>
      <c r="J60" s="23" t="s">
        <v>143</v>
      </c>
      <c r="K60" s="26" t="s">
        <v>70</v>
      </c>
      <c r="L60" s="23" t="s">
        <v>26</v>
      </c>
      <c r="M60" s="23" t="s">
        <v>10</v>
      </c>
      <c r="N60" s="28" t="s">
        <v>30</v>
      </c>
      <c r="O60" s="23" t="s">
        <v>30</v>
      </c>
      <c r="P60" s="28" t="s">
        <v>30</v>
      </c>
    </row>
    <row r="61">
      <c r="A61" s="23" t="s">
        <v>228</v>
      </c>
      <c r="B61" s="23" t="s">
        <v>141</v>
      </c>
      <c r="C61" s="23" t="s">
        <v>213</v>
      </c>
      <c r="D61" s="24" t="s">
        <v>22</v>
      </c>
      <c r="E61" s="23" t="s">
        <v>23</v>
      </c>
      <c r="F61" s="23" t="s">
        <v>10</v>
      </c>
      <c r="G61" s="25" t="s">
        <v>229</v>
      </c>
      <c r="H61" s="23" t="s">
        <v>230</v>
      </c>
      <c r="I61" s="23" t="s">
        <v>23</v>
      </c>
      <c r="J61" s="23" t="s">
        <v>218</v>
      </c>
      <c r="K61" s="26" t="s">
        <v>41</v>
      </c>
      <c r="L61" s="23" t="s">
        <v>23</v>
      </c>
      <c r="M61" s="23" t="s">
        <v>10</v>
      </c>
      <c r="N61" s="28" t="s">
        <v>30</v>
      </c>
      <c r="O61" s="23" t="s">
        <v>30</v>
      </c>
      <c r="P61" s="28" t="s">
        <v>30</v>
      </c>
    </row>
    <row r="62">
      <c r="A62" s="23" t="s">
        <v>231</v>
      </c>
      <c r="B62" s="23" t="s">
        <v>66</v>
      </c>
      <c r="C62" s="23" t="s">
        <v>147</v>
      </c>
      <c r="D62" s="24" t="s">
        <v>22</v>
      </c>
      <c r="E62" s="23" t="s">
        <v>23</v>
      </c>
      <c r="F62" s="23" t="s">
        <v>10</v>
      </c>
      <c r="G62" s="25" t="s">
        <v>232</v>
      </c>
      <c r="H62" s="23" t="s">
        <v>69</v>
      </c>
      <c r="I62" s="23" t="s">
        <v>26</v>
      </c>
      <c r="J62" s="23" t="s">
        <v>153</v>
      </c>
      <c r="K62" s="26" t="s">
        <v>233</v>
      </c>
      <c r="L62" s="23" t="s">
        <v>23</v>
      </c>
      <c r="M62" s="23" t="s">
        <v>10</v>
      </c>
      <c r="N62" s="28" t="s">
        <v>30</v>
      </c>
      <c r="O62" s="23" t="s">
        <v>30</v>
      </c>
      <c r="P62" s="28" t="s">
        <v>30</v>
      </c>
    </row>
    <row r="63">
      <c r="A63" s="23" t="s">
        <v>234</v>
      </c>
      <c r="B63" s="23" t="s">
        <v>147</v>
      </c>
      <c r="C63" s="23" t="s">
        <v>66</v>
      </c>
      <c r="D63" s="24" t="s">
        <v>32</v>
      </c>
      <c r="E63" s="23" t="s">
        <v>26</v>
      </c>
      <c r="F63" s="23" t="s">
        <v>10</v>
      </c>
      <c r="G63" s="25" t="s">
        <v>235</v>
      </c>
      <c r="H63" s="23" t="s">
        <v>149</v>
      </c>
      <c r="I63" s="23" t="s">
        <v>26</v>
      </c>
      <c r="J63" s="23" t="s">
        <v>69</v>
      </c>
      <c r="K63" s="26" t="s">
        <v>34</v>
      </c>
      <c r="L63" s="23" t="s">
        <v>26</v>
      </c>
      <c r="M63" s="23" t="s">
        <v>10</v>
      </c>
      <c r="N63" s="28" t="s">
        <v>30</v>
      </c>
      <c r="O63" s="23" t="s">
        <v>30</v>
      </c>
      <c r="P63" s="28" t="s">
        <v>30</v>
      </c>
    </row>
    <row r="64">
      <c r="A64" s="23" t="s">
        <v>120</v>
      </c>
      <c r="B64" s="23" t="s">
        <v>21</v>
      </c>
      <c r="C64" s="23" t="s">
        <v>121</v>
      </c>
      <c r="D64" s="24" t="s">
        <v>32</v>
      </c>
      <c r="E64" s="23" t="s">
        <v>26</v>
      </c>
      <c r="F64" s="23" t="s">
        <v>10</v>
      </c>
      <c r="G64" s="25" t="s">
        <v>122</v>
      </c>
      <c r="H64" s="23" t="s">
        <v>27</v>
      </c>
      <c r="I64" s="23" t="s">
        <v>26</v>
      </c>
      <c r="J64" s="23" t="s">
        <v>123</v>
      </c>
      <c r="K64" s="26" t="s">
        <v>70</v>
      </c>
      <c r="L64" s="23" t="s">
        <v>26</v>
      </c>
      <c r="M64" s="23" t="s">
        <v>10</v>
      </c>
      <c r="N64" s="28" t="s">
        <v>30</v>
      </c>
      <c r="O64" s="23" t="s">
        <v>30</v>
      </c>
      <c r="P64" s="28" t="s">
        <v>30</v>
      </c>
    </row>
    <row r="65">
      <c r="A65" s="23" t="s">
        <v>124</v>
      </c>
      <c r="B65" s="23" t="s">
        <v>121</v>
      </c>
      <c r="C65" s="23" t="s">
        <v>21</v>
      </c>
      <c r="D65" s="24" t="s">
        <v>22</v>
      </c>
      <c r="E65" s="23" t="s">
        <v>23</v>
      </c>
      <c r="F65" s="23" t="s">
        <v>10</v>
      </c>
      <c r="G65" s="25" t="s">
        <v>125</v>
      </c>
      <c r="H65" s="23" t="s">
        <v>123</v>
      </c>
      <c r="I65" s="23" t="s">
        <v>26</v>
      </c>
      <c r="J65" s="23" t="s">
        <v>86</v>
      </c>
      <c r="K65" s="26" t="s">
        <v>41</v>
      </c>
      <c r="L65" s="23" t="s">
        <v>23</v>
      </c>
      <c r="M65" s="23" t="s">
        <v>10</v>
      </c>
      <c r="N65" s="28" t="s">
        <v>30</v>
      </c>
      <c r="O65" s="23" t="s">
        <v>30</v>
      </c>
      <c r="P65" s="28" t="s">
        <v>30</v>
      </c>
    </row>
    <row r="66">
      <c r="A66" s="23" t="s">
        <v>236</v>
      </c>
      <c r="B66" s="23" t="s">
        <v>114</v>
      </c>
      <c r="C66" s="23" t="s">
        <v>121</v>
      </c>
      <c r="D66" s="24" t="s">
        <v>32</v>
      </c>
      <c r="E66" s="23" t="s">
        <v>26</v>
      </c>
      <c r="F66" s="23" t="s">
        <v>10</v>
      </c>
      <c r="G66" s="25" t="s">
        <v>237</v>
      </c>
      <c r="H66" s="23" t="s">
        <v>116</v>
      </c>
      <c r="I66" s="23" t="s">
        <v>26</v>
      </c>
      <c r="J66" s="23" t="s">
        <v>123</v>
      </c>
      <c r="K66" s="26" t="s">
        <v>34</v>
      </c>
      <c r="L66" s="23" t="s">
        <v>26</v>
      </c>
      <c r="M66" s="23" t="s">
        <v>10</v>
      </c>
      <c r="N66" s="28" t="s">
        <v>30</v>
      </c>
      <c r="O66" s="23" t="s">
        <v>30</v>
      </c>
      <c r="P66" s="28" t="s">
        <v>30</v>
      </c>
    </row>
    <row r="67">
      <c r="A67" s="23" t="s">
        <v>238</v>
      </c>
      <c r="B67" s="23" t="s">
        <v>121</v>
      </c>
      <c r="C67" s="23" t="s">
        <v>114</v>
      </c>
      <c r="D67" s="24" t="s">
        <v>22</v>
      </c>
      <c r="E67" s="23" t="s">
        <v>23</v>
      </c>
      <c r="F67" s="23" t="s">
        <v>10</v>
      </c>
      <c r="G67" s="25" t="s">
        <v>239</v>
      </c>
      <c r="H67" s="23" t="s">
        <v>123</v>
      </c>
      <c r="I67" s="23" t="s">
        <v>26</v>
      </c>
      <c r="J67" s="23" t="s">
        <v>119</v>
      </c>
      <c r="K67" s="26" t="s">
        <v>28</v>
      </c>
      <c r="L67" s="23" t="s">
        <v>23</v>
      </c>
      <c r="M67" s="23" t="s">
        <v>10</v>
      </c>
      <c r="N67" s="28" t="s">
        <v>30</v>
      </c>
      <c r="O67" s="23" t="s">
        <v>30</v>
      </c>
      <c r="P67" s="28" t="s">
        <v>30</v>
      </c>
    </row>
    <row r="68">
      <c r="A68" s="23" t="s">
        <v>240</v>
      </c>
      <c r="B68" s="23" t="s">
        <v>36</v>
      </c>
      <c r="C68" s="23" t="s">
        <v>171</v>
      </c>
      <c r="D68" s="24" t="s">
        <v>32</v>
      </c>
      <c r="E68" s="23" t="s">
        <v>26</v>
      </c>
      <c r="F68" s="23" t="s">
        <v>10</v>
      </c>
      <c r="G68" s="25" t="s">
        <v>241</v>
      </c>
      <c r="H68" s="23" t="s">
        <v>39</v>
      </c>
      <c r="I68" s="23" t="s">
        <v>26</v>
      </c>
      <c r="J68" s="23" t="s">
        <v>174</v>
      </c>
      <c r="K68" s="26" t="s">
        <v>70</v>
      </c>
      <c r="L68" s="23" t="s">
        <v>26</v>
      </c>
      <c r="M68" s="23" t="s">
        <v>10</v>
      </c>
      <c r="N68" s="28" t="s">
        <v>30</v>
      </c>
      <c r="O68" s="23" t="s">
        <v>30</v>
      </c>
      <c r="P68" s="28" t="s">
        <v>30</v>
      </c>
    </row>
    <row r="69">
      <c r="A69" s="23" t="s">
        <v>242</v>
      </c>
      <c r="B69" s="23" t="s">
        <v>171</v>
      </c>
      <c r="C69" s="23" t="s">
        <v>36</v>
      </c>
      <c r="D69" s="24" t="s">
        <v>22</v>
      </c>
      <c r="E69" s="23" t="s">
        <v>23</v>
      </c>
      <c r="F69" s="23" t="s">
        <v>10</v>
      </c>
      <c r="G69" s="25" t="s">
        <v>243</v>
      </c>
      <c r="H69" s="23" t="s">
        <v>177</v>
      </c>
      <c r="I69" s="23" t="s">
        <v>23</v>
      </c>
      <c r="J69" s="23" t="s">
        <v>205</v>
      </c>
      <c r="K69" s="26" t="s">
        <v>41</v>
      </c>
      <c r="L69" s="23" t="s">
        <v>23</v>
      </c>
      <c r="M69" s="23" t="s">
        <v>10</v>
      </c>
      <c r="N69" s="28" t="s">
        <v>30</v>
      </c>
      <c r="O69" s="23" t="s">
        <v>30</v>
      </c>
      <c r="P69" s="28" t="s">
        <v>30</v>
      </c>
    </row>
    <row r="70">
      <c r="A70" s="23" t="s">
        <v>244</v>
      </c>
      <c r="B70" s="23" t="s">
        <v>94</v>
      </c>
      <c r="C70" s="23" t="s">
        <v>65</v>
      </c>
      <c r="D70" s="24" t="s">
        <v>22</v>
      </c>
      <c r="E70" s="23" t="s">
        <v>23</v>
      </c>
      <c r="F70" s="23" t="s">
        <v>10</v>
      </c>
      <c r="G70" s="25" t="s">
        <v>245</v>
      </c>
      <c r="H70" s="23" t="s">
        <v>97</v>
      </c>
      <c r="I70" s="23" t="s">
        <v>26</v>
      </c>
      <c r="J70" s="23" t="s">
        <v>74</v>
      </c>
      <c r="K70" s="26" t="s">
        <v>41</v>
      </c>
      <c r="L70" s="23" t="s">
        <v>23</v>
      </c>
      <c r="M70" s="23" t="s">
        <v>10</v>
      </c>
      <c r="N70" s="28" t="s">
        <v>30</v>
      </c>
      <c r="O70" s="23" t="s">
        <v>30</v>
      </c>
      <c r="P70" s="28" t="s">
        <v>30</v>
      </c>
    </row>
    <row r="71">
      <c r="A71" s="23" t="s">
        <v>246</v>
      </c>
      <c r="B71" s="31" t="s">
        <v>65</v>
      </c>
      <c r="C71" s="31" t="s">
        <v>94</v>
      </c>
      <c r="D71" s="32" t="s">
        <v>32</v>
      </c>
      <c r="E71" s="31" t="s">
        <v>26</v>
      </c>
      <c r="F71" s="31" t="s">
        <v>10</v>
      </c>
      <c r="G71" s="25" t="s">
        <v>247</v>
      </c>
      <c r="H71" s="23" t="s">
        <v>68</v>
      </c>
      <c r="I71" s="23" t="s">
        <v>26</v>
      </c>
      <c r="J71" s="23" t="s">
        <v>97</v>
      </c>
      <c r="K71" s="26" t="s">
        <v>34</v>
      </c>
      <c r="L71" s="23" t="s">
        <v>26</v>
      </c>
      <c r="M71" s="23" t="s">
        <v>10</v>
      </c>
      <c r="N71" s="28" t="s">
        <v>30</v>
      </c>
      <c r="O71" s="23" t="s">
        <v>30</v>
      </c>
      <c r="P71" s="28" t="s">
        <v>30</v>
      </c>
    </row>
    <row r="72">
      <c r="A72" s="23" t="s">
        <v>248</v>
      </c>
      <c r="B72" s="23" t="s">
        <v>88</v>
      </c>
      <c r="C72" s="23" t="s">
        <v>195</v>
      </c>
      <c r="D72" s="24" t="s">
        <v>32</v>
      </c>
      <c r="E72" s="23" t="s">
        <v>26</v>
      </c>
      <c r="F72" s="33" t="s">
        <v>10</v>
      </c>
      <c r="G72" s="25" t="s">
        <v>249</v>
      </c>
      <c r="H72" s="23" t="s">
        <v>90</v>
      </c>
      <c r="I72" s="23" t="s">
        <v>26</v>
      </c>
      <c r="J72" s="23" t="s">
        <v>197</v>
      </c>
      <c r="K72" s="26" t="s">
        <v>34</v>
      </c>
      <c r="L72" s="23" t="s">
        <v>26</v>
      </c>
      <c r="M72" s="23" t="s">
        <v>10</v>
      </c>
      <c r="N72" s="28" t="s">
        <v>30</v>
      </c>
      <c r="O72" s="23" t="s">
        <v>30</v>
      </c>
      <c r="P72" s="28" t="s">
        <v>30</v>
      </c>
    </row>
    <row r="73">
      <c r="A73" s="23" t="s">
        <v>250</v>
      </c>
      <c r="B73" s="23" t="s">
        <v>195</v>
      </c>
      <c r="C73" s="23" t="s">
        <v>88</v>
      </c>
      <c r="D73" s="24" t="s">
        <v>22</v>
      </c>
      <c r="E73" s="23" t="s">
        <v>23</v>
      </c>
      <c r="F73" s="23" t="s">
        <v>10</v>
      </c>
      <c r="G73" s="25" t="s">
        <v>251</v>
      </c>
      <c r="H73" s="23" t="s">
        <v>200</v>
      </c>
      <c r="I73" s="23" t="s">
        <v>23</v>
      </c>
      <c r="J73" s="23" t="s">
        <v>90</v>
      </c>
      <c r="K73" s="26" t="s">
        <v>28</v>
      </c>
      <c r="L73" s="23" t="s">
        <v>23</v>
      </c>
      <c r="M73" s="23" t="s">
        <v>10</v>
      </c>
      <c r="N73" s="28" t="s">
        <v>30</v>
      </c>
      <c r="O73" s="23" t="s">
        <v>30</v>
      </c>
      <c r="P73" s="28" t="s">
        <v>30</v>
      </c>
    </row>
    <row r="74">
      <c r="A74" s="23" t="s">
        <v>252</v>
      </c>
      <c r="B74" s="23" t="s">
        <v>195</v>
      </c>
      <c r="C74" s="23" t="s">
        <v>21</v>
      </c>
      <c r="D74" s="24" t="s">
        <v>22</v>
      </c>
      <c r="E74" s="23" t="s">
        <v>23</v>
      </c>
      <c r="F74" s="23" t="s">
        <v>10</v>
      </c>
      <c r="G74" s="25" t="s">
        <v>253</v>
      </c>
      <c r="H74" s="23" t="s">
        <v>197</v>
      </c>
      <c r="I74" s="23" t="s">
        <v>26</v>
      </c>
      <c r="J74" s="23" t="s">
        <v>86</v>
      </c>
      <c r="K74" s="26" t="s">
        <v>254</v>
      </c>
      <c r="L74" s="23" t="s">
        <v>23</v>
      </c>
      <c r="M74" s="23" t="s">
        <v>10</v>
      </c>
      <c r="N74" s="28" t="s">
        <v>30</v>
      </c>
      <c r="O74" s="23" t="s">
        <v>30</v>
      </c>
      <c r="P74" s="28" t="s">
        <v>30</v>
      </c>
    </row>
    <row r="75">
      <c r="A75" s="23" t="s">
        <v>255</v>
      </c>
      <c r="B75" s="23" t="s">
        <v>21</v>
      </c>
      <c r="C75" s="23" t="s">
        <v>195</v>
      </c>
      <c r="D75" s="24" t="s">
        <v>32</v>
      </c>
      <c r="E75" s="23" t="s">
        <v>26</v>
      </c>
      <c r="F75" s="23" t="s">
        <v>10</v>
      </c>
      <c r="G75" s="25" t="s">
        <v>256</v>
      </c>
      <c r="H75" s="23" t="s">
        <v>86</v>
      </c>
      <c r="I75" s="23" t="s">
        <v>23</v>
      </c>
      <c r="J75" s="23" t="s">
        <v>197</v>
      </c>
      <c r="K75" s="26" t="s">
        <v>34</v>
      </c>
      <c r="L75" s="23" t="s">
        <v>26</v>
      </c>
      <c r="M75" s="23" t="s">
        <v>10</v>
      </c>
      <c r="N75" s="28" t="s">
        <v>30</v>
      </c>
      <c r="O75" s="23" t="s">
        <v>30</v>
      </c>
      <c r="P75" s="28" t="s">
        <v>30</v>
      </c>
    </row>
    <row r="76">
      <c r="A76" s="23" t="s">
        <v>257</v>
      </c>
      <c r="B76" s="23" t="s">
        <v>36</v>
      </c>
      <c r="C76" s="23" t="s">
        <v>180</v>
      </c>
      <c r="D76" s="24" t="s">
        <v>32</v>
      </c>
      <c r="E76" s="23" t="s">
        <v>26</v>
      </c>
      <c r="F76" s="23" t="s">
        <v>10</v>
      </c>
      <c r="G76" s="25" t="s">
        <v>258</v>
      </c>
      <c r="H76" s="23" t="s">
        <v>39</v>
      </c>
      <c r="I76" s="23" t="s">
        <v>26</v>
      </c>
      <c r="J76" s="23" t="s">
        <v>182</v>
      </c>
      <c r="K76" s="26" t="s">
        <v>70</v>
      </c>
      <c r="L76" s="23" t="s">
        <v>26</v>
      </c>
      <c r="M76" s="23" t="s">
        <v>10</v>
      </c>
      <c r="N76" s="28" t="s">
        <v>30</v>
      </c>
      <c r="O76" s="23" t="s">
        <v>30</v>
      </c>
      <c r="P76" s="28" t="s">
        <v>30</v>
      </c>
    </row>
    <row r="77">
      <c r="A77" s="23" t="s">
        <v>259</v>
      </c>
      <c r="B77" s="23" t="s">
        <v>180</v>
      </c>
      <c r="C77" s="23" t="s">
        <v>36</v>
      </c>
      <c r="D77" s="24" t="s">
        <v>22</v>
      </c>
      <c r="E77" s="23" t="s">
        <v>23</v>
      </c>
      <c r="F77" s="23" t="s">
        <v>10</v>
      </c>
      <c r="G77" s="25" t="s">
        <v>260</v>
      </c>
      <c r="H77" s="23" t="s">
        <v>185</v>
      </c>
      <c r="I77" s="23" t="s">
        <v>26</v>
      </c>
      <c r="J77" s="23" t="s">
        <v>205</v>
      </c>
      <c r="K77" s="26" t="s">
        <v>41</v>
      </c>
      <c r="L77" s="23" t="s">
        <v>23</v>
      </c>
      <c r="M77" s="23" t="s">
        <v>10</v>
      </c>
      <c r="N77" s="28" t="s">
        <v>30</v>
      </c>
      <c r="O77" s="23" t="s">
        <v>30</v>
      </c>
      <c r="P77" s="28" t="s">
        <v>30</v>
      </c>
    </row>
    <row r="78">
      <c r="A78" s="23" t="s">
        <v>261</v>
      </c>
      <c r="B78" s="23" t="s">
        <v>262</v>
      </c>
      <c r="C78" s="23" t="s">
        <v>88</v>
      </c>
      <c r="D78" s="24" t="s">
        <v>22</v>
      </c>
      <c r="E78" s="23" t="s">
        <v>23</v>
      </c>
      <c r="F78" s="23" t="s">
        <v>10</v>
      </c>
      <c r="G78" s="25" t="s">
        <v>263</v>
      </c>
      <c r="H78" s="23" t="s">
        <v>264</v>
      </c>
      <c r="I78" s="23" t="s">
        <v>26</v>
      </c>
      <c r="J78" s="23" t="s">
        <v>90</v>
      </c>
      <c r="K78" s="26" t="s">
        <v>41</v>
      </c>
      <c r="L78" s="23" t="s">
        <v>23</v>
      </c>
      <c r="M78" s="23" t="s">
        <v>10</v>
      </c>
      <c r="N78" s="28" t="s">
        <v>30</v>
      </c>
      <c r="O78" s="23" t="s">
        <v>30</v>
      </c>
      <c r="P78" s="28" t="s">
        <v>30</v>
      </c>
    </row>
    <row r="79">
      <c r="A79" s="23" t="s">
        <v>265</v>
      </c>
      <c r="B79" s="23" t="s">
        <v>88</v>
      </c>
      <c r="C79" s="23" t="s">
        <v>262</v>
      </c>
      <c r="D79" s="24" t="s">
        <v>32</v>
      </c>
      <c r="E79" s="23" t="s">
        <v>26</v>
      </c>
      <c r="F79" s="23" t="s">
        <v>10</v>
      </c>
      <c r="G79" s="25" t="s">
        <v>266</v>
      </c>
      <c r="H79" s="23" t="s">
        <v>90</v>
      </c>
      <c r="I79" s="27" t="s">
        <v>23</v>
      </c>
      <c r="J79" s="23" t="s">
        <v>264</v>
      </c>
      <c r="K79" s="26" t="s">
        <v>34</v>
      </c>
      <c r="L79" s="23" t="s">
        <v>26</v>
      </c>
      <c r="M79" s="23" t="s">
        <v>10</v>
      </c>
      <c r="N79" s="28" t="s">
        <v>30</v>
      </c>
      <c r="O79" s="23" t="s">
        <v>30</v>
      </c>
      <c r="P79" s="28" t="s">
        <v>30</v>
      </c>
    </row>
    <row r="80">
      <c r="A80" s="23" t="s">
        <v>267</v>
      </c>
      <c r="B80" s="23" t="s">
        <v>213</v>
      </c>
      <c r="C80" s="23" t="s">
        <v>268</v>
      </c>
      <c r="D80" s="24" t="s">
        <v>32</v>
      </c>
      <c r="E80" s="23" t="s">
        <v>26</v>
      </c>
      <c r="F80" s="23" t="s">
        <v>10</v>
      </c>
      <c r="G80" s="25" t="s">
        <v>269</v>
      </c>
      <c r="H80" s="23" t="s">
        <v>215</v>
      </c>
      <c r="I80" s="23" t="s">
        <v>26</v>
      </c>
      <c r="J80" s="23" t="s">
        <v>270</v>
      </c>
      <c r="K80" s="26" t="s">
        <v>34</v>
      </c>
      <c r="L80" s="23" t="s">
        <v>26</v>
      </c>
      <c r="M80" s="23" t="s">
        <v>10</v>
      </c>
      <c r="N80" s="28" t="s">
        <v>30</v>
      </c>
      <c r="O80" s="23" t="s">
        <v>30</v>
      </c>
      <c r="P80" s="28" t="s">
        <v>30</v>
      </c>
    </row>
    <row r="81">
      <c r="A81" s="23" t="s">
        <v>271</v>
      </c>
      <c r="B81" s="23" t="s">
        <v>268</v>
      </c>
      <c r="C81" s="23" t="s">
        <v>213</v>
      </c>
      <c r="D81" s="24" t="s">
        <v>22</v>
      </c>
      <c r="E81" s="23" t="s">
        <v>23</v>
      </c>
      <c r="F81" s="23" t="s">
        <v>10</v>
      </c>
      <c r="G81" s="25" t="s">
        <v>272</v>
      </c>
      <c r="H81" s="23" t="s">
        <v>273</v>
      </c>
      <c r="I81" s="23" t="s">
        <v>23</v>
      </c>
      <c r="J81" s="23" t="s">
        <v>218</v>
      </c>
      <c r="K81" s="26" t="s">
        <v>28</v>
      </c>
      <c r="L81" s="23" t="s">
        <v>23</v>
      </c>
      <c r="M81" s="23" t="s">
        <v>10</v>
      </c>
      <c r="N81" s="28" t="s">
        <v>30</v>
      </c>
      <c r="O81" s="23" t="s">
        <v>30</v>
      </c>
      <c r="P81" s="28" t="s">
        <v>30</v>
      </c>
    </row>
    <row r="82">
      <c r="A82" s="23" t="s">
        <v>274</v>
      </c>
      <c r="B82" s="23" t="s">
        <v>275</v>
      </c>
      <c r="C82" s="23" t="s">
        <v>276</v>
      </c>
      <c r="D82" s="24" t="s">
        <v>32</v>
      </c>
      <c r="E82" s="23" t="s">
        <v>26</v>
      </c>
      <c r="F82" s="23" t="s">
        <v>10</v>
      </c>
      <c r="G82" s="25" t="s">
        <v>277</v>
      </c>
      <c r="H82" s="23" t="s">
        <v>278</v>
      </c>
      <c r="I82" s="23" t="s">
        <v>26</v>
      </c>
      <c r="J82" s="23" t="s">
        <v>279</v>
      </c>
      <c r="K82" s="26" t="s">
        <v>34</v>
      </c>
      <c r="L82" s="23" t="s">
        <v>26</v>
      </c>
      <c r="M82" s="23" t="s">
        <v>10</v>
      </c>
      <c r="N82" s="28" t="s">
        <v>30</v>
      </c>
      <c r="O82" s="23" t="s">
        <v>30</v>
      </c>
      <c r="P82" s="28" t="s">
        <v>30</v>
      </c>
    </row>
    <row r="83">
      <c r="A83" s="23" t="s">
        <v>280</v>
      </c>
      <c r="B83" s="23" t="s">
        <v>276</v>
      </c>
      <c r="C83" s="23" t="s">
        <v>275</v>
      </c>
      <c r="D83" s="24" t="s">
        <v>22</v>
      </c>
      <c r="E83" s="23" t="s">
        <v>23</v>
      </c>
      <c r="F83" s="23" t="s">
        <v>10</v>
      </c>
      <c r="G83" s="25" t="s">
        <v>281</v>
      </c>
      <c r="H83" s="23" t="s">
        <v>282</v>
      </c>
      <c r="I83" s="23" t="s">
        <v>23</v>
      </c>
      <c r="J83" s="23" t="s">
        <v>283</v>
      </c>
      <c r="K83" s="26" t="s">
        <v>41</v>
      </c>
      <c r="L83" s="23" t="s">
        <v>23</v>
      </c>
      <c r="M83" s="23" t="s">
        <v>10</v>
      </c>
      <c r="N83" s="28" t="s">
        <v>30</v>
      </c>
      <c r="O83" s="23" t="s">
        <v>30</v>
      </c>
      <c r="P83" s="28" t="s">
        <v>30</v>
      </c>
    </row>
    <row r="84">
      <c r="A84" s="23" t="s">
        <v>284</v>
      </c>
      <c r="B84" s="23" t="s">
        <v>171</v>
      </c>
      <c r="C84" s="23" t="s">
        <v>275</v>
      </c>
      <c r="D84" s="24" t="s">
        <v>22</v>
      </c>
      <c r="E84" s="23" t="s">
        <v>23</v>
      </c>
      <c r="F84" s="23" t="s">
        <v>10</v>
      </c>
      <c r="G84" s="25" t="s">
        <v>285</v>
      </c>
      <c r="H84" s="23" t="s">
        <v>174</v>
      </c>
      <c r="I84" s="23" t="s">
        <v>26</v>
      </c>
      <c r="J84" s="23" t="s">
        <v>283</v>
      </c>
      <c r="K84" s="26" t="s">
        <v>28</v>
      </c>
      <c r="L84" s="23" t="s">
        <v>23</v>
      </c>
      <c r="M84" s="23" t="s">
        <v>10</v>
      </c>
      <c r="N84" s="28" t="s">
        <v>30</v>
      </c>
      <c r="O84" s="23" t="s">
        <v>30</v>
      </c>
      <c r="P84" s="28" t="s">
        <v>30</v>
      </c>
    </row>
    <row r="85">
      <c r="A85" s="23" t="s">
        <v>286</v>
      </c>
      <c r="B85" s="23" t="s">
        <v>275</v>
      </c>
      <c r="C85" s="23" t="s">
        <v>171</v>
      </c>
      <c r="D85" s="24" t="s">
        <v>32</v>
      </c>
      <c r="E85" s="23" t="s">
        <v>26</v>
      </c>
      <c r="F85" s="23" t="s">
        <v>10</v>
      </c>
      <c r="G85" s="25" t="s">
        <v>287</v>
      </c>
      <c r="H85" s="23" t="s">
        <v>283</v>
      </c>
      <c r="I85" s="23" t="s">
        <v>23</v>
      </c>
      <c r="J85" s="23" t="s">
        <v>174</v>
      </c>
      <c r="K85" s="26" t="s">
        <v>70</v>
      </c>
      <c r="L85" s="23" t="s">
        <v>26</v>
      </c>
      <c r="M85" s="23" t="s">
        <v>10</v>
      </c>
      <c r="N85" s="28" t="s">
        <v>30</v>
      </c>
      <c r="O85" s="23" t="s">
        <v>30</v>
      </c>
      <c r="P85" s="28" t="s">
        <v>30</v>
      </c>
    </row>
    <row r="86">
      <c r="A86" s="23" t="s">
        <v>288</v>
      </c>
      <c r="B86" s="23" t="s">
        <v>95</v>
      </c>
      <c r="C86" s="23" t="s">
        <v>127</v>
      </c>
      <c r="D86" s="24" t="s">
        <v>32</v>
      </c>
      <c r="E86" s="23" t="s">
        <v>26</v>
      </c>
      <c r="F86" s="23" t="s">
        <v>10</v>
      </c>
      <c r="G86" s="25" t="s">
        <v>289</v>
      </c>
      <c r="H86" s="23" t="s">
        <v>101</v>
      </c>
      <c r="I86" s="23" t="s">
        <v>26</v>
      </c>
      <c r="J86" s="23" t="s">
        <v>290</v>
      </c>
      <c r="K86" s="26" t="s">
        <v>70</v>
      </c>
      <c r="L86" s="23" t="s">
        <v>26</v>
      </c>
      <c r="M86" s="23" t="s">
        <v>10</v>
      </c>
      <c r="N86" s="28" t="s">
        <v>30</v>
      </c>
      <c r="O86" s="23" t="s">
        <v>30</v>
      </c>
      <c r="P86" s="28" t="s">
        <v>30</v>
      </c>
    </row>
    <row r="87">
      <c r="A87" s="23" t="s">
        <v>291</v>
      </c>
      <c r="B87" s="23" t="s">
        <v>127</v>
      </c>
      <c r="C87" s="23" t="s">
        <v>95</v>
      </c>
      <c r="D87" s="24" t="s">
        <v>22</v>
      </c>
      <c r="E87" s="23" t="s">
        <v>23</v>
      </c>
      <c r="F87" s="23" t="s">
        <v>10</v>
      </c>
      <c r="G87" s="25" t="s">
        <v>292</v>
      </c>
      <c r="H87" s="23" t="s">
        <v>293</v>
      </c>
      <c r="I87" s="23" t="s">
        <v>23</v>
      </c>
      <c r="J87" s="27" t="s">
        <v>294</v>
      </c>
      <c r="K87" s="26" t="s">
        <v>41</v>
      </c>
      <c r="L87" s="23" t="s">
        <v>23</v>
      </c>
      <c r="M87" s="23" t="s">
        <v>10</v>
      </c>
      <c r="N87" s="28" t="s">
        <v>30</v>
      </c>
      <c r="O87" s="23" t="s">
        <v>30</v>
      </c>
      <c r="P87" s="28" t="s">
        <v>30</v>
      </c>
    </row>
    <row r="88">
      <c r="A88" s="23" t="s">
        <v>295</v>
      </c>
      <c r="B88" s="23" t="s">
        <v>296</v>
      </c>
      <c r="C88" s="23" t="s">
        <v>20</v>
      </c>
      <c r="D88" s="24" t="s">
        <v>32</v>
      </c>
      <c r="E88" s="23" t="s">
        <v>26</v>
      </c>
      <c r="F88" s="23" t="s">
        <v>10</v>
      </c>
      <c r="G88" s="25" t="s">
        <v>297</v>
      </c>
      <c r="H88" s="23" t="s">
        <v>298</v>
      </c>
      <c r="I88" s="23" t="s">
        <v>26</v>
      </c>
      <c r="J88" s="23" t="s">
        <v>25</v>
      </c>
      <c r="K88" s="26" t="s">
        <v>70</v>
      </c>
      <c r="L88" s="23" t="s">
        <v>26</v>
      </c>
      <c r="M88" s="23" t="s">
        <v>10</v>
      </c>
      <c r="N88" s="28" t="s">
        <v>30</v>
      </c>
      <c r="O88" s="23" t="s">
        <v>30</v>
      </c>
      <c r="P88" s="28" t="s">
        <v>30</v>
      </c>
    </row>
    <row r="89">
      <c r="A89" s="23" t="s">
        <v>299</v>
      </c>
      <c r="B89" s="23" t="s">
        <v>20</v>
      </c>
      <c r="C89" s="23" t="s">
        <v>300</v>
      </c>
      <c r="D89" s="24" t="s">
        <v>22</v>
      </c>
      <c r="E89" s="23" t="s">
        <v>23</v>
      </c>
      <c r="F89" s="23" t="s">
        <v>10</v>
      </c>
      <c r="G89" s="25" t="s">
        <v>301</v>
      </c>
      <c r="H89" s="23" t="s">
        <v>25</v>
      </c>
      <c r="I89" s="23" t="s">
        <v>26</v>
      </c>
      <c r="J89" s="23" t="s">
        <v>302</v>
      </c>
      <c r="K89" s="26" t="s">
        <v>41</v>
      </c>
      <c r="L89" s="23" t="s">
        <v>23</v>
      </c>
      <c r="M89" s="23" t="s">
        <v>10</v>
      </c>
      <c r="N89" s="28" t="s">
        <v>30</v>
      </c>
      <c r="O89" s="23" t="s">
        <v>30</v>
      </c>
      <c r="P89" s="28" t="s">
        <v>30</v>
      </c>
    </row>
    <row r="90">
      <c r="A90" s="23" t="s">
        <v>303</v>
      </c>
      <c r="B90" s="23" t="s">
        <v>155</v>
      </c>
      <c r="C90" s="23" t="s">
        <v>262</v>
      </c>
      <c r="D90" s="24" t="s">
        <v>32</v>
      </c>
      <c r="E90" s="23" t="s">
        <v>26</v>
      </c>
      <c r="F90" s="23" t="s">
        <v>10</v>
      </c>
      <c r="G90" s="25" t="s">
        <v>304</v>
      </c>
      <c r="H90" s="23" t="s">
        <v>150</v>
      </c>
      <c r="I90" s="23" t="s">
        <v>26</v>
      </c>
      <c r="J90" s="23" t="s">
        <v>264</v>
      </c>
      <c r="K90" s="26" t="s">
        <v>70</v>
      </c>
      <c r="L90" s="23" t="s">
        <v>26</v>
      </c>
      <c r="M90" s="23" t="s">
        <v>10</v>
      </c>
      <c r="N90" s="28" t="s">
        <v>30</v>
      </c>
      <c r="O90" s="23" t="s">
        <v>30</v>
      </c>
      <c r="P90" s="28" t="s">
        <v>30</v>
      </c>
    </row>
    <row r="91">
      <c r="A91" s="23" t="s">
        <v>305</v>
      </c>
      <c r="B91" s="23" t="s">
        <v>262</v>
      </c>
      <c r="C91" s="23" t="s">
        <v>155</v>
      </c>
      <c r="D91" s="24" t="s">
        <v>22</v>
      </c>
      <c r="E91" s="23" t="s">
        <v>23</v>
      </c>
      <c r="F91" s="23" t="s">
        <v>10</v>
      </c>
      <c r="G91" s="25" t="s">
        <v>306</v>
      </c>
      <c r="H91" s="23" t="s">
        <v>264</v>
      </c>
      <c r="I91" s="23" t="s">
        <v>26</v>
      </c>
      <c r="J91" s="23" t="s">
        <v>40</v>
      </c>
      <c r="K91" s="26" t="s">
        <v>41</v>
      </c>
      <c r="L91" s="23" t="s">
        <v>23</v>
      </c>
      <c r="M91" s="23" t="s">
        <v>10</v>
      </c>
      <c r="N91" s="28" t="s">
        <v>30</v>
      </c>
      <c r="O91" s="23" t="s">
        <v>30</v>
      </c>
      <c r="P91" s="28" t="s">
        <v>30</v>
      </c>
    </row>
    <row r="92">
      <c r="A92" s="23" t="s">
        <v>307</v>
      </c>
      <c r="B92" s="23" t="s">
        <v>207</v>
      </c>
      <c r="C92" s="23" t="s">
        <v>76</v>
      </c>
      <c r="D92" s="24" t="s">
        <v>22</v>
      </c>
      <c r="E92" s="23" t="s">
        <v>23</v>
      </c>
      <c r="F92" s="23" t="s">
        <v>10</v>
      </c>
      <c r="G92" s="25" t="s">
        <v>308</v>
      </c>
      <c r="H92" s="23" t="s">
        <v>209</v>
      </c>
      <c r="I92" s="23" t="s">
        <v>26</v>
      </c>
      <c r="J92" s="23" t="s">
        <v>78</v>
      </c>
      <c r="K92" s="26" t="s">
        <v>41</v>
      </c>
      <c r="L92" s="23" t="s">
        <v>23</v>
      </c>
      <c r="M92" s="23" t="s">
        <v>10</v>
      </c>
      <c r="N92" s="28" t="s">
        <v>30</v>
      </c>
      <c r="O92" s="23" t="s">
        <v>30</v>
      </c>
      <c r="P92" s="28" t="s">
        <v>30</v>
      </c>
    </row>
    <row r="93">
      <c r="A93" s="23" t="s">
        <v>309</v>
      </c>
      <c r="B93" s="23" t="s">
        <v>76</v>
      </c>
      <c r="C93" s="23" t="s">
        <v>207</v>
      </c>
      <c r="D93" s="24" t="s">
        <v>32</v>
      </c>
      <c r="E93" s="23" t="s">
        <v>26</v>
      </c>
      <c r="F93" s="23" t="s">
        <v>10</v>
      </c>
      <c r="G93" s="25" t="s">
        <v>310</v>
      </c>
      <c r="H93" s="23" t="s">
        <v>81</v>
      </c>
      <c r="I93" s="23" t="s">
        <v>26</v>
      </c>
      <c r="J93" s="23" t="s">
        <v>209</v>
      </c>
      <c r="K93" s="26" t="s">
        <v>70</v>
      </c>
      <c r="L93" s="23" t="s">
        <v>26</v>
      </c>
      <c r="M93" s="23" t="s">
        <v>10</v>
      </c>
      <c r="N93" s="28" t="s">
        <v>30</v>
      </c>
      <c r="O93" s="23" t="s">
        <v>30</v>
      </c>
      <c r="P93" s="28" t="s">
        <v>30</v>
      </c>
    </row>
    <row r="94">
      <c r="A94" s="23" t="s">
        <v>311</v>
      </c>
      <c r="B94" s="23" t="s">
        <v>300</v>
      </c>
      <c r="C94" s="23" t="s">
        <v>37</v>
      </c>
      <c r="D94" s="24" t="s">
        <v>32</v>
      </c>
      <c r="E94" s="23" t="s">
        <v>26</v>
      </c>
      <c r="F94" s="23" t="s">
        <v>10</v>
      </c>
      <c r="G94" s="25" t="s">
        <v>312</v>
      </c>
      <c r="H94" s="23" t="s">
        <v>298</v>
      </c>
      <c r="I94" s="23" t="s">
        <v>26</v>
      </c>
      <c r="J94" s="23" t="s">
        <v>150</v>
      </c>
      <c r="K94" s="26" t="s">
        <v>70</v>
      </c>
      <c r="L94" s="23" t="s">
        <v>26</v>
      </c>
      <c r="M94" s="23" t="s">
        <v>10</v>
      </c>
      <c r="N94" s="28" t="s">
        <v>30</v>
      </c>
      <c r="O94" s="23" t="s">
        <v>30</v>
      </c>
      <c r="P94" s="28" t="s">
        <v>30</v>
      </c>
    </row>
    <row r="95">
      <c r="A95" s="23" t="s">
        <v>313</v>
      </c>
      <c r="B95" s="23" t="s">
        <v>37</v>
      </c>
      <c r="C95" s="23" t="s">
        <v>300</v>
      </c>
      <c r="D95" s="24" t="s">
        <v>22</v>
      </c>
      <c r="E95" s="23" t="s">
        <v>23</v>
      </c>
      <c r="F95" s="23" t="s">
        <v>10</v>
      </c>
      <c r="G95" s="25" t="s">
        <v>314</v>
      </c>
      <c r="H95" s="23" t="s">
        <v>44</v>
      </c>
      <c r="I95" s="23" t="s">
        <v>26</v>
      </c>
      <c r="J95" s="23" t="s">
        <v>302</v>
      </c>
      <c r="K95" s="26" t="s">
        <v>28</v>
      </c>
      <c r="L95" s="23" t="s">
        <v>23</v>
      </c>
      <c r="M95" s="23" t="s">
        <v>10</v>
      </c>
      <c r="N95" s="28" t="s">
        <v>30</v>
      </c>
      <c r="O95" s="23" t="s">
        <v>30</v>
      </c>
      <c r="P95" s="28" t="s">
        <v>30</v>
      </c>
    </row>
    <row r="96">
      <c r="A96" s="23" t="s">
        <v>315</v>
      </c>
      <c r="B96" s="23" t="s">
        <v>76</v>
      </c>
      <c r="C96" s="23" t="s">
        <v>20</v>
      </c>
      <c r="D96" s="24" t="s">
        <v>32</v>
      </c>
      <c r="E96" s="23" t="s">
        <v>26</v>
      </c>
      <c r="F96" s="23" t="s">
        <v>10</v>
      </c>
      <c r="G96" s="25" t="s">
        <v>316</v>
      </c>
      <c r="H96" s="23" t="s">
        <v>81</v>
      </c>
      <c r="I96" s="23" t="s">
        <v>26</v>
      </c>
      <c r="J96" s="23" t="s">
        <v>25</v>
      </c>
      <c r="K96" s="26" t="s">
        <v>34</v>
      </c>
      <c r="L96" s="23" t="s">
        <v>26</v>
      </c>
      <c r="M96" s="23" t="s">
        <v>10</v>
      </c>
      <c r="N96" s="28" t="s">
        <v>30</v>
      </c>
      <c r="O96" s="23" t="s">
        <v>30</v>
      </c>
      <c r="P96" s="28" t="s">
        <v>30</v>
      </c>
    </row>
    <row r="97">
      <c r="A97" s="23" t="s">
        <v>317</v>
      </c>
      <c r="B97" s="23" t="s">
        <v>20</v>
      </c>
      <c r="C97" s="23" t="s">
        <v>76</v>
      </c>
      <c r="D97" s="24" t="s">
        <v>22</v>
      </c>
      <c r="E97" s="23" t="s">
        <v>23</v>
      </c>
      <c r="F97" s="23" t="s">
        <v>10</v>
      </c>
      <c r="G97" s="25" t="s">
        <v>318</v>
      </c>
      <c r="H97" s="23" t="s">
        <v>25</v>
      </c>
      <c r="I97" s="23" t="s">
        <v>26</v>
      </c>
      <c r="J97" s="23" t="s">
        <v>78</v>
      </c>
      <c r="K97" s="26" t="s">
        <v>28</v>
      </c>
      <c r="L97" s="23" t="s">
        <v>23</v>
      </c>
      <c r="M97" s="23" t="s">
        <v>10</v>
      </c>
      <c r="N97" s="28" t="s">
        <v>30</v>
      </c>
      <c r="O97" s="23" t="s">
        <v>30</v>
      </c>
      <c r="P97" s="28" t="s">
        <v>30</v>
      </c>
    </row>
    <row r="98">
      <c r="A98" s="23" t="s">
        <v>319</v>
      </c>
      <c r="B98" s="23" t="s">
        <v>195</v>
      </c>
      <c r="C98" s="23" t="s">
        <v>170</v>
      </c>
      <c r="D98" s="24" t="s">
        <v>22</v>
      </c>
      <c r="E98" s="23" t="s">
        <v>23</v>
      </c>
      <c r="F98" s="23" t="s">
        <v>10</v>
      </c>
      <c r="G98" s="25" t="s">
        <v>320</v>
      </c>
      <c r="H98" s="23" t="s">
        <v>200</v>
      </c>
      <c r="I98" s="23" t="s">
        <v>23</v>
      </c>
      <c r="J98" s="23" t="s">
        <v>178</v>
      </c>
      <c r="K98" s="26" t="s">
        <v>28</v>
      </c>
      <c r="L98" s="23" t="s">
        <v>23</v>
      </c>
      <c r="M98" s="23" t="s">
        <v>10</v>
      </c>
      <c r="N98" s="28" t="s">
        <v>30</v>
      </c>
      <c r="O98" s="23" t="s">
        <v>30</v>
      </c>
      <c r="P98" s="28" t="s">
        <v>30</v>
      </c>
    </row>
    <row r="99">
      <c r="A99" s="23" t="s">
        <v>321</v>
      </c>
      <c r="B99" s="23" t="s">
        <v>170</v>
      </c>
      <c r="C99" s="23" t="s">
        <v>195</v>
      </c>
      <c r="D99" s="24" t="s">
        <v>32</v>
      </c>
      <c r="E99" s="23" t="s">
        <v>26</v>
      </c>
      <c r="F99" s="23" t="s">
        <v>10</v>
      </c>
      <c r="G99" s="25" t="s">
        <v>322</v>
      </c>
      <c r="H99" s="23" t="s">
        <v>173</v>
      </c>
      <c r="I99" s="23" t="s">
        <v>26</v>
      </c>
      <c r="J99" s="23" t="s">
        <v>197</v>
      </c>
      <c r="K99" s="26" t="s">
        <v>34</v>
      </c>
      <c r="L99" s="23" t="s">
        <v>26</v>
      </c>
      <c r="M99" s="23" t="s">
        <v>10</v>
      </c>
      <c r="N99" s="28" t="s">
        <v>30</v>
      </c>
      <c r="O99" s="23" t="s">
        <v>30</v>
      </c>
      <c r="P99" s="28" t="s">
        <v>30</v>
      </c>
    </row>
    <row r="100">
      <c r="A100" s="23" t="s">
        <v>323</v>
      </c>
      <c r="B100" s="23" t="s">
        <v>220</v>
      </c>
      <c r="C100" s="23" t="s">
        <v>141</v>
      </c>
      <c r="D100" s="24" t="s">
        <v>32</v>
      </c>
      <c r="E100" s="23" t="s">
        <v>26</v>
      </c>
      <c r="F100" s="23" t="s">
        <v>10</v>
      </c>
      <c r="G100" s="25" t="s">
        <v>324</v>
      </c>
      <c r="H100" s="23" t="s">
        <v>222</v>
      </c>
      <c r="I100" s="23" t="s">
        <v>26</v>
      </c>
      <c r="J100" s="23" t="s">
        <v>143</v>
      </c>
      <c r="K100" s="26" t="s">
        <v>70</v>
      </c>
      <c r="L100" s="23" t="s">
        <v>26</v>
      </c>
      <c r="M100" s="23" t="s">
        <v>10</v>
      </c>
      <c r="N100" s="28" t="s">
        <v>30</v>
      </c>
      <c r="O100" s="23" t="s">
        <v>30</v>
      </c>
      <c r="P100" s="28" t="s">
        <v>30</v>
      </c>
    </row>
    <row r="101">
      <c r="A101" s="23" t="s">
        <v>325</v>
      </c>
      <c r="B101" s="23" t="s">
        <v>141</v>
      </c>
      <c r="C101" s="23" t="s">
        <v>220</v>
      </c>
      <c r="D101" s="24" t="s">
        <v>22</v>
      </c>
      <c r="E101" s="23" t="s">
        <v>23</v>
      </c>
      <c r="F101" s="23" t="s">
        <v>10</v>
      </c>
      <c r="G101" s="25" t="s">
        <v>326</v>
      </c>
      <c r="H101" s="23" t="s">
        <v>230</v>
      </c>
      <c r="I101" s="23" t="s">
        <v>23</v>
      </c>
      <c r="J101" s="23" t="s">
        <v>225</v>
      </c>
      <c r="K101" s="26" t="s">
        <v>41</v>
      </c>
      <c r="L101" s="23" t="s">
        <v>23</v>
      </c>
      <c r="M101" s="23" t="s">
        <v>10</v>
      </c>
      <c r="N101" s="28" t="s">
        <v>30</v>
      </c>
      <c r="O101" s="23" t="s">
        <v>30</v>
      </c>
      <c r="P101" s="28" t="s">
        <v>30</v>
      </c>
    </row>
    <row r="102">
      <c r="A102" s="23" t="s">
        <v>327</v>
      </c>
      <c r="B102" s="23" t="s">
        <v>328</v>
      </c>
      <c r="C102" s="23" t="s">
        <v>20</v>
      </c>
      <c r="D102" s="24" t="s">
        <v>32</v>
      </c>
      <c r="E102" s="23" t="s">
        <v>26</v>
      </c>
      <c r="F102" s="23" t="s">
        <v>10</v>
      </c>
      <c r="G102" s="25" t="s">
        <v>329</v>
      </c>
      <c r="H102" s="23" t="s">
        <v>330</v>
      </c>
      <c r="I102" s="23" t="s">
        <v>26</v>
      </c>
      <c r="J102" s="23" t="s">
        <v>25</v>
      </c>
      <c r="K102" s="26" t="s">
        <v>34</v>
      </c>
      <c r="L102" s="23" t="s">
        <v>26</v>
      </c>
      <c r="M102" s="23" t="s">
        <v>10</v>
      </c>
      <c r="N102" s="28" t="s">
        <v>30</v>
      </c>
      <c r="O102" s="23" t="s">
        <v>30</v>
      </c>
      <c r="P102" s="28" t="s">
        <v>30</v>
      </c>
    </row>
    <row r="103">
      <c r="A103" s="23" t="s">
        <v>331</v>
      </c>
      <c r="B103" s="23" t="s">
        <v>20</v>
      </c>
      <c r="C103" s="23" t="s">
        <v>328</v>
      </c>
      <c r="D103" s="24" t="s">
        <v>22</v>
      </c>
      <c r="E103" s="23" t="s">
        <v>23</v>
      </c>
      <c r="F103" s="23" t="s">
        <v>10</v>
      </c>
      <c r="G103" s="25" t="s">
        <v>332</v>
      </c>
      <c r="H103" s="23" t="s">
        <v>25</v>
      </c>
      <c r="I103" s="23" t="s">
        <v>26</v>
      </c>
      <c r="J103" s="23" t="s">
        <v>200</v>
      </c>
      <c r="K103" s="26" t="s">
        <v>28</v>
      </c>
      <c r="L103" s="23" t="s">
        <v>23</v>
      </c>
      <c r="M103" s="23" t="s">
        <v>10</v>
      </c>
      <c r="N103" s="28" t="s">
        <v>30</v>
      </c>
      <c r="O103" s="23" t="s">
        <v>30</v>
      </c>
      <c r="P103" s="28" t="s">
        <v>30</v>
      </c>
    </row>
    <row r="104">
      <c r="A104" s="23" t="s">
        <v>333</v>
      </c>
      <c r="B104" s="23" t="s">
        <v>36</v>
      </c>
      <c r="C104" s="23" t="s">
        <v>94</v>
      </c>
      <c r="D104" s="24" t="s">
        <v>32</v>
      </c>
      <c r="E104" s="23" t="s">
        <v>26</v>
      </c>
      <c r="F104" s="23" t="s">
        <v>10</v>
      </c>
      <c r="G104" s="25" t="s">
        <v>334</v>
      </c>
      <c r="H104" s="23" t="s">
        <v>39</v>
      </c>
      <c r="I104" s="23" t="s">
        <v>26</v>
      </c>
      <c r="J104" s="23" t="s">
        <v>97</v>
      </c>
      <c r="K104" s="26" t="s">
        <v>70</v>
      </c>
      <c r="L104" s="23" t="s">
        <v>26</v>
      </c>
      <c r="M104" s="23" t="s">
        <v>10</v>
      </c>
      <c r="N104" s="28" t="s">
        <v>30</v>
      </c>
      <c r="O104" s="23" t="s">
        <v>30</v>
      </c>
      <c r="P104" s="28" t="s">
        <v>30</v>
      </c>
    </row>
    <row r="105">
      <c r="A105" s="31" t="s">
        <v>335</v>
      </c>
      <c r="B105" s="31" t="s">
        <v>94</v>
      </c>
      <c r="C105" s="31" t="s">
        <v>36</v>
      </c>
      <c r="D105" s="32" t="s">
        <v>22</v>
      </c>
      <c r="E105" s="31" t="s">
        <v>23</v>
      </c>
      <c r="F105" s="31" t="s">
        <v>10</v>
      </c>
      <c r="G105" s="34" t="s">
        <v>336</v>
      </c>
      <c r="H105" s="31" t="s">
        <v>97</v>
      </c>
      <c r="I105" s="31" t="s">
        <v>26</v>
      </c>
      <c r="J105" s="31" t="s">
        <v>205</v>
      </c>
      <c r="K105" s="35" t="s">
        <v>41</v>
      </c>
      <c r="L105" s="31" t="s">
        <v>23</v>
      </c>
      <c r="M105" s="31" t="s">
        <v>10</v>
      </c>
      <c r="N105" s="36" t="s">
        <v>30</v>
      </c>
      <c r="O105" s="31" t="s">
        <v>30</v>
      </c>
      <c r="P105" s="36" t="s">
        <v>30</v>
      </c>
      <c r="Q105" s="37"/>
    </row>
    <row r="106">
      <c r="D106" s="38" t="s">
        <v>337</v>
      </c>
      <c r="G106" s="25"/>
      <c r="I106" s="29" t="str">
        <f>COUNTIF(I4:I105, "m") &amp; "m"</f>
        <v>78m</v>
      </c>
      <c r="L106" s="38" t="s">
        <v>337</v>
      </c>
      <c r="N106" s="29" t="str">
        <f t="shared" ref="N106:P106" si="1">COUNTIF(N4:N105, "T") &amp; "T"</f>
        <v>99T</v>
      </c>
      <c r="O106" s="29" t="str">
        <f t="shared" si="1"/>
        <v>98T</v>
      </c>
      <c r="P106" s="29" t="str">
        <f t="shared" si="1"/>
        <v>95T</v>
      </c>
    </row>
    <row r="107">
      <c r="D107" s="29" t="str">
        <f>COUNTIF(E4:E105, "m") &amp; "m"</f>
        <v>51m</v>
      </c>
      <c r="G107" s="25"/>
      <c r="I107" s="29" t="str">
        <f>COUNTIF(I4:I105, "f") &amp; "f"</f>
        <v>24f</v>
      </c>
      <c r="L107" s="29" t="str">
        <f>COUNTIF(L4:L105, "m") &amp; "m"</f>
        <v>49m</v>
      </c>
      <c r="N107" s="29" t="str">
        <f t="shared" ref="N107:P107" si="2">COUNTIF(N4:N105, "F") &amp; "F"</f>
        <v>3F</v>
      </c>
      <c r="O107" s="29" t="str">
        <f t="shared" si="2"/>
        <v>4F</v>
      </c>
      <c r="P107" s="29" t="str">
        <f t="shared" si="2"/>
        <v>7F</v>
      </c>
    </row>
    <row r="108">
      <c r="D108" s="29" t="str">
        <f>COUNTIF(E4:E105, "f") &amp; "f"</f>
        <v>51f</v>
      </c>
      <c r="G108" s="39"/>
      <c r="L108" s="29" t="str">
        <f>COUNTIF(L4:L105, "f") &amp; "f"</f>
        <v>53f</v>
      </c>
    </row>
    <row r="109">
      <c r="G109" s="25"/>
    </row>
    <row r="110">
      <c r="A110" s="23" t="s">
        <v>338</v>
      </c>
      <c r="G110" s="25"/>
    </row>
    <row r="111">
      <c r="A111" s="23" t="s">
        <v>339</v>
      </c>
      <c r="G111" s="39"/>
    </row>
    <row r="112">
      <c r="A112" s="23" t="s">
        <v>340</v>
      </c>
      <c r="G112" s="25"/>
      <c r="H112" s="29" t="str">
        <f>IFERROR(__xludf.DUMMYFUNCTION("FILTER(H4:H105, I4:I105 = ""m"")"),"oblikovalec")</f>
        <v>oblikovalec</v>
      </c>
      <c r="J112" s="29" t="str">
        <f>IFERROR(__xludf.DUMMYFUNCTION("FILTER(H4:H105, I4:I105 = ""f"")"),"gospodinja")</f>
        <v>gospodinja</v>
      </c>
      <c r="M112" s="40" t="s">
        <v>341</v>
      </c>
      <c r="N112" s="41"/>
      <c r="P112" s="40" t="s">
        <v>342</v>
      </c>
      <c r="Q112" s="41"/>
    </row>
    <row r="113">
      <c r="A113" s="23" t="s">
        <v>343</v>
      </c>
      <c r="B113" s="40" t="s">
        <v>344</v>
      </c>
      <c r="C113" s="41"/>
      <c r="E113" s="40" t="s">
        <v>345</v>
      </c>
      <c r="F113" s="41"/>
      <c r="G113" s="25"/>
      <c r="H113" s="29" t="str">
        <f>IFERROR(__xludf.DUMMYFUNCTION("""COMPUTED_VALUE"""),"razvijalec")</f>
        <v>razvijalec</v>
      </c>
      <c r="J113" s="29" t="str">
        <f>IFERROR(__xludf.DUMMYFUNCTION("""COMPUTED_VALUE"""),"gospodinja")</f>
        <v>gospodinja</v>
      </c>
      <c r="M113" s="42" t="str">
        <f>IFERROR(__xludf.DUMMYFUNCTION("UNIQUE(H112:H189)"),"oblikovalec")</f>
        <v>oblikovalec</v>
      </c>
      <c r="N113" s="43">
        <f t="shared" ref="N113:N144" si="3">COUNTIF(H112:H189, M113)</f>
        <v>7</v>
      </c>
      <c r="P113" s="42" t="str">
        <f>IFERROR(__xludf.DUMMYFUNCTION("UNIQUE(J112:J135)"),"gospodinja")</f>
        <v>gospodinja</v>
      </c>
      <c r="Q113" s="43">
        <f t="shared" ref="Q113:Q127" si="4">COUNTIF(J112:J135, P113)</f>
        <v>2</v>
      </c>
    </row>
    <row r="114">
      <c r="B114" s="42" t="str">
        <f>IFERROR(__xludf.DUMMYFUNCTION("UNIQUE(B4:B105)"),"designer")</f>
        <v>designer</v>
      </c>
      <c r="C114" s="43">
        <f t="shared" ref="C114:C149" si="5">COUNTIF(B4:B105, B4)</f>
        <v>7</v>
      </c>
      <c r="E114" s="42" t="str">
        <f>IFERROR(__xludf.DUMMYFUNCTION("UNIQUE(C4:C105)"),"developer")</f>
        <v>developer</v>
      </c>
      <c r="F114" s="43">
        <f t="shared" ref="F114:F149" si="6">COUNTIF(C4:C105, C4)</f>
        <v>6</v>
      </c>
      <c r="G114" s="39"/>
      <c r="H114" s="29" t="str">
        <f>IFERROR(__xludf.DUMMYFUNCTION("""COMPUTED_VALUE"""),"mehanik")</f>
        <v>mehanik</v>
      </c>
      <c r="J114" s="29" t="str">
        <f>IFERROR(__xludf.DUMMYFUNCTION("""COMPUTED_VALUE"""),"frizerka")</f>
        <v>frizerka</v>
      </c>
      <c r="M114" s="42" t="str">
        <f>IFERROR(__xludf.DUMMYFUNCTION("""COMPUTED_VALUE"""),"razvijalec")</f>
        <v>razvijalec</v>
      </c>
      <c r="N114" s="43">
        <f t="shared" si="3"/>
        <v>5</v>
      </c>
      <c r="P114" s="42" t="str">
        <f>IFERROR(__xludf.DUMMYFUNCTION("""COMPUTED_VALUE"""),"frizerka")</f>
        <v>frizerka</v>
      </c>
      <c r="Q114" s="43">
        <f t="shared" si="4"/>
        <v>4</v>
      </c>
    </row>
    <row r="115">
      <c r="B115" s="42" t="str">
        <f>IFERROR(__xludf.DUMMYFUNCTION("""COMPUTED_VALUE"""),"developer")</f>
        <v>developer</v>
      </c>
      <c r="C115" s="43">
        <f t="shared" si="5"/>
        <v>6</v>
      </c>
      <c r="E115" s="42" t="str">
        <f>IFERROR(__xludf.DUMMYFUNCTION("""COMPUTED_VALUE"""),"designer")</f>
        <v>designer</v>
      </c>
      <c r="F115" s="43">
        <f t="shared" si="6"/>
        <v>7</v>
      </c>
      <c r="G115" s="25"/>
      <c r="H115" s="29" t="str">
        <f>IFERROR(__xludf.DUMMYFUNCTION("""COMPUTED_VALUE"""),"uradnik")</f>
        <v>uradnik</v>
      </c>
      <c r="J115" s="29" t="str">
        <f>IFERROR(__xludf.DUMMYFUNCTION("""COMPUTED_VALUE"""),"frizerka")</f>
        <v>frizerka</v>
      </c>
      <c r="M115" s="42" t="str">
        <f>IFERROR(__xludf.DUMMYFUNCTION("""COMPUTED_VALUE"""),"mehanik")</f>
        <v>mehanik</v>
      </c>
      <c r="N115" s="43">
        <f t="shared" si="3"/>
        <v>5</v>
      </c>
      <c r="P115" s="42" t="str">
        <f>IFERROR(__xludf.DUMMYFUNCTION("""COMPUTED_VALUE"""),"računovodka")</f>
        <v>računovodka</v>
      </c>
      <c r="Q115" s="43">
        <f t="shared" si="4"/>
        <v>1</v>
      </c>
    </row>
    <row r="116">
      <c r="B116" s="42" t="str">
        <f>IFERROR(__xludf.DUMMYFUNCTION("""COMPUTED_VALUE"""),"mechanic")</f>
        <v>mechanic</v>
      </c>
      <c r="C116" s="43">
        <f t="shared" si="5"/>
        <v>5</v>
      </c>
      <c r="E116" s="42" t="str">
        <f>IFERROR(__xludf.DUMMYFUNCTION("""COMPUTED_VALUE"""),"clerk")</f>
        <v>clerk</v>
      </c>
      <c r="F116" s="43">
        <f t="shared" si="6"/>
        <v>3</v>
      </c>
      <c r="G116" s="25"/>
      <c r="H116" s="29" t="str">
        <f>IFERROR(__xludf.DUMMYFUNCTION("""COMPUTED_VALUE"""),"selilec")</f>
        <v>selilec</v>
      </c>
      <c r="J116" s="29" t="str">
        <f>IFERROR(__xludf.DUMMYFUNCTION("""COMPUTED_VALUE"""),"frizerka")</f>
        <v>frizerka</v>
      </c>
      <c r="M116" s="42" t="str">
        <f>IFERROR(__xludf.DUMMYFUNCTION("""COMPUTED_VALUE"""),"uradnik")</f>
        <v>uradnik</v>
      </c>
      <c r="N116" s="43">
        <f t="shared" si="3"/>
        <v>3</v>
      </c>
      <c r="P116" s="42" t="str">
        <f>IFERROR(__xludf.DUMMYFUNCTION("""COMPUTED_VALUE"""),"sekretarka")</f>
        <v>sekretarka</v>
      </c>
      <c r="Q116" s="43">
        <f t="shared" si="4"/>
        <v>2</v>
      </c>
    </row>
    <row r="117">
      <c r="B117" s="42" t="str">
        <f>IFERROR(__xludf.DUMMYFUNCTION("""COMPUTED_VALUE"""),"clerk")</f>
        <v>clerk</v>
      </c>
      <c r="C117" s="43">
        <f t="shared" si="5"/>
        <v>3</v>
      </c>
      <c r="E117" s="42" t="str">
        <f>IFERROR(__xludf.DUMMYFUNCTION("""COMPUTED_VALUE"""),"mechanic")</f>
        <v>mechanic</v>
      </c>
      <c r="F117" s="43">
        <f t="shared" si="6"/>
        <v>5</v>
      </c>
      <c r="G117" s="39"/>
      <c r="H117" s="29" t="str">
        <f>IFERROR(__xludf.DUMMYFUNCTION("""COMPUTED_VALUE"""),"šef")</f>
        <v>šef</v>
      </c>
      <c r="J117" s="29" t="str">
        <f>IFERROR(__xludf.DUMMYFUNCTION("""COMPUTED_VALUE"""),"računovodka")</f>
        <v>računovodka</v>
      </c>
      <c r="M117" s="42" t="str">
        <f>IFERROR(__xludf.DUMMYFUNCTION("""COMPUTED_VALUE"""),"selilec")</f>
        <v>selilec</v>
      </c>
      <c r="N117" s="43">
        <f t="shared" si="3"/>
        <v>1</v>
      </c>
      <c r="P117" s="42" t="str">
        <f>IFERROR(__xludf.DUMMYFUNCTION("""COMPUTED_VALUE"""),"knjižničarka")</f>
        <v>knjižničarka</v>
      </c>
      <c r="Q117" s="43">
        <f t="shared" si="4"/>
        <v>1</v>
      </c>
    </row>
    <row r="118">
      <c r="B118" s="42" t="str">
        <f>IFERROR(__xludf.DUMMYFUNCTION("""COMPUTED_VALUE"""),"mover")</f>
        <v>mover</v>
      </c>
      <c r="C118" s="43">
        <f t="shared" si="5"/>
        <v>3</v>
      </c>
      <c r="E118" s="42" t="str">
        <f>IFERROR(__xludf.DUMMYFUNCTION("""COMPUTED_VALUE"""),"housekeeper")</f>
        <v>housekeeper</v>
      </c>
      <c r="F118" s="43">
        <f t="shared" si="6"/>
        <v>2</v>
      </c>
      <c r="G118" s="25"/>
      <c r="H118" s="29" t="str">
        <f>IFERROR(__xludf.DUMMYFUNCTION("""COMPUTED_VALUE"""),"odvetnik")</f>
        <v>odvetnik</v>
      </c>
      <c r="J118" s="29" t="str">
        <f>IFERROR(__xludf.DUMMYFUNCTION("""COMPUTED_VALUE"""),"sekretarka")</f>
        <v>sekretarka</v>
      </c>
      <c r="M118" s="42" t="str">
        <f>IFERROR(__xludf.DUMMYFUNCTION("""COMPUTED_VALUE"""),"šef")</f>
        <v>šef</v>
      </c>
      <c r="N118" s="43">
        <f t="shared" si="3"/>
        <v>1</v>
      </c>
      <c r="P118" s="42" t="str">
        <f>IFERROR(__xludf.DUMMYFUNCTION("""COMPUTED_VALUE"""),"urednica")</f>
        <v>urednica</v>
      </c>
      <c r="Q118" s="43">
        <f t="shared" si="4"/>
        <v>2</v>
      </c>
    </row>
    <row r="119">
      <c r="B119" s="42" t="str">
        <f>IFERROR(__xludf.DUMMYFUNCTION("""COMPUTED_VALUE"""),"housekeeper")</f>
        <v>housekeeper</v>
      </c>
      <c r="C119" s="43">
        <f t="shared" si="5"/>
        <v>2</v>
      </c>
      <c r="E119" s="42" t="str">
        <f>IFERROR(__xludf.DUMMYFUNCTION("""COMPUTED_VALUE"""),"mover")</f>
        <v>mover</v>
      </c>
      <c r="F119" s="43">
        <f t="shared" si="6"/>
        <v>3</v>
      </c>
      <c r="G119" s="25"/>
      <c r="H119" s="29" t="str">
        <f>IFERROR(__xludf.DUMMYFUNCTION("""COMPUTED_VALUE"""),"frizer")</f>
        <v>frizer</v>
      </c>
      <c r="J119" s="29" t="str">
        <f>IFERROR(__xludf.DUMMYFUNCTION("""COMPUTED_VALUE"""),"knjižničarka")</f>
        <v>knjižničarka</v>
      </c>
      <c r="M119" s="42" t="str">
        <f>IFERROR(__xludf.DUMMYFUNCTION("""COMPUTED_VALUE"""),"odvetnik")</f>
        <v>odvetnik</v>
      </c>
      <c r="N119" s="43">
        <f t="shared" si="3"/>
        <v>2</v>
      </c>
      <c r="P119" s="42" t="str">
        <f>IFERROR(__xludf.DUMMYFUNCTION("""COMPUTED_VALUE"""),"revizorka")</f>
        <v>revizorka</v>
      </c>
      <c r="Q119" s="43">
        <f t="shared" si="4"/>
        <v>1</v>
      </c>
    </row>
    <row r="120">
      <c r="B120" s="42" t="str">
        <f>IFERROR(__xludf.DUMMYFUNCTION("""COMPUTED_VALUE"""),"chief")</f>
        <v>chief</v>
      </c>
      <c r="C120" s="43">
        <f t="shared" si="5"/>
        <v>1</v>
      </c>
      <c r="E120" s="42" t="str">
        <f>IFERROR(__xludf.DUMMYFUNCTION("""COMPUTED_VALUE"""),"chief")</f>
        <v>chief</v>
      </c>
      <c r="F120" s="43">
        <f t="shared" si="6"/>
        <v>1</v>
      </c>
      <c r="G120" s="39"/>
      <c r="H120" s="29" t="str">
        <f>IFERROR(__xludf.DUMMYFUNCTION("""COMPUTED_VALUE"""),"kuhar")</f>
        <v>kuhar</v>
      </c>
      <c r="J120" s="29" t="str">
        <f>IFERROR(__xludf.DUMMYFUNCTION("""COMPUTED_VALUE"""),"urednica")</f>
        <v>urednica</v>
      </c>
      <c r="M120" s="42" t="str">
        <f>IFERROR(__xludf.DUMMYFUNCTION("""COMPUTED_VALUE"""),"frizer")</f>
        <v>frizer</v>
      </c>
      <c r="N120" s="43">
        <f t="shared" si="3"/>
        <v>3</v>
      </c>
      <c r="P120" s="42" t="str">
        <f>IFERROR(__xludf.DUMMYFUNCTION("""COMPUTED_VALUE"""),"čistilka")</f>
        <v>čistilka</v>
      </c>
      <c r="Q120" s="43">
        <f t="shared" si="4"/>
        <v>3</v>
      </c>
    </row>
    <row r="121">
      <c r="B121" s="42" t="str">
        <f>IFERROR(__xludf.DUMMYFUNCTION("""COMPUTED_VALUE"""),"lawyer")</f>
        <v>lawyer</v>
      </c>
      <c r="C121" s="43">
        <f t="shared" si="5"/>
        <v>1</v>
      </c>
      <c r="E121" s="42" t="str">
        <f>IFERROR(__xludf.DUMMYFUNCTION("""COMPUTED_VALUE"""),"hairdresser")</f>
        <v>hairdresser</v>
      </c>
      <c r="F121" s="43">
        <f t="shared" si="6"/>
        <v>1</v>
      </c>
      <c r="G121" s="25"/>
      <c r="H121" s="29" t="str">
        <f>IFERROR(__xludf.DUMMYFUNCTION("""COMPUTED_VALUE"""),"razvijalec")</f>
        <v>razvijalec</v>
      </c>
      <c r="J121" s="29" t="str">
        <f>IFERROR(__xludf.DUMMYFUNCTION("""COMPUTED_VALUE"""),"revizorka")</f>
        <v>revizorka</v>
      </c>
      <c r="M121" s="42" t="str">
        <f>IFERROR(__xludf.DUMMYFUNCTION("""COMPUTED_VALUE"""),"kuhar")</f>
        <v>kuhar</v>
      </c>
      <c r="N121" s="43">
        <f t="shared" si="3"/>
        <v>3</v>
      </c>
      <c r="P121" s="42" t="str">
        <f>IFERROR(__xludf.DUMMYFUNCTION("""COMPUTED_VALUE"""),"blagajničarka")</f>
        <v>blagajničarka</v>
      </c>
      <c r="Q121" s="43">
        <f t="shared" si="4"/>
        <v>2</v>
      </c>
    </row>
    <row r="122">
      <c r="B122" s="42" t="str">
        <f>IFERROR(__xludf.DUMMYFUNCTION("""COMPUTED_VALUE"""),"hairdresser")</f>
        <v>hairdresser</v>
      </c>
      <c r="C122" s="43">
        <f t="shared" si="5"/>
        <v>2</v>
      </c>
      <c r="E122" s="42" t="str">
        <f>IFERROR(__xludf.DUMMYFUNCTION("""COMPUTED_VALUE"""),"lawyer")</f>
        <v>lawyer</v>
      </c>
      <c r="F122" s="43">
        <f t="shared" si="6"/>
        <v>7</v>
      </c>
      <c r="G122" s="25"/>
      <c r="H122" s="29" t="str">
        <f>IFERROR(__xludf.DUMMYFUNCTION("""COMPUTED_VALUE"""),"vodja")</f>
        <v>vodja</v>
      </c>
      <c r="J122" s="29" t="str">
        <f>IFERROR(__xludf.DUMMYFUNCTION("""COMPUTED_VALUE"""),"sekretarka")</f>
        <v>sekretarka</v>
      </c>
      <c r="M122" s="42" t="str">
        <f>IFERROR(__xludf.DUMMYFUNCTION("""COMPUTED_VALUE"""),"vodja")</f>
        <v>vodja</v>
      </c>
      <c r="N122" s="43">
        <f t="shared" si="3"/>
        <v>3</v>
      </c>
      <c r="P122" s="42" t="str">
        <f>IFERROR(__xludf.DUMMYFUNCTION("""COMPUTED_VALUE"""),"razvijalka")</f>
        <v>razvijalka</v>
      </c>
      <c r="Q122" s="43">
        <f t="shared" si="4"/>
        <v>1</v>
      </c>
    </row>
    <row r="123">
      <c r="B123" s="42" t="str">
        <f>IFERROR(__xludf.DUMMYFUNCTION("""COMPUTED_VALUE"""),"cook")</f>
        <v>cook</v>
      </c>
      <c r="C123" s="43">
        <f t="shared" si="5"/>
        <v>7</v>
      </c>
      <c r="E123" s="42" t="str">
        <f>IFERROR(__xludf.DUMMYFUNCTION("""COMPUTED_VALUE"""),"cook")</f>
        <v>cook</v>
      </c>
      <c r="F123" s="43">
        <f t="shared" si="6"/>
        <v>2</v>
      </c>
      <c r="G123" s="39"/>
      <c r="H123" s="29" t="str">
        <f>IFERROR(__xludf.DUMMYFUNCTION("""COMPUTED_VALUE"""),"receptor")</f>
        <v>receptor</v>
      </c>
      <c r="J123" s="29" t="str">
        <f>IFERROR(__xludf.DUMMYFUNCTION("""COMPUTED_VALUE"""),"čistilka")</f>
        <v>čistilka</v>
      </c>
      <c r="M123" s="42" t="str">
        <f>IFERROR(__xludf.DUMMYFUNCTION("""COMPUTED_VALUE"""),"receptor")</f>
        <v>receptor</v>
      </c>
      <c r="N123" s="43">
        <f t="shared" si="3"/>
        <v>4</v>
      </c>
      <c r="P123" s="42" t="str">
        <f>IFERROR(__xludf.DUMMYFUNCTION("""COMPUTED_VALUE"""),"vodja")</f>
        <v>vodja</v>
      </c>
      <c r="Q123" s="43">
        <f t="shared" si="4"/>
        <v>1</v>
      </c>
    </row>
    <row r="124">
      <c r="B124" s="42" t="str">
        <f>IFERROR(__xludf.DUMMYFUNCTION("""COMPUTED_VALUE"""),"manager")</f>
        <v>manager</v>
      </c>
      <c r="C124" s="43">
        <f t="shared" si="5"/>
        <v>6</v>
      </c>
      <c r="E124" s="42" t="str">
        <f>IFERROR(__xludf.DUMMYFUNCTION("""COMPUTED_VALUE"""),"manager")</f>
        <v>manager</v>
      </c>
      <c r="F124" s="43">
        <f t="shared" si="6"/>
        <v>3</v>
      </c>
      <c r="G124" s="25"/>
      <c r="H124" s="29" t="str">
        <f>IFERROR(__xludf.DUMMYFUNCTION("""COMPUTED_VALUE"""),"analitik")</f>
        <v>analitik</v>
      </c>
      <c r="J124" s="29" t="str">
        <f>IFERROR(__xludf.DUMMYFUNCTION("""COMPUTED_VALUE"""),"frizerka")</f>
        <v>frizerka</v>
      </c>
      <c r="M124" s="42" t="str">
        <f>IFERROR(__xludf.DUMMYFUNCTION("""COMPUTED_VALUE"""),"analitik")</f>
        <v>analitik</v>
      </c>
      <c r="N124" s="43">
        <f t="shared" si="3"/>
        <v>2</v>
      </c>
      <c r="P124" s="42" t="str">
        <f>IFERROR(__xludf.DUMMYFUNCTION("""COMPUTED_VALUE"""),"medicinska sestra")</f>
        <v>medicinska sestra</v>
      </c>
      <c r="Q124" s="43">
        <f t="shared" si="4"/>
        <v>1</v>
      </c>
    </row>
    <row r="125">
      <c r="B125" s="42" t="str">
        <f>IFERROR(__xludf.DUMMYFUNCTION("""COMPUTED_VALUE"""),"receptionist")</f>
        <v>receptionist</v>
      </c>
      <c r="C125" s="43">
        <f t="shared" si="5"/>
        <v>3</v>
      </c>
      <c r="E125" s="42" t="str">
        <f>IFERROR(__xludf.DUMMYFUNCTION("""COMPUTED_VALUE"""),"analyst")</f>
        <v>analyst</v>
      </c>
      <c r="F125" s="43">
        <f t="shared" si="6"/>
        <v>6</v>
      </c>
      <c r="G125" s="25"/>
      <c r="H125" s="29" t="str">
        <f>IFERROR(__xludf.DUMMYFUNCTION("""COMPUTED_VALUE"""),"nadzornik")</f>
        <v>nadzornik</v>
      </c>
      <c r="J125" s="29" t="str">
        <f>IFERROR(__xludf.DUMMYFUNCTION("""COMPUTED_VALUE"""),"blagajničarka")</f>
        <v>blagajničarka</v>
      </c>
      <c r="M125" s="42" t="str">
        <f>IFERROR(__xludf.DUMMYFUNCTION("""COMPUTED_VALUE"""),"nadzornik")</f>
        <v>nadzornik</v>
      </c>
      <c r="N125" s="43">
        <f t="shared" si="3"/>
        <v>1</v>
      </c>
      <c r="P125" s="42" t="str">
        <f>IFERROR(__xludf.DUMMYFUNCTION("""COMPUTED_VALUE"""),"svetovalka")</f>
        <v>svetovalka</v>
      </c>
      <c r="Q125" s="43">
        <f t="shared" si="4"/>
        <v>1</v>
      </c>
    </row>
    <row r="126">
      <c r="B126" s="42" t="str">
        <f>IFERROR(__xludf.DUMMYFUNCTION("""COMPUTED_VALUE"""),"analyst")</f>
        <v>analyst</v>
      </c>
      <c r="C126" s="43">
        <f t="shared" si="5"/>
        <v>6</v>
      </c>
      <c r="E126" s="42" t="str">
        <f>IFERROR(__xludf.DUMMYFUNCTION("""COMPUTED_VALUE"""),"receptionist")</f>
        <v>receptionist</v>
      </c>
      <c r="F126" s="43">
        <f t="shared" si="6"/>
        <v>5</v>
      </c>
      <c r="G126" s="39"/>
      <c r="H126" s="29" t="str">
        <f>IFERROR(__xludf.DUMMYFUNCTION("""COMPUTED_VALUE"""),"kmet")</f>
        <v>kmet</v>
      </c>
      <c r="J126" s="29" t="str">
        <f>IFERROR(__xludf.DUMMYFUNCTION("""COMPUTED_VALUE"""),"urednica")</f>
        <v>urednica</v>
      </c>
      <c r="M126" s="42" t="str">
        <f>IFERROR(__xludf.DUMMYFUNCTION("""COMPUTED_VALUE"""),"kmet")</f>
        <v>kmet</v>
      </c>
      <c r="N126" s="43">
        <f t="shared" si="3"/>
        <v>4</v>
      </c>
      <c r="P126" s="42" t="str">
        <f>IFERROR(__xludf.DUMMYFUNCTION("""COMPUTED_VALUE"""),"gradbenica")</f>
        <v>gradbenica</v>
      </c>
      <c r="Q126" s="43">
        <f t="shared" si="4"/>
        <v>1</v>
      </c>
    </row>
    <row r="127">
      <c r="B127" s="42" t="str">
        <f>IFERROR(__xludf.DUMMYFUNCTION("""COMPUTED_VALUE"""),"accountant")</f>
        <v>accountant</v>
      </c>
      <c r="C127" s="43">
        <f t="shared" si="5"/>
        <v>5</v>
      </c>
      <c r="E127" s="42" t="str">
        <f>IFERROR(__xludf.DUMMYFUNCTION("""COMPUTED_VALUE"""),"supervisor")</f>
        <v>supervisor</v>
      </c>
      <c r="F127" s="43">
        <f t="shared" si="6"/>
        <v>5</v>
      </c>
      <c r="G127" s="25"/>
      <c r="H127" s="29" t="str">
        <f>IFERROR(__xludf.DUMMYFUNCTION("""COMPUTED_VALUE"""),"oblikovalec")</f>
        <v>oblikovalec</v>
      </c>
      <c r="J127" s="29" t="str">
        <f>IFERROR(__xludf.DUMMYFUNCTION("""COMPUTED_VALUE"""),"čistilka")</f>
        <v>čistilka</v>
      </c>
      <c r="M127" s="42" t="str">
        <f>IFERROR(__xludf.DUMMYFUNCTION("""COMPUTED_VALUE"""),"krojač")</f>
        <v>krojač</v>
      </c>
      <c r="N127" s="43">
        <f t="shared" si="3"/>
        <v>3</v>
      </c>
      <c r="P127" s="44" t="str">
        <f>IFERROR(__xludf.DUMMYFUNCTION("""COMPUTED_VALUE"""),"tajnica")</f>
        <v>tajnica</v>
      </c>
      <c r="Q127" s="45">
        <f t="shared" si="4"/>
        <v>1</v>
      </c>
    </row>
    <row r="128">
      <c r="B128" s="42" t="str">
        <f>IFERROR(__xludf.DUMMYFUNCTION("""COMPUTED_VALUE"""),"supervisor")</f>
        <v>supervisor</v>
      </c>
      <c r="C128" s="43">
        <f t="shared" si="5"/>
        <v>4</v>
      </c>
      <c r="E128" s="42" t="str">
        <f>IFERROR(__xludf.DUMMYFUNCTION("""COMPUTED_VALUE"""),"accountant")</f>
        <v>accountant</v>
      </c>
      <c r="F128" s="43">
        <f t="shared" si="6"/>
        <v>4</v>
      </c>
      <c r="G128" s="25"/>
      <c r="H128" s="29" t="str">
        <f>IFERROR(__xludf.DUMMYFUNCTION("""COMPUTED_VALUE"""),"razvijalec")</f>
        <v>razvijalec</v>
      </c>
      <c r="J128" s="29" t="str">
        <f>IFERROR(__xludf.DUMMYFUNCTION("""COMPUTED_VALUE"""),"razvijalka")</f>
        <v>razvijalka</v>
      </c>
      <c r="M128" s="42" t="str">
        <f>IFERROR(__xludf.DUMMYFUNCTION("""COMPUTED_VALUE"""),"selivec")</f>
        <v>selivec</v>
      </c>
      <c r="N128" s="43">
        <f t="shared" si="3"/>
        <v>2</v>
      </c>
    </row>
    <row r="129">
      <c r="B129" s="42" t="str">
        <f>IFERROR(__xludf.DUMMYFUNCTION("""COMPUTED_VALUE"""),"farmer")</f>
        <v>farmer</v>
      </c>
      <c r="C129" s="43">
        <f t="shared" si="5"/>
        <v>4</v>
      </c>
      <c r="E129" s="42" t="str">
        <f>IFERROR(__xludf.DUMMYFUNCTION("""COMPUTED_VALUE"""),"farmer")</f>
        <v>farmer</v>
      </c>
      <c r="F129" s="43">
        <f t="shared" si="6"/>
        <v>4</v>
      </c>
      <c r="G129" s="39"/>
      <c r="H129" s="29" t="str">
        <f>IFERROR(__xludf.DUMMYFUNCTION("""COMPUTED_VALUE"""),"krojač")</f>
        <v>krojač</v>
      </c>
      <c r="J129" s="29" t="str">
        <f>IFERROR(__xludf.DUMMYFUNCTION("""COMPUTED_VALUE"""),"vodja")</f>
        <v>vodja</v>
      </c>
      <c r="M129" s="42" t="str">
        <f>IFERROR(__xludf.DUMMYFUNCTION("""COMPUTED_VALUE"""),"blagajnik")</f>
        <v>blagajnik</v>
      </c>
      <c r="N129" s="43">
        <f t="shared" si="3"/>
        <v>1</v>
      </c>
    </row>
    <row r="130">
      <c r="B130" s="42" t="str">
        <f>IFERROR(__xludf.DUMMYFUNCTION("""COMPUTED_VALUE"""),"tailor")</f>
        <v>tailor</v>
      </c>
      <c r="C130" s="43">
        <f t="shared" si="5"/>
        <v>4</v>
      </c>
      <c r="E130" s="42" t="str">
        <f>IFERROR(__xludf.DUMMYFUNCTION("""COMPUTED_VALUE"""),"tailor")</f>
        <v>tailor</v>
      </c>
      <c r="F130" s="43">
        <f t="shared" si="6"/>
        <v>2</v>
      </c>
      <c r="G130" s="25"/>
      <c r="H130" s="29" t="str">
        <f>IFERROR(__xludf.DUMMYFUNCTION("""COMPUTED_VALUE"""),"selivec")</f>
        <v>selivec</v>
      </c>
      <c r="J130" s="29" t="str">
        <f>IFERROR(__xludf.DUMMYFUNCTION("""COMPUTED_VALUE"""),"medicinska sestra")</f>
        <v>medicinska sestra</v>
      </c>
      <c r="M130" s="42" t="str">
        <f>IFERROR(__xludf.DUMMYFUNCTION("""COMPUTED_VALUE"""),"voznik")</f>
        <v>voznik</v>
      </c>
      <c r="N130" s="43">
        <f t="shared" si="3"/>
        <v>2</v>
      </c>
    </row>
    <row r="131">
      <c r="B131" s="42" t="str">
        <f>IFERROR(__xludf.DUMMYFUNCTION("""COMPUTED_VALUE"""),"secretary")</f>
        <v>secretary</v>
      </c>
      <c r="C131" s="43">
        <f t="shared" si="5"/>
        <v>2</v>
      </c>
      <c r="E131" s="42" t="str">
        <f>IFERROR(__xludf.DUMMYFUNCTION("""COMPUTED_VALUE"""),"secretary")</f>
        <v>secretary</v>
      </c>
      <c r="F131" s="43">
        <f t="shared" si="6"/>
        <v>4</v>
      </c>
      <c r="G131" s="25"/>
      <c r="H131" s="29" t="str">
        <f>IFERROR(__xludf.DUMMYFUNCTION("""COMPUTED_VALUE"""),"kmet")</f>
        <v>kmet</v>
      </c>
      <c r="J131" s="29" t="str">
        <f>IFERROR(__xludf.DUMMYFUNCTION("""COMPUTED_VALUE"""),"svetovalka")</f>
        <v>svetovalka</v>
      </c>
      <c r="M131" s="42" t="str">
        <f>IFERROR(__xludf.DUMMYFUNCTION("""COMPUTED_VALUE"""),"prodajalec")</f>
        <v>prodajalec</v>
      </c>
      <c r="N131" s="43">
        <f t="shared" si="3"/>
        <v>4</v>
      </c>
    </row>
    <row r="132">
      <c r="B132" s="42" t="str">
        <f>IFERROR(__xludf.DUMMYFUNCTION("""COMPUTED_VALUE"""),"cashier")</f>
        <v>cashier</v>
      </c>
      <c r="C132" s="43">
        <f t="shared" si="5"/>
        <v>1</v>
      </c>
      <c r="E132" s="42" t="str">
        <f>IFERROR(__xludf.DUMMYFUNCTION("""COMPUTED_VALUE"""),"cashier")</f>
        <v>cashier</v>
      </c>
      <c r="F132" s="43">
        <f t="shared" si="6"/>
        <v>1</v>
      </c>
      <c r="G132" s="39"/>
      <c r="H132" s="29" t="str">
        <f>IFERROR(__xludf.DUMMYFUNCTION("""COMPUTED_VALUE"""),"frizer")</f>
        <v>frizer</v>
      </c>
      <c r="J132" s="29" t="str">
        <f>IFERROR(__xludf.DUMMYFUNCTION("""COMPUTED_VALUE"""),"gradbenica")</f>
        <v>gradbenica</v>
      </c>
      <c r="M132" s="42" t="str">
        <f>IFERROR(__xludf.DUMMYFUNCTION("""COMPUTED_VALUE"""),"generalni direktor")</f>
        <v>generalni direktor</v>
      </c>
      <c r="N132" s="43">
        <f t="shared" si="3"/>
        <v>1</v>
      </c>
    </row>
    <row r="133">
      <c r="B133" s="42" t="str">
        <f>IFERROR(__xludf.DUMMYFUNCTION("""COMPUTED_VALUE"""),"driver")</f>
        <v>driver</v>
      </c>
      <c r="C133" s="43">
        <f t="shared" si="5"/>
        <v>1</v>
      </c>
      <c r="E133" s="42" t="str">
        <f>IFERROR(__xludf.DUMMYFUNCTION("""COMPUTED_VALUE"""),"driver")</f>
        <v>driver</v>
      </c>
      <c r="F133" s="43">
        <f t="shared" si="6"/>
        <v>1</v>
      </c>
      <c r="G133" s="25"/>
      <c r="H133" s="29" t="str">
        <f>IFERROR(__xludf.DUMMYFUNCTION("""COMPUTED_VALUE"""),"razvijalec")</f>
        <v>razvijalec</v>
      </c>
      <c r="J133" s="29" t="str">
        <f>IFERROR(__xludf.DUMMYFUNCTION("""COMPUTED_VALUE"""),"tajnica")</f>
        <v>tajnica</v>
      </c>
      <c r="M133" s="42" t="str">
        <f>IFERROR(__xludf.DUMMYFUNCTION("""COMPUTED_VALUE"""),"varnostnik")</f>
        <v>varnostnik</v>
      </c>
      <c r="N133" s="43">
        <f t="shared" si="3"/>
        <v>3</v>
      </c>
    </row>
    <row r="134">
      <c r="B134" s="42" t="str">
        <f>IFERROR(__xludf.DUMMYFUNCTION("""COMPUTED_VALUE"""),"salesperson")</f>
        <v>salesperson</v>
      </c>
      <c r="C134" s="43">
        <f t="shared" si="5"/>
        <v>4</v>
      </c>
      <c r="E134" s="42" t="str">
        <f>IFERROR(__xludf.DUMMYFUNCTION("""COMPUTED_VALUE"""),"librarian")</f>
        <v>librarian</v>
      </c>
      <c r="F134" s="43">
        <f t="shared" si="6"/>
        <v>6</v>
      </c>
      <c r="G134" s="25"/>
      <c r="H134" s="29" t="str">
        <f>IFERROR(__xludf.DUMMYFUNCTION("""COMPUTED_VALUE"""),"blagajnik")</f>
        <v>blagajnik</v>
      </c>
      <c r="J134" s="29" t="str">
        <f>IFERROR(__xludf.DUMMYFUNCTION("""COMPUTED_VALUE"""),"čistilka")</f>
        <v>čistilka</v>
      </c>
      <c r="M134" s="42" t="str">
        <f>IFERROR(__xludf.DUMMYFUNCTION("""COMPUTED_VALUE"""),"pomočnik")</f>
        <v>pomočnik</v>
      </c>
      <c r="N134" s="43">
        <f t="shared" si="3"/>
        <v>2</v>
      </c>
    </row>
    <row r="135">
      <c r="B135" s="42" t="str">
        <f>IFERROR(__xludf.DUMMYFUNCTION("""COMPUTED_VALUE"""),"librarian")</f>
        <v>librarian</v>
      </c>
      <c r="C135" s="43">
        <f t="shared" si="5"/>
        <v>7</v>
      </c>
      <c r="E135" s="42" t="str">
        <f>IFERROR(__xludf.DUMMYFUNCTION("""COMPUTED_VALUE"""),"salesperson")</f>
        <v>salesperson</v>
      </c>
      <c r="F135" s="43">
        <f t="shared" si="6"/>
        <v>4</v>
      </c>
      <c r="G135" s="39"/>
      <c r="H135" s="29" t="str">
        <f>IFERROR(__xludf.DUMMYFUNCTION("""COMPUTED_VALUE"""),"voznik")</f>
        <v>voznik</v>
      </c>
      <c r="J135" s="29" t="str">
        <f>IFERROR(__xludf.DUMMYFUNCTION("""COMPUTED_VALUE"""),"blagajničarka")</f>
        <v>blagajničarka</v>
      </c>
      <c r="M135" s="42" t="str">
        <f>IFERROR(__xludf.DUMMYFUNCTION("""COMPUTED_VALUE"""),"revizor")</f>
        <v>revizor</v>
      </c>
      <c r="N135" s="43">
        <f t="shared" si="3"/>
        <v>1</v>
      </c>
    </row>
    <row r="136">
      <c r="B136" s="42" t="str">
        <f>IFERROR(__xludf.DUMMYFUNCTION("""COMPUTED_VALUE"""),"CEO")</f>
        <v>CEO</v>
      </c>
      <c r="C136" s="43">
        <f t="shared" si="5"/>
        <v>5</v>
      </c>
      <c r="E136" s="42" t="str">
        <f>IFERROR(__xludf.DUMMYFUNCTION("""COMPUTED_VALUE"""),"CEO")</f>
        <v>CEO</v>
      </c>
      <c r="F136" s="43">
        <f t="shared" si="6"/>
        <v>3</v>
      </c>
      <c r="G136" s="25"/>
      <c r="H136" s="29" t="str">
        <f>IFERROR(__xludf.DUMMYFUNCTION("""COMPUTED_VALUE"""),"uradnik")</f>
        <v>uradnik</v>
      </c>
      <c r="M136" s="42" t="str">
        <f>IFERROR(__xludf.DUMMYFUNCTION("""COMPUTED_VALUE"""),"pek")</f>
        <v>pek</v>
      </c>
      <c r="N136" s="43">
        <f t="shared" si="3"/>
        <v>2</v>
      </c>
    </row>
    <row r="137">
      <c r="B137" s="42" t="str">
        <f>IFERROR(__xludf.DUMMYFUNCTION("""COMPUTED_VALUE"""),"guard")</f>
        <v>guard</v>
      </c>
      <c r="C137" s="43">
        <f t="shared" si="5"/>
        <v>3</v>
      </c>
      <c r="E137" s="42" t="str">
        <f>IFERROR(__xludf.DUMMYFUNCTION("""COMPUTED_VALUE"""),"editor")</f>
        <v>editor</v>
      </c>
      <c r="F137" s="43">
        <f t="shared" si="6"/>
        <v>4</v>
      </c>
      <c r="G137" s="25"/>
      <c r="H137" s="29" t="str">
        <f>IFERROR(__xludf.DUMMYFUNCTION("""COMPUTED_VALUE"""),"prodajalec")</f>
        <v>prodajalec</v>
      </c>
      <c r="M137" s="42" t="str">
        <f>IFERROR(__xludf.DUMMYFUNCTION("""COMPUTED_VALUE"""),"zdravnik")</f>
        <v>zdravnik</v>
      </c>
      <c r="N137" s="43">
        <f t="shared" si="3"/>
        <v>3</v>
      </c>
    </row>
    <row r="138">
      <c r="B138" s="42" t="str">
        <f>IFERROR(__xludf.DUMMYFUNCTION("""COMPUTED_VALUE"""),"editor")</f>
        <v>editor</v>
      </c>
      <c r="C138" s="43">
        <f t="shared" si="5"/>
        <v>3</v>
      </c>
      <c r="E138" s="42" t="str">
        <f>IFERROR(__xludf.DUMMYFUNCTION("""COMPUTED_VALUE"""),"guard")</f>
        <v>guard</v>
      </c>
      <c r="F138" s="43">
        <f t="shared" si="6"/>
        <v>2</v>
      </c>
      <c r="G138" s="39"/>
      <c r="H138" s="29" t="str">
        <f>IFERROR(__xludf.DUMMYFUNCTION("""COMPUTED_VALUE"""),"generalni direktor")</f>
        <v>generalni direktor</v>
      </c>
      <c r="M138" s="42" t="str">
        <f>IFERROR(__xludf.DUMMYFUNCTION("""COMPUTED_VALUE"""),"deložerec")</f>
        <v>deložerec</v>
      </c>
      <c r="N138" s="43">
        <f t="shared" si="3"/>
        <v>2</v>
      </c>
    </row>
    <row r="139">
      <c r="B139" s="42" t="str">
        <f>IFERROR(__xludf.DUMMYFUNCTION("""COMPUTED_VALUE"""),"assistant")</f>
        <v>assistant</v>
      </c>
      <c r="C139" s="43">
        <f t="shared" si="5"/>
        <v>3</v>
      </c>
      <c r="E139" s="42" t="str">
        <f>IFERROR(__xludf.DUMMYFUNCTION("""COMPUTED_VALUE"""),"assistant")</f>
        <v>assistant</v>
      </c>
      <c r="F139" s="43">
        <f t="shared" si="6"/>
        <v>3</v>
      </c>
      <c r="G139" s="25"/>
      <c r="H139" s="29" t="str">
        <f>IFERROR(__xludf.DUMMYFUNCTION("""COMPUTED_VALUE"""),"receptor")</f>
        <v>receptor</v>
      </c>
      <c r="M139" s="42" t="str">
        <f>IFERROR(__xludf.DUMMYFUNCTION("""COMPUTED_VALUE"""),"čistilec")</f>
        <v>čistilec</v>
      </c>
      <c r="N139" s="43">
        <f t="shared" si="3"/>
        <v>1</v>
      </c>
    </row>
    <row r="140">
      <c r="B140" s="42" t="str">
        <f>IFERROR(__xludf.DUMMYFUNCTION("""COMPUTED_VALUE"""),"auditor")</f>
        <v>auditor</v>
      </c>
      <c r="C140" s="43">
        <f t="shared" si="5"/>
        <v>4</v>
      </c>
      <c r="E140" s="42" t="str">
        <f>IFERROR(__xludf.DUMMYFUNCTION("""COMPUTED_VALUE"""),"auditor")</f>
        <v>auditor</v>
      </c>
      <c r="F140" s="43">
        <f t="shared" si="6"/>
        <v>3</v>
      </c>
      <c r="G140" s="25"/>
      <c r="H140" s="29" t="str">
        <f>IFERROR(__xludf.DUMMYFUNCTION("""COMPUTED_VALUE"""),"varnostnik")</f>
        <v>varnostnik</v>
      </c>
      <c r="M140" s="42" t="str">
        <f>IFERROR(__xludf.DUMMYFUNCTION("""COMPUTED_VALUE"""),"pisatelj")</f>
        <v>pisatelj</v>
      </c>
      <c r="N140" s="43">
        <f t="shared" si="3"/>
        <v>2</v>
      </c>
    </row>
    <row r="141">
      <c r="B141" s="42" t="str">
        <f>IFERROR(__xludf.DUMMYFUNCTION("""COMPUTED_VALUE"""),"cleaner")</f>
        <v>cleaner</v>
      </c>
      <c r="C141" s="43">
        <f t="shared" si="5"/>
        <v>4</v>
      </c>
      <c r="E141" s="42" t="str">
        <f>IFERROR(__xludf.DUMMYFUNCTION("""COMPUTED_VALUE"""),"cleaner")</f>
        <v>cleaner</v>
      </c>
      <c r="F141" s="43">
        <f t="shared" si="6"/>
        <v>3</v>
      </c>
      <c r="G141" s="39"/>
      <c r="H141" s="29" t="str">
        <f>IFERROR(__xludf.DUMMYFUNCTION("""COMPUTED_VALUE"""),"prodajalec")</f>
        <v>prodajalec</v>
      </c>
      <c r="M141" s="42" t="str">
        <f>IFERROR(__xludf.DUMMYFUNCTION("""COMPUTED_VALUE"""),"gradbenik")</f>
        <v>gradbenik</v>
      </c>
      <c r="N141" s="43">
        <f t="shared" si="3"/>
        <v>1</v>
      </c>
    </row>
    <row r="142">
      <c r="B142" s="42" t="str">
        <f>IFERROR(__xludf.DUMMYFUNCTION("""COMPUTED_VALUE"""),"baker")</f>
        <v>baker</v>
      </c>
      <c r="C142" s="43">
        <f t="shared" si="5"/>
        <v>4</v>
      </c>
      <c r="E142" s="42" t="str">
        <f>IFERROR(__xludf.DUMMYFUNCTION("""COMPUTED_VALUE"""),"baker")</f>
        <v>baker</v>
      </c>
      <c r="F142" s="43">
        <f t="shared" si="6"/>
        <v>3</v>
      </c>
      <c r="G142" s="25"/>
      <c r="H142" s="29" t="str">
        <f>IFERROR(__xludf.DUMMYFUNCTION("""COMPUTED_VALUE"""),"pomočnik")</f>
        <v>pomočnik</v>
      </c>
      <c r="M142" s="42" t="str">
        <f>IFERROR(__xludf.DUMMYFUNCTION("""COMPUTED_VALUE"""),"urednik")</f>
        <v>urednik</v>
      </c>
      <c r="N142" s="43">
        <f t="shared" si="3"/>
        <v>1</v>
      </c>
    </row>
    <row r="143">
      <c r="B143" s="42" t="str">
        <f>IFERROR(__xludf.DUMMYFUNCTION("""COMPUTED_VALUE"""),"physician")</f>
        <v>physician</v>
      </c>
      <c r="C143" s="43">
        <f t="shared" si="5"/>
        <v>4</v>
      </c>
      <c r="E143" s="42" t="str">
        <f>IFERROR(__xludf.DUMMYFUNCTION("""COMPUTED_VALUE"""),"physician")</f>
        <v>physician</v>
      </c>
      <c r="F143" s="43">
        <f t="shared" si="6"/>
        <v>3</v>
      </c>
      <c r="G143" s="25"/>
      <c r="H143" s="29" t="str">
        <f>IFERROR(__xludf.DUMMYFUNCTION("""COMPUTED_VALUE"""),"varnostnik")</f>
        <v>varnostnik</v>
      </c>
      <c r="M143" s="42" t="str">
        <f>IFERROR(__xludf.DUMMYFUNCTION("""COMPUTED_VALUE"""),"mizar")</f>
        <v>mizar</v>
      </c>
      <c r="N143" s="43">
        <f t="shared" si="3"/>
        <v>2</v>
      </c>
    </row>
    <row r="144">
      <c r="B144" s="42" t="str">
        <f>IFERROR(__xludf.DUMMYFUNCTION("""COMPUTED_VALUE"""),"laborer")</f>
        <v>laborer</v>
      </c>
      <c r="C144" s="43">
        <f t="shared" si="5"/>
        <v>3</v>
      </c>
      <c r="E144" s="42" t="str">
        <f>IFERROR(__xludf.DUMMYFUNCTION("""COMPUTED_VALUE"""),"laborer")</f>
        <v>laborer</v>
      </c>
      <c r="F144" s="43">
        <f t="shared" si="6"/>
        <v>2</v>
      </c>
      <c r="G144" s="39"/>
      <c r="H144" s="29" t="str">
        <f>IFERROR(__xludf.DUMMYFUNCTION("""COMPUTED_VALUE"""),"selivec")</f>
        <v>selivec</v>
      </c>
      <c r="M144" s="44" t="str">
        <f>IFERROR(__xludf.DUMMYFUNCTION("""COMPUTED_VALUE"""),"hišnik")</f>
        <v>hišnik</v>
      </c>
      <c r="N144" s="45">
        <f t="shared" si="3"/>
        <v>1</v>
      </c>
    </row>
    <row r="145">
      <c r="B145" s="42" t="str">
        <f>IFERROR(__xludf.DUMMYFUNCTION("""COMPUTED_VALUE"""),"writer")</f>
        <v>writer</v>
      </c>
      <c r="C145" s="43">
        <f t="shared" si="5"/>
        <v>3</v>
      </c>
      <c r="E145" s="42" t="str">
        <f>IFERROR(__xludf.DUMMYFUNCTION("""COMPUTED_VALUE"""),"writer")</f>
        <v>writer</v>
      </c>
      <c r="F145" s="43">
        <f t="shared" si="6"/>
        <v>2</v>
      </c>
      <c r="G145" s="25"/>
      <c r="H145" s="29" t="str">
        <f>IFERROR(__xludf.DUMMYFUNCTION("""COMPUTED_VALUE"""),"prodajalec")</f>
        <v>prodajalec</v>
      </c>
    </row>
    <row r="146">
      <c r="B146" s="42" t="str">
        <f>IFERROR(__xludf.DUMMYFUNCTION("""COMPUTED_VALUE"""),"nurse")</f>
        <v>nurse</v>
      </c>
      <c r="C146" s="43">
        <f t="shared" si="5"/>
        <v>5</v>
      </c>
      <c r="E146" s="42" t="str">
        <f>IFERROR(__xludf.DUMMYFUNCTION("""COMPUTED_VALUE"""),"nurse")</f>
        <v>nurse</v>
      </c>
      <c r="F146" s="43">
        <f t="shared" si="6"/>
        <v>1</v>
      </c>
      <c r="G146" s="25"/>
      <c r="H146" s="29" t="str">
        <f>IFERROR(__xludf.DUMMYFUNCTION("""COMPUTED_VALUE"""),"kmet")</f>
        <v>kmet</v>
      </c>
    </row>
    <row r="147">
      <c r="B147" s="42" t="str">
        <f>IFERROR(__xludf.DUMMYFUNCTION("""COMPUTED_VALUE"""),"construction worker")</f>
        <v>construction worker</v>
      </c>
      <c r="C147" s="43">
        <f t="shared" si="5"/>
        <v>2</v>
      </c>
      <c r="E147" s="42" t="str">
        <f>IFERROR(__xludf.DUMMYFUNCTION("""COMPUTED_VALUE"""),"counselor")</f>
        <v>counselor</v>
      </c>
      <c r="F147" s="43">
        <f t="shared" si="6"/>
        <v>4</v>
      </c>
      <c r="G147" s="39"/>
      <c r="H147" s="29" t="str">
        <f>IFERROR(__xludf.DUMMYFUNCTION("""COMPUTED_VALUE"""),"oblikovalec")</f>
        <v>oblikovalec</v>
      </c>
    </row>
    <row r="148">
      <c r="B148" s="42" t="str">
        <f>IFERROR(__xludf.DUMMYFUNCTION("""COMPUTED_VALUE"""),"counselor")</f>
        <v>counselor</v>
      </c>
      <c r="C148" s="43">
        <f t="shared" si="5"/>
        <v>2</v>
      </c>
      <c r="E148" s="42" t="str">
        <f>IFERROR(__xludf.DUMMYFUNCTION("""COMPUTED_VALUE"""),"construction worker")</f>
        <v>construction worker</v>
      </c>
      <c r="F148" s="43">
        <f t="shared" si="6"/>
        <v>3</v>
      </c>
      <c r="G148" s="25"/>
      <c r="H148" s="29" t="str">
        <f>IFERROR(__xludf.DUMMYFUNCTION("""COMPUTED_VALUE"""),"mehanik")</f>
        <v>mehanik</v>
      </c>
    </row>
    <row r="149">
      <c r="B149" s="44" t="str">
        <f>IFERROR(__xludf.DUMMYFUNCTION("""COMPUTED_VALUE"""),"capenter")</f>
        <v>capenter</v>
      </c>
      <c r="C149" s="45">
        <f t="shared" si="5"/>
        <v>4</v>
      </c>
      <c r="E149" s="44" t="str">
        <f>IFERROR(__xludf.DUMMYFUNCTION("""COMPUTED_VALUE"""),"carpenter")</f>
        <v>carpenter</v>
      </c>
      <c r="F149" s="45">
        <f t="shared" si="6"/>
        <v>1</v>
      </c>
      <c r="G149" s="25"/>
      <c r="H149" s="29" t="str">
        <f>IFERROR(__xludf.DUMMYFUNCTION("""COMPUTED_VALUE"""),"revizor")</f>
        <v>revizor</v>
      </c>
    </row>
    <row r="150">
      <c r="B150" s="29" t="str">
        <f>IFERROR(__xludf.DUMMYFUNCTION("""COMPUTED_VALUE"""),"carpenter")</f>
        <v>carpenter</v>
      </c>
      <c r="E150" s="29" t="str">
        <f>IFERROR(__xludf.DUMMYFUNCTION("""COMPUTED_VALUE"""),"janitor")</f>
        <v>janitor</v>
      </c>
      <c r="G150" s="39"/>
      <c r="H150" s="29" t="str">
        <f>IFERROR(__xludf.DUMMYFUNCTION("""COMPUTED_VALUE"""),"vodja")</f>
        <v>vodja</v>
      </c>
    </row>
    <row r="151">
      <c r="B151" s="29" t="str">
        <f>IFERROR(__xludf.DUMMYFUNCTION("""COMPUTED_VALUE"""),"janitor")</f>
        <v>janitor</v>
      </c>
      <c r="G151" s="25"/>
      <c r="H151" s="29" t="str">
        <f>IFERROR(__xludf.DUMMYFUNCTION("""COMPUTED_VALUE"""),"pek")</f>
        <v>pek</v>
      </c>
    </row>
    <row r="152">
      <c r="G152" s="25"/>
      <c r="H152" s="29" t="str">
        <f>IFERROR(__xludf.DUMMYFUNCTION("""COMPUTED_VALUE"""),"zdravnik")</f>
        <v>zdravnik</v>
      </c>
    </row>
    <row r="153">
      <c r="G153" s="39"/>
      <c r="H153" s="29" t="str">
        <f>IFERROR(__xludf.DUMMYFUNCTION("""COMPUTED_VALUE"""),"oblikovalec")</f>
        <v>oblikovalec</v>
      </c>
    </row>
    <row r="154">
      <c r="G154" s="25"/>
      <c r="H154" s="29" t="str">
        <f>IFERROR(__xludf.DUMMYFUNCTION("""COMPUTED_VALUE"""),"deložerec")</f>
        <v>deložerec</v>
      </c>
    </row>
    <row r="155">
      <c r="G155" s="25"/>
      <c r="H155" s="29" t="str">
        <f>IFERROR(__xludf.DUMMYFUNCTION("""COMPUTED_VALUE"""),"zdravnik")</f>
        <v>zdravnik</v>
      </c>
    </row>
    <row r="156">
      <c r="H156" s="29" t="str">
        <f>IFERROR(__xludf.DUMMYFUNCTION("""COMPUTED_VALUE"""),"frizer")</f>
        <v>frizer</v>
      </c>
    </row>
    <row r="157">
      <c r="H157" s="29" t="str">
        <f>IFERROR(__xludf.DUMMYFUNCTION("""COMPUTED_VALUE"""),"voznik")</f>
        <v>voznik</v>
      </c>
    </row>
    <row r="158">
      <c r="H158" s="29" t="str">
        <f>IFERROR(__xludf.DUMMYFUNCTION("""COMPUTED_VALUE"""),"razvijalec")</f>
        <v>razvijalec</v>
      </c>
    </row>
    <row r="159">
      <c r="H159" s="29" t="str">
        <f>IFERROR(__xludf.DUMMYFUNCTION("""COMPUTED_VALUE"""),"krojač")</f>
        <v>krojač</v>
      </c>
    </row>
    <row r="160">
      <c r="H160" s="29" t="str">
        <f>IFERROR(__xludf.DUMMYFUNCTION("""COMPUTED_VALUE"""),"kmet")</f>
        <v>kmet</v>
      </c>
    </row>
    <row r="161">
      <c r="H161" s="29" t="str">
        <f>IFERROR(__xludf.DUMMYFUNCTION("""COMPUTED_VALUE"""),"krojač")</f>
        <v>krojač</v>
      </c>
    </row>
    <row r="162">
      <c r="H162" s="29" t="str">
        <f>IFERROR(__xludf.DUMMYFUNCTION("""COMPUTED_VALUE"""),"mehanik")</f>
        <v>mehanik</v>
      </c>
    </row>
    <row r="163">
      <c r="H163" s="29" t="str">
        <f>IFERROR(__xludf.DUMMYFUNCTION("""COMPUTED_VALUE"""),"receptor")</f>
        <v>receptor</v>
      </c>
    </row>
    <row r="164">
      <c r="H164" s="29" t="str">
        <f>IFERROR(__xludf.DUMMYFUNCTION("""COMPUTED_VALUE"""),"odvetnik")</f>
        <v>odvetnik</v>
      </c>
    </row>
    <row r="165">
      <c r="H165" s="29" t="str">
        <f>IFERROR(__xludf.DUMMYFUNCTION("""COMPUTED_VALUE"""),"vodja")</f>
        <v>vodja</v>
      </c>
    </row>
    <row r="166">
      <c r="H166" s="29" t="str">
        <f>IFERROR(__xludf.DUMMYFUNCTION("""COMPUTED_VALUE"""),"čistilec")</f>
        <v>čistilec</v>
      </c>
    </row>
    <row r="167">
      <c r="H167" s="29" t="str">
        <f>IFERROR(__xludf.DUMMYFUNCTION("""COMPUTED_VALUE"""),"mehanik")</f>
        <v>mehanik</v>
      </c>
    </row>
    <row r="168">
      <c r="H168" s="29" t="str">
        <f>IFERROR(__xludf.DUMMYFUNCTION("""COMPUTED_VALUE"""),"pomočnik")</f>
        <v>pomočnik</v>
      </c>
    </row>
    <row r="169">
      <c r="H169" s="29" t="str">
        <f>IFERROR(__xludf.DUMMYFUNCTION("""COMPUTED_VALUE"""),"pisatelj")</f>
        <v>pisatelj</v>
      </c>
    </row>
    <row r="170">
      <c r="H170" s="29" t="str">
        <f>IFERROR(__xludf.DUMMYFUNCTION("""COMPUTED_VALUE"""),"zdravnik")</f>
        <v>zdravnik</v>
      </c>
    </row>
    <row r="171">
      <c r="H171" s="29" t="str">
        <f>IFERROR(__xludf.DUMMYFUNCTION("""COMPUTED_VALUE"""),"gradbenik")</f>
        <v>gradbenik</v>
      </c>
    </row>
    <row r="172">
      <c r="H172" s="29" t="str">
        <f>IFERROR(__xludf.DUMMYFUNCTION("""COMPUTED_VALUE"""),"urednik")</f>
        <v>urednik</v>
      </c>
    </row>
    <row r="173">
      <c r="H173" s="29" t="str">
        <f>IFERROR(__xludf.DUMMYFUNCTION("""COMPUTED_VALUE"""),"analitik")</f>
        <v>analitik</v>
      </c>
    </row>
    <row r="174">
      <c r="H174" s="29" t="str">
        <f>IFERROR(__xludf.DUMMYFUNCTION("""COMPUTED_VALUE"""),"mizar")</f>
        <v>mizar</v>
      </c>
    </row>
    <row r="175">
      <c r="H175" s="29" t="str">
        <f>IFERROR(__xludf.DUMMYFUNCTION("""COMPUTED_VALUE"""),"oblikovalec")</f>
        <v>oblikovalec</v>
      </c>
    </row>
    <row r="176">
      <c r="H176" s="29" t="str">
        <f>IFERROR(__xludf.DUMMYFUNCTION("""COMPUTED_VALUE"""),"prodajalec")</f>
        <v>prodajalec</v>
      </c>
    </row>
    <row r="177">
      <c r="H177" s="29" t="str">
        <f>IFERROR(__xludf.DUMMYFUNCTION("""COMPUTED_VALUE"""),"pisatelj")</f>
        <v>pisatelj</v>
      </c>
    </row>
    <row r="178">
      <c r="H178" s="29" t="str">
        <f>IFERROR(__xludf.DUMMYFUNCTION("""COMPUTED_VALUE"""),"pek")</f>
        <v>pek</v>
      </c>
    </row>
    <row r="179">
      <c r="H179" s="29" t="str">
        <f>IFERROR(__xludf.DUMMYFUNCTION("""COMPUTED_VALUE"""),"kuhar")</f>
        <v>kuhar</v>
      </c>
    </row>
    <row r="180">
      <c r="H180" s="29" t="str">
        <f>IFERROR(__xludf.DUMMYFUNCTION("""COMPUTED_VALUE"""),"mizar")</f>
        <v>mizar</v>
      </c>
    </row>
    <row r="181">
      <c r="H181" s="29" t="str">
        <f>IFERROR(__xludf.DUMMYFUNCTION("""COMPUTED_VALUE"""),"uradnik")</f>
        <v>uradnik</v>
      </c>
    </row>
    <row r="182">
      <c r="H182" s="29" t="str">
        <f>IFERROR(__xludf.DUMMYFUNCTION("""COMPUTED_VALUE"""),"kuhar")</f>
        <v>kuhar</v>
      </c>
    </row>
    <row r="183">
      <c r="H183" s="29" t="str">
        <f>IFERROR(__xludf.DUMMYFUNCTION("""COMPUTED_VALUE"""),"oblikovalec")</f>
        <v>oblikovalec</v>
      </c>
    </row>
    <row r="184">
      <c r="H184" s="29" t="str">
        <f>IFERROR(__xludf.DUMMYFUNCTION("""COMPUTED_VALUE"""),"varnostnik")</f>
        <v>varnostnik</v>
      </c>
    </row>
    <row r="185">
      <c r="H185" s="29" t="str">
        <f>IFERROR(__xludf.DUMMYFUNCTION("""COMPUTED_VALUE"""),"deložerec")</f>
        <v>deložerec</v>
      </c>
    </row>
    <row r="186">
      <c r="H186" s="29" t="str">
        <f>IFERROR(__xludf.DUMMYFUNCTION("""COMPUTED_VALUE"""),"hišnik")</f>
        <v>hišnik</v>
      </c>
    </row>
    <row r="187">
      <c r="H187" s="29" t="str">
        <f>IFERROR(__xludf.DUMMYFUNCTION("""COMPUTED_VALUE"""),"oblikovalec")</f>
        <v>oblikovalec</v>
      </c>
    </row>
    <row r="188">
      <c r="H188" s="29" t="str">
        <f>IFERROR(__xludf.DUMMYFUNCTION("""COMPUTED_VALUE"""),"mehanik")</f>
        <v>mehanik</v>
      </c>
    </row>
    <row r="189">
      <c r="H189" s="29" t="str">
        <f>IFERROR(__xludf.DUMMYFUNCTION("""COMPUTED_VALUE"""),"receptor")</f>
        <v>receptor</v>
      </c>
    </row>
    <row r="191">
      <c r="H191" s="23"/>
    </row>
  </sheetData>
  <mergeCells count="9">
    <mergeCell ref="H1:M1"/>
    <mergeCell ref="K2:M2"/>
    <mergeCell ref="B1:F1"/>
    <mergeCell ref="G1:G3"/>
    <mergeCell ref="N1:N3"/>
    <mergeCell ref="O1:O3"/>
    <mergeCell ref="P1:P3"/>
    <mergeCell ref="Q1:Q3"/>
    <mergeCell ref="D2:F2"/>
  </mergeCells>
  <conditionalFormatting sqref="K2:M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5"/>
    <col customWidth="1" min="7" max="7" width="67.13"/>
    <col customWidth="1" min="8" max="8" width="15.63"/>
    <col customWidth="1" min="9" max="9" width="6.63"/>
    <col customWidth="1" min="10" max="10" width="14.63"/>
    <col customWidth="1" min="11" max="11" width="8.63"/>
    <col customWidth="1" min="12" max="12" width="8.88"/>
    <col customWidth="1" min="13" max="13" width="9.38"/>
    <col customWidth="1" min="14" max="14" width="12.63"/>
    <col customWidth="1" min="15" max="15" width="16.13"/>
    <col customWidth="1" min="16" max="16" width="15.75"/>
    <col customWidth="1" min="17" max="17" width="37.88"/>
  </cols>
  <sheetData>
    <row r="1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2" t="s">
        <v>3</v>
      </c>
      <c r="I1" s="3"/>
      <c r="J1" s="3"/>
      <c r="K1" s="3"/>
      <c r="L1" s="3"/>
      <c r="M1" s="5"/>
      <c r="N1" s="6" t="s">
        <v>4</v>
      </c>
      <c r="O1" s="7" t="s">
        <v>5</v>
      </c>
      <c r="P1" s="8" t="s">
        <v>6</v>
      </c>
      <c r="Q1" s="9" t="s">
        <v>7</v>
      </c>
    </row>
    <row r="2">
      <c r="A2" s="10" t="s">
        <v>8</v>
      </c>
      <c r="B2" s="11" t="s">
        <v>9</v>
      </c>
      <c r="C2" s="11" t="s">
        <v>10</v>
      </c>
      <c r="D2" s="12" t="s">
        <v>11</v>
      </c>
      <c r="E2" s="13"/>
      <c r="F2" s="13"/>
      <c r="G2" s="14"/>
      <c r="H2" s="11" t="s">
        <v>9</v>
      </c>
      <c r="I2" s="11" t="s">
        <v>12</v>
      </c>
      <c r="J2" s="11" t="s">
        <v>10</v>
      </c>
      <c r="K2" s="12" t="s">
        <v>13</v>
      </c>
      <c r="L2" s="13"/>
      <c r="M2" s="15"/>
      <c r="N2" s="16"/>
    </row>
    <row r="3">
      <c r="A3" s="17"/>
      <c r="B3" s="18"/>
      <c r="C3" s="18"/>
      <c r="D3" s="19" t="s">
        <v>11</v>
      </c>
      <c r="E3" s="18" t="s">
        <v>14</v>
      </c>
      <c r="F3" s="18" t="s">
        <v>15</v>
      </c>
      <c r="G3" s="20"/>
      <c r="H3" s="18"/>
      <c r="I3" s="18"/>
      <c r="J3" s="18"/>
      <c r="K3" s="19" t="s">
        <v>16</v>
      </c>
      <c r="L3" s="18" t="s">
        <v>17</v>
      </c>
      <c r="M3" s="18" t="s">
        <v>18</v>
      </c>
      <c r="N3" s="21"/>
      <c r="O3" s="22"/>
      <c r="P3" s="22"/>
      <c r="Q3" s="22"/>
    </row>
    <row r="4">
      <c r="A4" s="23" t="s">
        <v>19</v>
      </c>
      <c r="B4" s="23" t="s">
        <v>20</v>
      </c>
      <c r="C4" s="23" t="s">
        <v>21</v>
      </c>
      <c r="D4" s="24" t="s">
        <v>22</v>
      </c>
      <c r="E4" s="23" t="s">
        <v>23</v>
      </c>
      <c r="F4" s="23" t="s">
        <v>10</v>
      </c>
      <c r="G4" s="23" t="s">
        <v>346</v>
      </c>
      <c r="H4" s="23" t="s">
        <v>347</v>
      </c>
      <c r="I4" s="23" t="s">
        <v>23</v>
      </c>
      <c r="J4" s="23" t="s">
        <v>27</v>
      </c>
      <c r="K4" s="26" t="s">
        <v>28</v>
      </c>
      <c r="L4" s="23" t="s">
        <v>23</v>
      </c>
      <c r="M4" s="23" t="s">
        <v>10</v>
      </c>
      <c r="N4" s="28" t="s">
        <v>29</v>
      </c>
      <c r="O4" s="23" t="s">
        <v>30</v>
      </c>
      <c r="P4" s="28" t="s">
        <v>29</v>
      </c>
    </row>
    <row r="5">
      <c r="A5" s="23" t="s">
        <v>31</v>
      </c>
      <c r="B5" s="23" t="s">
        <v>21</v>
      </c>
      <c r="C5" s="23" t="s">
        <v>20</v>
      </c>
      <c r="D5" s="24" t="s">
        <v>32</v>
      </c>
      <c r="E5" s="23" t="s">
        <v>26</v>
      </c>
      <c r="F5" s="23" t="s">
        <v>10</v>
      </c>
      <c r="G5" s="23" t="s">
        <v>33</v>
      </c>
      <c r="H5" s="23" t="s">
        <v>27</v>
      </c>
      <c r="I5" s="23" t="s">
        <v>26</v>
      </c>
      <c r="J5" s="23" t="s">
        <v>25</v>
      </c>
      <c r="K5" s="26" t="s">
        <v>34</v>
      </c>
      <c r="L5" s="23" t="s">
        <v>26</v>
      </c>
      <c r="M5" s="23" t="s">
        <v>10</v>
      </c>
      <c r="N5" s="28" t="s">
        <v>30</v>
      </c>
      <c r="O5" s="23" t="s">
        <v>30</v>
      </c>
      <c r="P5" s="28" t="str">
        <f t="shared" ref="P5:P6" si="1">IF(AND(N5="T", O5="T"), "T", IF(AND(N5="F", O5="F"), "F", ""))
</f>
        <v>T</v>
      </c>
    </row>
    <row r="6">
      <c r="A6" s="23" t="s">
        <v>35</v>
      </c>
      <c r="B6" s="23" t="s">
        <v>36</v>
      </c>
      <c r="C6" s="23" t="s">
        <v>37</v>
      </c>
      <c r="D6" s="24" t="s">
        <v>32</v>
      </c>
      <c r="E6" s="23" t="s">
        <v>26</v>
      </c>
      <c r="F6" s="23" t="s">
        <v>10</v>
      </c>
      <c r="G6" s="23" t="s">
        <v>348</v>
      </c>
      <c r="H6" s="23" t="s">
        <v>39</v>
      </c>
      <c r="I6" s="23" t="s">
        <v>26</v>
      </c>
      <c r="J6" s="23" t="s">
        <v>44</v>
      </c>
      <c r="K6" s="26" t="s">
        <v>70</v>
      </c>
      <c r="L6" s="23" t="s">
        <v>26</v>
      </c>
      <c r="M6" s="23" t="s">
        <v>10</v>
      </c>
      <c r="N6" s="28" t="s">
        <v>30</v>
      </c>
      <c r="O6" s="23" t="s">
        <v>30</v>
      </c>
      <c r="P6" s="28" t="str">
        <f t="shared" si="1"/>
        <v>T</v>
      </c>
    </row>
    <row r="7">
      <c r="A7" s="23" t="s">
        <v>42</v>
      </c>
      <c r="B7" s="23" t="s">
        <v>37</v>
      </c>
      <c r="C7" s="23" t="s">
        <v>36</v>
      </c>
      <c r="D7" s="24" t="s">
        <v>22</v>
      </c>
      <c r="E7" s="23" t="s">
        <v>23</v>
      </c>
      <c r="F7" s="23" t="s">
        <v>10</v>
      </c>
      <c r="G7" s="23" t="s">
        <v>349</v>
      </c>
      <c r="H7" s="23" t="s">
        <v>350</v>
      </c>
      <c r="I7" s="23" t="s">
        <v>26</v>
      </c>
      <c r="J7" s="23" t="s">
        <v>39</v>
      </c>
      <c r="K7" s="26" t="s">
        <v>41</v>
      </c>
      <c r="L7" s="23" t="s">
        <v>23</v>
      </c>
      <c r="M7" s="23" t="s">
        <v>10</v>
      </c>
      <c r="N7" s="28" t="s">
        <v>29</v>
      </c>
      <c r="O7" s="23" t="s">
        <v>30</v>
      </c>
      <c r="P7" s="28" t="s">
        <v>29</v>
      </c>
      <c r="S7" s="23" t="s">
        <v>351</v>
      </c>
      <c r="U7" s="23" t="s">
        <v>52</v>
      </c>
      <c r="W7" s="23" t="s">
        <v>53</v>
      </c>
    </row>
    <row r="8">
      <c r="A8" s="23" t="s">
        <v>45</v>
      </c>
      <c r="B8" s="23" t="s">
        <v>46</v>
      </c>
      <c r="C8" s="23" t="s">
        <v>47</v>
      </c>
      <c r="D8" s="24" t="s">
        <v>32</v>
      </c>
      <c r="E8" s="23" t="s">
        <v>26</v>
      </c>
      <c r="F8" s="23" t="s">
        <v>10</v>
      </c>
      <c r="G8" s="23" t="s">
        <v>352</v>
      </c>
      <c r="H8" s="23" t="s">
        <v>133</v>
      </c>
      <c r="I8" s="23" t="s">
        <v>26</v>
      </c>
      <c r="J8" s="23" t="s">
        <v>50</v>
      </c>
      <c r="K8" s="26" t="s">
        <v>28</v>
      </c>
      <c r="L8" s="23" t="s">
        <v>23</v>
      </c>
      <c r="M8" s="23" t="s">
        <v>10</v>
      </c>
      <c r="N8" s="28" t="s">
        <v>30</v>
      </c>
      <c r="O8" s="23" t="s">
        <v>29</v>
      </c>
      <c r="P8" s="28" t="s">
        <v>29</v>
      </c>
      <c r="Q8" s="23" t="s">
        <v>353</v>
      </c>
      <c r="S8" s="29" t="str">
        <f>IFERROR(__xludf.DUMMYFUNCTION("FILTER(J4:J105, P4:P105 = ""F"")"),"razvijalec")</f>
        <v>razvijalec</v>
      </c>
      <c r="U8" s="29" t="str">
        <f>IFERROR(__xludf.DUMMYFUNCTION("FILTER(J4:J105, O4:O105 = ""F"")"),"gospodinja")</f>
        <v>gospodinja</v>
      </c>
      <c r="W8" s="29" t="str">
        <f>IFERROR(__xludf.DUMMYFUNCTION("FILTER(J4:J105, N4:N105 = ""F"")"),"razvijalec")</f>
        <v>razvijalec</v>
      </c>
    </row>
    <row r="9">
      <c r="A9" s="23" t="s">
        <v>54</v>
      </c>
      <c r="B9" s="23" t="s">
        <v>47</v>
      </c>
      <c r="C9" s="23" t="s">
        <v>46</v>
      </c>
      <c r="D9" s="24" t="s">
        <v>22</v>
      </c>
      <c r="E9" s="23" t="s">
        <v>23</v>
      </c>
      <c r="F9" s="23" t="s">
        <v>10</v>
      </c>
      <c r="G9" s="23" t="s">
        <v>354</v>
      </c>
      <c r="H9" s="23" t="s">
        <v>50</v>
      </c>
      <c r="I9" s="23" t="s">
        <v>23</v>
      </c>
      <c r="J9" s="23" t="s">
        <v>133</v>
      </c>
      <c r="K9" s="26" t="s">
        <v>28</v>
      </c>
      <c r="L9" s="23" t="s">
        <v>23</v>
      </c>
      <c r="M9" s="23" t="s">
        <v>10</v>
      </c>
      <c r="N9" s="28" t="s">
        <v>29</v>
      </c>
      <c r="O9" s="23" t="s">
        <v>30</v>
      </c>
      <c r="P9" s="28" t="s">
        <v>29</v>
      </c>
      <c r="S9" s="29" t="str">
        <f>IFERROR(__xludf.DUMMYFUNCTION("""COMPUTED_VALUE"""),"mehanik")</f>
        <v>mehanik</v>
      </c>
      <c r="U9" s="29" t="str">
        <f>IFERROR(__xludf.DUMMYFUNCTION("""COMPUTED_VALUE"""),"analitik")</f>
        <v>analitik</v>
      </c>
      <c r="W9" s="29" t="str">
        <f>IFERROR(__xludf.DUMMYFUNCTION("""COMPUTED_VALUE"""),"mehanik")</f>
        <v>mehanik</v>
      </c>
    </row>
    <row r="10">
      <c r="A10" s="23" t="s">
        <v>57</v>
      </c>
      <c r="B10" s="23" t="s">
        <v>58</v>
      </c>
      <c r="C10" s="23" t="s">
        <v>47</v>
      </c>
      <c r="D10" s="24" t="s">
        <v>32</v>
      </c>
      <c r="E10" s="23" t="s">
        <v>26</v>
      </c>
      <c r="F10" s="23" t="s">
        <v>10</v>
      </c>
      <c r="G10" s="23" t="s">
        <v>355</v>
      </c>
      <c r="H10" s="23" t="s">
        <v>90</v>
      </c>
      <c r="I10" s="23" t="s">
        <v>26</v>
      </c>
      <c r="J10" s="23" t="s">
        <v>50</v>
      </c>
      <c r="K10" s="26" t="s">
        <v>70</v>
      </c>
      <c r="L10" s="23" t="s">
        <v>26</v>
      </c>
      <c r="M10" s="23" t="s">
        <v>10</v>
      </c>
      <c r="N10" s="28" t="s">
        <v>29</v>
      </c>
      <c r="O10" s="23" t="s">
        <v>30</v>
      </c>
      <c r="P10" s="28" t="s">
        <v>29</v>
      </c>
      <c r="S10" s="29" t="str">
        <f>IFERROR(__xludf.DUMMYFUNCTION("""COMPUTED_VALUE"""),"gospodinja")</f>
        <v>gospodinja</v>
      </c>
      <c r="U10" s="29" t="str">
        <f>IFERROR(__xludf.DUMMYFUNCTION("""COMPUTED_VALUE"""),"recepcijonistka")</f>
        <v>recepcijonistka</v>
      </c>
      <c r="W10" s="29" t="str">
        <f>IFERROR(__xludf.DUMMYFUNCTION("""COMPUTED_VALUE"""),"selivec")</f>
        <v>selivec</v>
      </c>
    </row>
    <row r="11">
      <c r="A11" s="23" t="s">
        <v>61</v>
      </c>
      <c r="B11" s="23" t="s">
        <v>47</v>
      </c>
      <c r="C11" s="23" t="s">
        <v>58</v>
      </c>
      <c r="D11" s="24" t="s">
        <v>22</v>
      </c>
      <c r="E11" s="23" t="s">
        <v>23</v>
      </c>
      <c r="F11" s="23" t="s">
        <v>10</v>
      </c>
      <c r="G11" s="23" t="s">
        <v>356</v>
      </c>
      <c r="H11" s="23" t="s">
        <v>50</v>
      </c>
      <c r="I11" s="23" t="s">
        <v>23</v>
      </c>
      <c r="J11" s="23" t="s">
        <v>60</v>
      </c>
      <c r="K11" s="26" t="s">
        <v>28</v>
      </c>
      <c r="L11" s="23" t="s">
        <v>23</v>
      </c>
      <c r="M11" s="23" t="s">
        <v>10</v>
      </c>
      <c r="N11" s="28" t="s">
        <v>29</v>
      </c>
      <c r="O11" s="23" t="s">
        <v>30</v>
      </c>
      <c r="P11" s="28" t="s">
        <v>29</v>
      </c>
      <c r="S11" s="29" t="str">
        <f>IFERROR(__xludf.DUMMYFUNCTION("""COMPUTED_VALUE"""),"selivec")</f>
        <v>selivec</v>
      </c>
      <c r="U11" s="29" t="str">
        <f>IFERROR(__xludf.DUMMYFUNCTION("""COMPUTED_VALUE"""),"razvijalec")</f>
        <v>razvijalec</v>
      </c>
      <c r="W11" s="29" t="str">
        <f>IFERROR(__xludf.DUMMYFUNCTION("""COMPUTED_VALUE"""),"gospodinja")</f>
        <v>gospodinja</v>
      </c>
    </row>
    <row r="12">
      <c r="A12" s="23" t="s">
        <v>64</v>
      </c>
      <c r="B12" s="23" t="s">
        <v>65</v>
      </c>
      <c r="C12" s="23" t="s">
        <v>66</v>
      </c>
      <c r="D12" s="24" t="s">
        <v>32</v>
      </c>
      <c r="E12" s="23" t="s">
        <v>26</v>
      </c>
      <c r="F12" s="23" t="s">
        <v>10</v>
      </c>
      <c r="G12" s="23" t="s">
        <v>357</v>
      </c>
      <c r="H12" s="23" t="s">
        <v>68</v>
      </c>
      <c r="I12" s="23" t="s">
        <v>26</v>
      </c>
      <c r="J12" s="23" t="s">
        <v>69</v>
      </c>
      <c r="K12" s="26" t="s">
        <v>70</v>
      </c>
      <c r="L12" s="23" t="s">
        <v>26</v>
      </c>
      <c r="M12" s="23" t="s">
        <v>10</v>
      </c>
      <c r="N12" s="28" t="s">
        <v>30</v>
      </c>
      <c r="O12" s="23" t="s">
        <v>30</v>
      </c>
      <c r="P12" s="28" t="str">
        <f t="shared" ref="P12:P19" si="2">IF(AND(N12="T", O12="T"), "T", IF(AND(N12="F", O12="F"), "F", ""))
</f>
        <v>T</v>
      </c>
      <c r="S12" s="29" t="str">
        <f>IFERROR(__xludf.DUMMYFUNCTION("""COMPUTED_VALUE"""),"gospodinja")</f>
        <v>gospodinja</v>
      </c>
      <c r="U12" s="29" t="str">
        <f>IFERROR(__xludf.DUMMYFUNCTION("""COMPUTED_VALUE"""),"kuhar")</f>
        <v>kuhar</v>
      </c>
      <c r="W12" s="29" t="str">
        <f>IFERROR(__xludf.DUMMYFUNCTION("""COMPUTED_VALUE"""),"šef")</f>
        <v>šef</v>
      </c>
    </row>
    <row r="13">
      <c r="A13" s="23" t="s">
        <v>71</v>
      </c>
      <c r="B13" s="23" t="s">
        <v>66</v>
      </c>
      <c r="C13" s="23" t="s">
        <v>65</v>
      </c>
      <c r="D13" s="24" t="s">
        <v>22</v>
      </c>
      <c r="E13" s="23" t="s">
        <v>23</v>
      </c>
      <c r="F13" s="23" t="s">
        <v>10</v>
      </c>
      <c r="G13" s="23" t="s">
        <v>358</v>
      </c>
      <c r="H13" s="23" t="s">
        <v>73</v>
      </c>
      <c r="I13" s="23" t="s">
        <v>23</v>
      </c>
      <c r="J13" s="23" t="s">
        <v>74</v>
      </c>
      <c r="K13" s="26" t="s">
        <v>28</v>
      </c>
      <c r="L13" s="23" t="s">
        <v>23</v>
      </c>
      <c r="M13" s="23" t="s">
        <v>10</v>
      </c>
      <c r="N13" s="28" t="s">
        <v>30</v>
      </c>
      <c r="O13" s="29" t="str">
        <f t="shared" ref="O13:O19" si="3">IF(E13=L13, "T", "F")
</f>
        <v>T</v>
      </c>
      <c r="P13" s="28" t="str">
        <f t="shared" si="2"/>
        <v>T</v>
      </c>
      <c r="S13" s="29" t="str">
        <f>IFERROR(__xludf.DUMMYFUNCTION("""COMPUTED_VALUE"""),"šef")</f>
        <v>šef</v>
      </c>
      <c r="U13" s="29" t="str">
        <f>IFERROR(__xludf.DUMMYFUNCTION("""COMPUTED_VALUE"""),"varnostnik")</f>
        <v>varnostnik</v>
      </c>
      <c r="W13" s="29" t="str">
        <f>IFERROR(__xludf.DUMMYFUNCTION("""COMPUTED_VALUE"""),"mehanik")</f>
        <v>mehanik</v>
      </c>
    </row>
    <row r="14">
      <c r="A14" s="23" t="s">
        <v>75</v>
      </c>
      <c r="B14" s="23" t="s">
        <v>66</v>
      </c>
      <c r="C14" s="23" t="s">
        <v>76</v>
      </c>
      <c r="D14" s="24" t="s">
        <v>22</v>
      </c>
      <c r="E14" s="23" t="s">
        <v>23</v>
      </c>
      <c r="F14" s="23" t="s">
        <v>10</v>
      </c>
      <c r="G14" s="23" t="s">
        <v>359</v>
      </c>
      <c r="H14" s="23" t="s">
        <v>73</v>
      </c>
      <c r="I14" s="23" t="s">
        <v>23</v>
      </c>
      <c r="J14" s="23" t="s">
        <v>78</v>
      </c>
      <c r="K14" s="26" t="s">
        <v>28</v>
      </c>
      <c r="L14" s="23" t="s">
        <v>23</v>
      </c>
      <c r="M14" s="23" t="s">
        <v>10</v>
      </c>
      <c r="N14" s="28" t="s">
        <v>30</v>
      </c>
      <c r="O14" s="29" t="str">
        <f t="shared" si="3"/>
        <v>T</v>
      </c>
      <c r="P14" s="28" t="str">
        <f t="shared" si="2"/>
        <v>T</v>
      </c>
      <c r="S14" s="29" t="str">
        <f>IFERROR(__xludf.DUMMYFUNCTION("""COMPUTED_VALUE"""),"analitik")</f>
        <v>analitik</v>
      </c>
      <c r="W14" s="29" t="str">
        <f>IFERROR(__xludf.DUMMYFUNCTION("""COMPUTED_VALUE"""),"mehanik")</f>
        <v>mehanik</v>
      </c>
    </row>
    <row r="15">
      <c r="A15" s="23" t="s">
        <v>79</v>
      </c>
      <c r="B15" s="23" t="s">
        <v>76</v>
      </c>
      <c r="C15" s="23" t="s">
        <v>66</v>
      </c>
      <c r="D15" s="24" t="s">
        <v>32</v>
      </c>
      <c r="E15" s="23" t="s">
        <v>26</v>
      </c>
      <c r="F15" s="23" t="s">
        <v>10</v>
      </c>
      <c r="G15" s="23" t="s">
        <v>80</v>
      </c>
      <c r="H15" s="23" t="s">
        <v>81</v>
      </c>
      <c r="I15" s="23" t="s">
        <v>26</v>
      </c>
      <c r="J15" s="23" t="s">
        <v>69</v>
      </c>
      <c r="K15" s="26" t="s">
        <v>34</v>
      </c>
      <c r="L15" s="23" t="s">
        <v>26</v>
      </c>
      <c r="M15" s="23" t="s">
        <v>10</v>
      </c>
      <c r="N15" s="28" t="s">
        <v>30</v>
      </c>
      <c r="O15" s="29" t="str">
        <f t="shared" si="3"/>
        <v>T</v>
      </c>
      <c r="P15" s="28" t="str">
        <f t="shared" si="2"/>
        <v>T</v>
      </c>
      <c r="S15" s="29" t="str">
        <f>IFERROR(__xludf.DUMMYFUNCTION("""COMPUTED_VALUE"""),"recepcijonistka")</f>
        <v>recepcijonistka</v>
      </c>
      <c r="W15" s="29" t="str">
        <f>IFERROR(__xludf.DUMMYFUNCTION("""COMPUTED_VALUE"""),"mehanik")</f>
        <v>mehanik</v>
      </c>
    </row>
    <row r="16">
      <c r="A16" s="23" t="s">
        <v>82</v>
      </c>
      <c r="B16" s="23" t="s">
        <v>21</v>
      </c>
      <c r="C16" s="23" t="s">
        <v>66</v>
      </c>
      <c r="D16" s="24" t="s">
        <v>32</v>
      </c>
      <c r="E16" s="23" t="s">
        <v>26</v>
      </c>
      <c r="F16" s="23" t="s">
        <v>10</v>
      </c>
      <c r="G16" s="23" t="s">
        <v>83</v>
      </c>
      <c r="H16" s="23" t="s">
        <v>27</v>
      </c>
      <c r="I16" s="23" t="s">
        <v>26</v>
      </c>
      <c r="J16" s="23" t="s">
        <v>69</v>
      </c>
      <c r="K16" s="26" t="s">
        <v>70</v>
      </c>
      <c r="L16" s="23" t="s">
        <v>26</v>
      </c>
      <c r="M16" s="23" t="s">
        <v>10</v>
      </c>
      <c r="N16" s="28" t="s">
        <v>30</v>
      </c>
      <c r="O16" s="29" t="str">
        <f t="shared" si="3"/>
        <v>T</v>
      </c>
      <c r="P16" s="28" t="str">
        <f t="shared" si="2"/>
        <v>T</v>
      </c>
      <c r="S16" s="29" t="str">
        <f>IFERROR(__xludf.DUMMYFUNCTION("""COMPUTED_VALUE"""),"razvijalec")</f>
        <v>razvijalec</v>
      </c>
      <c r="W16" s="29" t="str">
        <f>IFERROR(__xludf.DUMMYFUNCTION("""COMPUTED_VALUE"""),"medicinska sestra")</f>
        <v>medicinska sestra</v>
      </c>
    </row>
    <row r="17">
      <c r="A17" s="23" t="s">
        <v>84</v>
      </c>
      <c r="B17" s="23" t="s">
        <v>66</v>
      </c>
      <c r="C17" s="23" t="s">
        <v>21</v>
      </c>
      <c r="D17" s="24" t="s">
        <v>22</v>
      </c>
      <c r="E17" s="23" t="s">
        <v>23</v>
      </c>
      <c r="F17" s="23" t="s">
        <v>10</v>
      </c>
      <c r="G17" s="23" t="s">
        <v>85</v>
      </c>
      <c r="H17" s="23" t="s">
        <v>73</v>
      </c>
      <c r="I17" s="23" t="s">
        <v>23</v>
      </c>
      <c r="J17" s="23" t="s">
        <v>86</v>
      </c>
      <c r="K17" s="26" t="s">
        <v>41</v>
      </c>
      <c r="L17" s="23" t="s">
        <v>23</v>
      </c>
      <c r="M17" s="23" t="s">
        <v>10</v>
      </c>
      <c r="N17" s="28" t="s">
        <v>30</v>
      </c>
      <c r="O17" s="29" t="str">
        <f t="shared" si="3"/>
        <v>T</v>
      </c>
      <c r="P17" s="28" t="str">
        <f t="shared" si="2"/>
        <v>T</v>
      </c>
      <c r="S17" s="29" t="str">
        <f>IFERROR(__xludf.DUMMYFUNCTION("""COMPUTED_VALUE"""),"mehanik")</f>
        <v>mehanik</v>
      </c>
      <c r="W17" s="29" t="str">
        <f>IFERROR(__xludf.DUMMYFUNCTION("""COMPUTED_VALUE"""),"gradbeni delavec")</f>
        <v>gradbeni delavec</v>
      </c>
    </row>
    <row r="18">
      <c r="A18" s="23" t="s">
        <v>87</v>
      </c>
      <c r="B18" s="23" t="s">
        <v>88</v>
      </c>
      <c r="C18" s="23" t="s">
        <v>66</v>
      </c>
      <c r="D18" s="24" t="s">
        <v>32</v>
      </c>
      <c r="E18" s="23" t="s">
        <v>26</v>
      </c>
      <c r="F18" s="23" t="s">
        <v>10</v>
      </c>
      <c r="G18" s="23" t="s">
        <v>360</v>
      </c>
      <c r="H18" s="23" t="s">
        <v>168</v>
      </c>
      <c r="I18" s="23" t="s">
        <v>23</v>
      </c>
      <c r="J18" s="23" t="s">
        <v>69</v>
      </c>
      <c r="K18" s="26" t="s">
        <v>70</v>
      </c>
      <c r="L18" s="23" t="s">
        <v>26</v>
      </c>
      <c r="M18" s="23" t="s">
        <v>10</v>
      </c>
      <c r="N18" s="28" t="s">
        <v>30</v>
      </c>
      <c r="O18" s="29" t="str">
        <f t="shared" si="3"/>
        <v>T</v>
      </c>
      <c r="P18" s="28" t="str">
        <f t="shared" si="2"/>
        <v>T</v>
      </c>
      <c r="S18" s="29" t="str">
        <f>IFERROR(__xludf.DUMMYFUNCTION("""COMPUTED_VALUE"""),"mehanik")</f>
        <v>mehanik</v>
      </c>
      <c r="W18" s="29" t="str">
        <f>IFERROR(__xludf.DUMMYFUNCTION("""COMPUTED_VALUE"""),"analitik")</f>
        <v>analitik</v>
      </c>
    </row>
    <row r="19">
      <c r="A19" s="23" t="s">
        <v>91</v>
      </c>
      <c r="B19" s="23" t="s">
        <v>66</v>
      </c>
      <c r="C19" s="23" t="s">
        <v>88</v>
      </c>
      <c r="D19" s="24" t="s">
        <v>22</v>
      </c>
      <c r="E19" s="23" t="s">
        <v>23</v>
      </c>
      <c r="F19" s="23" t="s">
        <v>10</v>
      </c>
      <c r="G19" s="23" t="s">
        <v>361</v>
      </c>
      <c r="H19" s="23" t="s">
        <v>73</v>
      </c>
      <c r="I19" s="23" t="s">
        <v>23</v>
      </c>
      <c r="J19" s="23" t="s">
        <v>362</v>
      </c>
      <c r="K19" s="26" t="s">
        <v>28</v>
      </c>
      <c r="L19" s="23" t="s">
        <v>23</v>
      </c>
      <c r="M19" s="23" t="s">
        <v>10</v>
      </c>
      <c r="N19" s="28" t="s">
        <v>30</v>
      </c>
      <c r="O19" s="29" t="str">
        <f t="shared" si="3"/>
        <v>T</v>
      </c>
      <c r="P19" s="28" t="str">
        <f t="shared" si="2"/>
        <v>T</v>
      </c>
      <c r="S19" s="29" t="str">
        <f>IFERROR(__xludf.DUMMYFUNCTION("""COMPUTED_VALUE"""),"mehanik")</f>
        <v>mehanik</v>
      </c>
      <c r="W19" s="29" t="str">
        <f>IFERROR(__xludf.DUMMYFUNCTION("""COMPUTED_VALUE"""),"mizar")</f>
        <v>mizar</v>
      </c>
    </row>
    <row r="20">
      <c r="A20" s="23" t="s">
        <v>93</v>
      </c>
      <c r="B20" s="23" t="s">
        <v>94</v>
      </c>
      <c r="C20" s="23" t="s">
        <v>95</v>
      </c>
      <c r="D20" s="24" t="s">
        <v>22</v>
      </c>
      <c r="E20" s="23" t="s">
        <v>23</v>
      </c>
      <c r="F20" s="23" t="s">
        <v>10</v>
      </c>
      <c r="G20" s="23" t="s">
        <v>363</v>
      </c>
      <c r="H20" s="23" t="s">
        <v>364</v>
      </c>
      <c r="I20" s="23" t="s">
        <v>23</v>
      </c>
      <c r="J20" s="23" t="s">
        <v>101</v>
      </c>
      <c r="K20" s="26" t="s">
        <v>70</v>
      </c>
      <c r="L20" s="23" t="s">
        <v>26</v>
      </c>
      <c r="M20" s="23" t="s">
        <v>10</v>
      </c>
      <c r="N20" s="28" t="s">
        <v>30</v>
      </c>
      <c r="O20" s="23" t="s">
        <v>29</v>
      </c>
      <c r="P20" s="28" t="s">
        <v>29</v>
      </c>
      <c r="S20" s="29" t="str">
        <f>IFERROR(__xludf.DUMMYFUNCTION("""COMPUTED_VALUE"""),"medicinska sestra")</f>
        <v>medicinska sestra</v>
      </c>
      <c r="W20" s="29" t="str">
        <f>IFERROR(__xludf.DUMMYFUNCTION("""COMPUTED_VALUE"""),"mizar")</f>
        <v>mizar</v>
      </c>
    </row>
    <row r="21">
      <c r="A21" s="23" t="s">
        <v>99</v>
      </c>
      <c r="B21" s="23" t="s">
        <v>95</v>
      </c>
      <c r="C21" s="23" t="s">
        <v>94</v>
      </c>
      <c r="D21" s="24" t="s">
        <v>32</v>
      </c>
      <c r="E21" s="23" t="s">
        <v>26</v>
      </c>
      <c r="F21" s="23" t="s">
        <v>10</v>
      </c>
      <c r="G21" s="23" t="s">
        <v>365</v>
      </c>
      <c r="H21" s="23" t="s">
        <v>101</v>
      </c>
      <c r="I21" s="23" t="s">
        <v>26</v>
      </c>
      <c r="J21" s="23" t="s">
        <v>364</v>
      </c>
      <c r="K21" s="26" t="s">
        <v>41</v>
      </c>
      <c r="L21" s="23" t="s">
        <v>23</v>
      </c>
      <c r="M21" s="23" t="s">
        <v>10</v>
      </c>
      <c r="N21" s="28" t="s">
        <v>30</v>
      </c>
      <c r="O21" s="23" t="s">
        <v>29</v>
      </c>
      <c r="P21" s="28" t="s">
        <v>29</v>
      </c>
      <c r="S21" s="29" t="str">
        <f>IFERROR(__xludf.DUMMYFUNCTION("""COMPUTED_VALUE"""),"gradbeni delavec")</f>
        <v>gradbeni delavec</v>
      </c>
      <c r="W21" s="29" t="str">
        <f>IFERROR(__xludf.DUMMYFUNCTION("""COMPUTED_VALUE"""),"mehanik")</f>
        <v>mehanik</v>
      </c>
    </row>
    <row r="22">
      <c r="A22" s="23" t="s">
        <v>102</v>
      </c>
      <c r="B22" s="23" t="s">
        <v>103</v>
      </c>
      <c r="C22" s="23" t="s">
        <v>104</v>
      </c>
      <c r="D22" s="24" t="s">
        <v>22</v>
      </c>
      <c r="E22" s="23" t="s">
        <v>23</v>
      </c>
      <c r="F22" s="23" t="s">
        <v>10</v>
      </c>
      <c r="G22" s="23" t="s">
        <v>366</v>
      </c>
      <c r="H22" s="23" t="s">
        <v>367</v>
      </c>
      <c r="I22" s="23" t="s">
        <v>23</v>
      </c>
      <c r="J22" s="23" t="s">
        <v>368</v>
      </c>
      <c r="K22" s="26" t="s">
        <v>369</v>
      </c>
      <c r="L22" s="23" t="s">
        <v>23</v>
      </c>
      <c r="M22" s="23" t="s">
        <v>10</v>
      </c>
      <c r="N22" s="28" t="s">
        <v>30</v>
      </c>
      <c r="O22" s="23" t="s">
        <v>30</v>
      </c>
      <c r="P22" s="28" t="s">
        <v>30</v>
      </c>
      <c r="Q22" s="23" t="s">
        <v>370</v>
      </c>
      <c r="S22" s="29" t="str">
        <f>IFERROR(__xludf.DUMMYFUNCTION("""COMPUTED_VALUE"""),"analitik")</f>
        <v>analitik</v>
      </c>
    </row>
    <row r="23">
      <c r="A23" s="23" t="s">
        <v>110</v>
      </c>
      <c r="B23" s="23" t="s">
        <v>104</v>
      </c>
      <c r="C23" s="23" t="s">
        <v>103</v>
      </c>
      <c r="D23" s="24" t="s">
        <v>32</v>
      </c>
      <c r="E23" s="23" t="s">
        <v>26</v>
      </c>
      <c r="F23" s="23" t="s">
        <v>10</v>
      </c>
      <c r="G23" s="23" t="s">
        <v>371</v>
      </c>
      <c r="H23" s="23" t="s">
        <v>107</v>
      </c>
      <c r="I23" s="23" t="s">
        <v>26</v>
      </c>
      <c r="J23" s="23" t="s">
        <v>112</v>
      </c>
      <c r="K23" s="26" t="s">
        <v>34</v>
      </c>
      <c r="L23" s="23" t="s">
        <v>26</v>
      </c>
      <c r="M23" s="23" t="s">
        <v>10</v>
      </c>
      <c r="N23" s="28" t="s">
        <v>30</v>
      </c>
      <c r="O23" s="23" t="s">
        <v>30</v>
      </c>
      <c r="P23" s="28" t="s">
        <v>30</v>
      </c>
      <c r="S23" s="29" t="str">
        <f>IFERROR(__xludf.DUMMYFUNCTION("""COMPUTED_VALUE"""),"mizar")</f>
        <v>mizar</v>
      </c>
    </row>
    <row r="24">
      <c r="A24" s="23" t="s">
        <v>113</v>
      </c>
      <c r="B24" s="23" t="s">
        <v>114</v>
      </c>
      <c r="C24" s="23" t="s">
        <v>20</v>
      </c>
      <c r="D24" s="24" t="s">
        <v>32</v>
      </c>
      <c r="E24" s="23" t="s">
        <v>26</v>
      </c>
      <c r="F24" s="23" t="s">
        <v>10</v>
      </c>
      <c r="G24" s="27" t="s">
        <v>372</v>
      </c>
      <c r="H24" s="23" t="s">
        <v>116</v>
      </c>
      <c r="I24" s="23" t="s">
        <v>26</v>
      </c>
      <c r="J24" s="23" t="s">
        <v>25</v>
      </c>
      <c r="K24" s="26" t="s">
        <v>34</v>
      </c>
      <c r="L24" s="23" t="s">
        <v>26</v>
      </c>
      <c r="M24" s="23" t="s">
        <v>10</v>
      </c>
      <c r="N24" s="28" t="s">
        <v>30</v>
      </c>
      <c r="O24" s="29" t="str">
        <f t="shared" ref="O24:O29" si="4">IF(E24=L24, "T", "F")
</f>
        <v>T</v>
      </c>
      <c r="P24" s="28" t="str">
        <f t="shared" ref="P24:P29" si="5">IF(AND(N24="T", O24="T"), "T", IF(AND(N24="F", O24="F"), "F", ""))
</f>
        <v>T</v>
      </c>
      <c r="S24" s="29" t="str">
        <f>IFERROR(__xludf.DUMMYFUNCTION("""COMPUTED_VALUE"""),"mizar")</f>
        <v>mizar</v>
      </c>
    </row>
    <row r="25">
      <c r="A25" s="23" t="s">
        <v>117</v>
      </c>
      <c r="B25" s="23" t="s">
        <v>20</v>
      </c>
      <c r="C25" s="23" t="s">
        <v>114</v>
      </c>
      <c r="D25" s="24" t="s">
        <v>22</v>
      </c>
      <c r="E25" s="23" t="s">
        <v>23</v>
      </c>
      <c r="F25" s="23" t="s">
        <v>10</v>
      </c>
      <c r="G25" s="23" t="s">
        <v>373</v>
      </c>
      <c r="H25" s="23" t="s">
        <v>347</v>
      </c>
      <c r="I25" s="23" t="s">
        <v>23</v>
      </c>
      <c r="J25" s="23" t="s">
        <v>119</v>
      </c>
      <c r="K25" s="26" t="s">
        <v>41</v>
      </c>
      <c r="L25" s="23" t="s">
        <v>23</v>
      </c>
      <c r="M25" s="23" t="s">
        <v>10</v>
      </c>
      <c r="N25" s="28" t="s">
        <v>30</v>
      </c>
      <c r="O25" s="29" t="str">
        <f t="shared" si="4"/>
        <v>T</v>
      </c>
      <c r="P25" s="28" t="str">
        <f t="shared" si="5"/>
        <v>T</v>
      </c>
      <c r="S25" s="29" t="str">
        <f>IFERROR(__xludf.DUMMYFUNCTION("""COMPUTED_VALUE"""),"kuhar")</f>
        <v>kuhar</v>
      </c>
    </row>
    <row r="26">
      <c r="A26" s="23" t="s">
        <v>120</v>
      </c>
      <c r="B26" s="23" t="s">
        <v>21</v>
      </c>
      <c r="C26" s="23" t="s">
        <v>121</v>
      </c>
      <c r="D26" s="24" t="s">
        <v>32</v>
      </c>
      <c r="E26" s="23" t="s">
        <v>26</v>
      </c>
      <c r="F26" s="23" t="s">
        <v>10</v>
      </c>
      <c r="G26" s="23" t="s">
        <v>122</v>
      </c>
      <c r="H26" s="23" t="s">
        <v>27</v>
      </c>
      <c r="I26" s="23" t="s">
        <v>26</v>
      </c>
      <c r="J26" s="23" t="s">
        <v>123</v>
      </c>
      <c r="K26" s="26" t="s">
        <v>70</v>
      </c>
      <c r="L26" s="23" t="s">
        <v>26</v>
      </c>
      <c r="M26" s="23" t="s">
        <v>10</v>
      </c>
      <c r="N26" s="28" t="s">
        <v>30</v>
      </c>
      <c r="O26" s="29" t="str">
        <f t="shared" si="4"/>
        <v>T</v>
      </c>
      <c r="P26" s="28" t="str">
        <f t="shared" si="5"/>
        <v>T</v>
      </c>
      <c r="S26" s="29" t="str">
        <f>IFERROR(__xludf.DUMMYFUNCTION("""COMPUTED_VALUE"""),"varnostnik")</f>
        <v>varnostnik</v>
      </c>
    </row>
    <row r="27">
      <c r="A27" s="23" t="s">
        <v>124</v>
      </c>
      <c r="B27" s="23" t="s">
        <v>121</v>
      </c>
      <c r="C27" s="23" t="s">
        <v>21</v>
      </c>
      <c r="D27" s="24" t="s">
        <v>22</v>
      </c>
      <c r="E27" s="23" t="s">
        <v>23</v>
      </c>
      <c r="F27" s="23" t="s">
        <v>10</v>
      </c>
      <c r="G27" s="23" t="s">
        <v>374</v>
      </c>
      <c r="H27" s="23" t="s">
        <v>123</v>
      </c>
      <c r="I27" s="23" t="s">
        <v>26</v>
      </c>
      <c r="J27" s="23" t="s">
        <v>86</v>
      </c>
      <c r="K27" s="26" t="s">
        <v>41</v>
      </c>
      <c r="L27" s="23" t="s">
        <v>23</v>
      </c>
      <c r="M27" s="23" t="s">
        <v>10</v>
      </c>
      <c r="N27" s="28" t="s">
        <v>30</v>
      </c>
      <c r="O27" s="29" t="str">
        <f t="shared" si="4"/>
        <v>T</v>
      </c>
      <c r="P27" s="28" t="str">
        <f t="shared" si="5"/>
        <v>T</v>
      </c>
      <c r="S27" s="29" t="str">
        <f>IFERROR(__xludf.DUMMYFUNCTION("""COMPUTED_VALUE"""),"mehanik")</f>
        <v>mehanik</v>
      </c>
    </row>
    <row r="28">
      <c r="A28" s="23" t="s">
        <v>126</v>
      </c>
      <c r="B28" s="23" t="s">
        <v>127</v>
      </c>
      <c r="C28" s="23" t="s">
        <v>46</v>
      </c>
      <c r="D28" s="24" t="s">
        <v>22</v>
      </c>
      <c r="E28" s="23" t="s">
        <v>23</v>
      </c>
      <c r="F28" s="23" t="s">
        <v>10</v>
      </c>
      <c r="G28" s="23" t="s">
        <v>375</v>
      </c>
      <c r="H28" s="23" t="s">
        <v>293</v>
      </c>
      <c r="I28" s="23" t="s">
        <v>23</v>
      </c>
      <c r="J28" s="23" t="s">
        <v>56</v>
      </c>
      <c r="K28" s="26" t="s">
        <v>28</v>
      </c>
      <c r="L28" s="23" t="s">
        <v>23</v>
      </c>
      <c r="M28" s="23" t="s">
        <v>10</v>
      </c>
      <c r="N28" s="28" t="s">
        <v>30</v>
      </c>
      <c r="O28" s="29" t="str">
        <f t="shared" si="4"/>
        <v>T</v>
      </c>
      <c r="P28" s="28" t="str">
        <f t="shared" si="5"/>
        <v>T</v>
      </c>
    </row>
    <row r="29">
      <c r="A29" s="23" t="s">
        <v>131</v>
      </c>
      <c r="B29" s="23" t="s">
        <v>46</v>
      </c>
      <c r="C29" s="23" t="s">
        <v>127</v>
      </c>
      <c r="D29" s="24" t="s">
        <v>32</v>
      </c>
      <c r="E29" s="23" t="s">
        <v>26</v>
      </c>
      <c r="F29" s="23" t="s">
        <v>10</v>
      </c>
      <c r="G29" s="23" t="s">
        <v>132</v>
      </c>
      <c r="H29" s="23" t="s">
        <v>133</v>
      </c>
      <c r="I29" s="23" t="s">
        <v>26</v>
      </c>
      <c r="J29" s="23" t="s">
        <v>134</v>
      </c>
      <c r="K29" s="26" t="s">
        <v>34</v>
      </c>
      <c r="L29" s="23" t="s">
        <v>26</v>
      </c>
      <c r="M29" s="23" t="s">
        <v>10</v>
      </c>
      <c r="N29" s="28" t="s">
        <v>30</v>
      </c>
      <c r="O29" s="29" t="str">
        <f t="shared" si="4"/>
        <v>T</v>
      </c>
      <c r="P29" s="28" t="str">
        <f t="shared" si="5"/>
        <v>T</v>
      </c>
    </row>
    <row r="30">
      <c r="A30" s="23" t="s">
        <v>135</v>
      </c>
      <c r="B30" s="23" t="s">
        <v>114</v>
      </c>
      <c r="C30" s="23" t="s">
        <v>66</v>
      </c>
      <c r="D30" s="24" t="s">
        <v>32</v>
      </c>
      <c r="E30" s="23" t="s">
        <v>26</v>
      </c>
      <c r="F30" s="23" t="s">
        <v>10</v>
      </c>
      <c r="G30" s="23" t="s">
        <v>376</v>
      </c>
      <c r="H30" s="23" t="s">
        <v>119</v>
      </c>
      <c r="I30" s="23" t="s">
        <v>23</v>
      </c>
      <c r="J30" s="23" t="s">
        <v>69</v>
      </c>
      <c r="K30" s="26" t="s">
        <v>34</v>
      </c>
      <c r="L30" s="23" t="s">
        <v>26</v>
      </c>
      <c r="M30" s="23" t="s">
        <v>10</v>
      </c>
      <c r="N30" s="28" t="s">
        <v>30</v>
      </c>
      <c r="O30" s="23" t="s">
        <v>30</v>
      </c>
      <c r="P30" s="28" t="s">
        <v>30</v>
      </c>
    </row>
    <row r="31">
      <c r="A31" s="23" t="s">
        <v>138</v>
      </c>
      <c r="B31" s="23" t="s">
        <v>66</v>
      </c>
      <c r="C31" s="23" t="s">
        <v>114</v>
      </c>
      <c r="D31" s="24" t="s">
        <v>22</v>
      </c>
      <c r="E31" s="23" t="s">
        <v>23</v>
      </c>
      <c r="F31" s="23" t="s">
        <v>10</v>
      </c>
      <c r="G31" s="23" t="s">
        <v>377</v>
      </c>
      <c r="H31" s="23" t="s">
        <v>69</v>
      </c>
      <c r="I31" s="23" t="s">
        <v>26</v>
      </c>
      <c r="J31" s="23" t="s">
        <v>119</v>
      </c>
      <c r="K31" s="26" t="s">
        <v>41</v>
      </c>
      <c r="L31" s="23" t="s">
        <v>23</v>
      </c>
      <c r="M31" s="23" t="s">
        <v>10</v>
      </c>
      <c r="N31" s="28" t="s">
        <v>30</v>
      </c>
      <c r="O31" s="23" t="s">
        <v>30</v>
      </c>
      <c r="P31" s="28" t="s">
        <v>30</v>
      </c>
    </row>
    <row r="32">
      <c r="A32" s="23" t="s">
        <v>140</v>
      </c>
      <c r="B32" s="23" t="s">
        <v>21</v>
      </c>
      <c r="C32" s="23" t="s">
        <v>141</v>
      </c>
      <c r="D32" s="24" t="s">
        <v>32</v>
      </c>
      <c r="E32" s="23" t="s">
        <v>26</v>
      </c>
      <c r="F32" s="23" t="s">
        <v>10</v>
      </c>
      <c r="G32" s="23" t="s">
        <v>378</v>
      </c>
      <c r="H32" s="23" t="s">
        <v>27</v>
      </c>
      <c r="I32" s="23" t="s">
        <v>26</v>
      </c>
      <c r="J32" s="23" t="s">
        <v>143</v>
      </c>
      <c r="K32" s="26" t="s">
        <v>34</v>
      </c>
      <c r="L32" s="23" t="s">
        <v>26</v>
      </c>
      <c r="M32" s="23" t="s">
        <v>10</v>
      </c>
      <c r="N32" s="28" t="s">
        <v>30</v>
      </c>
      <c r="O32" s="23" t="s">
        <v>30</v>
      </c>
      <c r="P32" s="28" t="s">
        <v>30</v>
      </c>
    </row>
    <row r="33">
      <c r="A33" s="23" t="s">
        <v>144</v>
      </c>
      <c r="B33" s="23" t="s">
        <v>141</v>
      </c>
      <c r="C33" s="23" t="s">
        <v>21</v>
      </c>
      <c r="D33" s="24" t="s">
        <v>22</v>
      </c>
      <c r="E33" s="23" t="s">
        <v>23</v>
      </c>
      <c r="F33" s="23" t="s">
        <v>10</v>
      </c>
      <c r="G33" s="23" t="s">
        <v>379</v>
      </c>
      <c r="H33" s="23" t="s">
        <v>230</v>
      </c>
      <c r="I33" s="23" t="s">
        <v>23</v>
      </c>
      <c r="J33" s="23" t="s">
        <v>27</v>
      </c>
      <c r="K33" s="26" t="s">
        <v>34</v>
      </c>
      <c r="L33" s="23" t="s">
        <v>26</v>
      </c>
      <c r="M33" s="23" t="s">
        <v>10</v>
      </c>
      <c r="N33" s="28" t="s">
        <v>30</v>
      </c>
      <c r="O33" s="23" t="s">
        <v>29</v>
      </c>
      <c r="P33" s="28" t="s">
        <v>29</v>
      </c>
    </row>
    <row r="34">
      <c r="A34" s="23" t="s">
        <v>146</v>
      </c>
      <c r="B34" s="23" t="s">
        <v>147</v>
      </c>
      <c r="C34" s="23" t="s">
        <v>37</v>
      </c>
      <c r="D34" s="24" t="s">
        <v>32</v>
      </c>
      <c r="E34" s="23" t="s">
        <v>26</v>
      </c>
      <c r="F34" s="23" t="s">
        <v>10</v>
      </c>
      <c r="G34" s="23" t="s">
        <v>380</v>
      </c>
      <c r="H34" s="23" t="s">
        <v>149</v>
      </c>
      <c r="I34" s="23" t="s">
        <v>26</v>
      </c>
      <c r="J34" s="23" t="s">
        <v>44</v>
      </c>
      <c r="K34" s="26" t="s">
        <v>70</v>
      </c>
      <c r="L34" s="23" t="s">
        <v>26</v>
      </c>
      <c r="M34" s="23" t="s">
        <v>10</v>
      </c>
      <c r="N34" s="28" t="s">
        <v>30</v>
      </c>
      <c r="O34" s="29" t="str">
        <f t="shared" ref="O34:O105" si="6">IF(E34=L34, "T", "F")
</f>
        <v>T</v>
      </c>
      <c r="P34" s="28" t="str">
        <f t="shared" ref="P34:P52" si="7">IF(AND(N34="T", O34="T"), "T", IF(AND(N34="F", O34="F"), "F", ""))
</f>
        <v>T</v>
      </c>
    </row>
    <row r="35">
      <c r="A35" s="23" t="s">
        <v>151</v>
      </c>
      <c r="B35" s="23" t="s">
        <v>37</v>
      </c>
      <c r="C35" s="23" t="s">
        <v>147</v>
      </c>
      <c r="D35" s="24" t="s">
        <v>22</v>
      </c>
      <c r="E35" s="23" t="s">
        <v>23</v>
      </c>
      <c r="F35" s="23" t="s">
        <v>10</v>
      </c>
      <c r="G35" s="23" t="s">
        <v>381</v>
      </c>
      <c r="H35" s="23" t="s">
        <v>350</v>
      </c>
      <c r="I35" s="23" t="s">
        <v>26</v>
      </c>
      <c r="J35" s="23" t="s">
        <v>153</v>
      </c>
      <c r="K35" s="26" t="s">
        <v>41</v>
      </c>
      <c r="L35" s="23" t="s">
        <v>23</v>
      </c>
      <c r="M35" s="23" t="s">
        <v>10</v>
      </c>
      <c r="N35" s="28" t="s">
        <v>30</v>
      </c>
      <c r="O35" s="29" t="str">
        <f t="shared" si="6"/>
        <v>T</v>
      </c>
      <c r="P35" s="28" t="str">
        <f t="shared" si="7"/>
        <v>T</v>
      </c>
    </row>
    <row r="36">
      <c r="A36" s="23" t="s">
        <v>154</v>
      </c>
      <c r="B36" s="23" t="s">
        <v>155</v>
      </c>
      <c r="C36" s="23" t="s">
        <v>156</v>
      </c>
      <c r="D36" s="24" t="s">
        <v>32</v>
      </c>
      <c r="E36" s="23" t="s">
        <v>26</v>
      </c>
      <c r="F36" s="23" t="s">
        <v>10</v>
      </c>
      <c r="G36" s="23" t="s">
        <v>157</v>
      </c>
      <c r="H36" s="23" t="s">
        <v>150</v>
      </c>
      <c r="I36" s="23" t="s">
        <v>26</v>
      </c>
      <c r="J36" s="23" t="s">
        <v>158</v>
      </c>
      <c r="K36" s="26" t="s">
        <v>70</v>
      </c>
      <c r="L36" s="23" t="s">
        <v>26</v>
      </c>
      <c r="M36" s="23" t="s">
        <v>10</v>
      </c>
      <c r="N36" s="28" t="s">
        <v>30</v>
      </c>
      <c r="O36" s="29" t="str">
        <f t="shared" si="6"/>
        <v>T</v>
      </c>
      <c r="P36" s="28" t="str">
        <f t="shared" si="7"/>
        <v>T</v>
      </c>
    </row>
    <row r="37">
      <c r="A37" s="23" t="s">
        <v>159</v>
      </c>
      <c r="B37" s="31" t="s">
        <v>156</v>
      </c>
      <c r="C37" s="31" t="s">
        <v>155</v>
      </c>
      <c r="D37" s="32" t="s">
        <v>22</v>
      </c>
      <c r="E37" s="31" t="s">
        <v>23</v>
      </c>
      <c r="F37" s="31" t="s">
        <v>10</v>
      </c>
      <c r="G37" s="23" t="s">
        <v>160</v>
      </c>
      <c r="H37" s="23" t="s">
        <v>161</v>
      </c>
      <c r="I37" s="23" t="s">
        <v>23</v>
      </c>
      <c r="J37" s="23" t="s">
        <v>40</v>
      </c>
      <c r="K37" s="26" t="s">
        <v>28</v>
      </c>
      <c r="L37" s="23" t="s">
        <v>23</v>
      </c>
      <c r="M37" s="23" t="s">
        <v>10</v>
      </c>
      <c r="N37" s="28" t="s">
        <v>30</v>
      </c>
      <c r="O37" s="29" t="str">
        <f t="shared" si="6"/>
        <v>T</v>
      </c>
      <c r="P37" s="28" t="str">
        <f t="shared" si="7"/>
        <v>T</v>
      </c>
    </row>
    <row r="38">
      <c r="A38" s="23" t="s">
        <v>162</v>
      </c>
      <c r="B38" s="23" t="s">
        <v>163</v>
      </c>
      <c r="C38" s="23" t="s">
        <v>94</v>
      </c>
      <c r="D38" s="24" t="s">
        <v>32</v>
      </c>
      <c r="E38" s="23" t="s">
        <v>26</v>
      </c>
      <c r="F38" s="23" t="s">
        <v>10</v>
      </c>
      <c r="G38" s="23" t="s">
        <v>382</v>
      </c>
      <c r="H38" s="23" t="s">
        <v>383</v>
      </c>
      <c r="I38" s="23" t="s">
        <v>26</v>
      </c>
      <c r="J38" s="23" t="s">
        <v>97</v>
      </c>
      <c r="K38" s="26" t="s">
        <v>70</v>
      </c>
      <c r="L38" s="23" t="s">
        <v>26</v>
      </c>
      <c r="M38" s="23" t="s">
        <v>10</v>
      </c>
      <c r="N38" s="28" t="s">
        <v>30</v>
      </c>
      <c r="O38" s="29" t="str">
        <f t="shared" si="6"/>
        <v>T</v>
      </c>
      <c r="P38" s="28" t="str">
        <f t="shared" si="7"/>
        <v>T</v>
      </c>
    </row>
    <row r="39">
      <c r="A39" s="23" t="s">
        <v>166</v>
      </c>
      <c r="B39" s="23" t="s">
        <v>94</v>
      </c>
      <c r="C39" s="23" t="s">
        <v>163</v>
      </c>
      <c r="D39" s="24" t="s">
        <v>22</v>
      </c>
      <c r="E39" s="23" t="s">
        <v>23</v>
      </c>
      <c r="F39" s="23" t="s">
        <v>10</v>
      </c>
      <c r="G39" s="23" t="s">
        <v>167</v>
      </c>
      <c r="H39" s="23" t="s">
        <v>97</v>
      </c>
      <c r="I39" s="23" t="s">
        <v>26</v>
      </c>
      <c r="J39" s="23" t="s">
        <v>168</v>
      </c>
      <c r="K39" s="26" t="s">
        <v>28</v>
      </c>
      <c r="L39" s="23" t="s">
        <v>23</v>
      </c>
      <c r="M39" s="23" t="s">
        <v>10</v>
      </c>
      <c r="N39" s="28" t="s">
        <v>30</v>
      </c>
      <c r="O39" s="29" t="str">
        <f t="shared" si="6"/>
        <v>T</v>
      </c>
      <c r="P39" s="28" t="str">
        <f t="shared" si="7"/>
        <v>T</v>
      </c>
    </row>
    <row r="40">
      <c r="A40" s="23" t="s">
        <v>169</v>
      </c>
      <c r="B40" s="23" t="s">
        <v>170</v>
      </c>
      <c r="C40" s="23" t="s">
        <v>171</v>
      </c>
      <c r="D40" s="24" t="s">
        <v>32</v>
      </c>
      <c r="E40" s="23" t="s">
        <v>26</v>
      </c>
      <c r="F40" s="23" t="s">
        <v>10</v>
      </c>
      <c r="G40" s="23" t="s">
        <v>172</v>
      </c>
      <c r="H40" s="23" t="s">
        <v>173</v>
      </c>
      <c r="I40" s="23" t="s">
        <v>26</v>
      </c>
      <c r="J40" s="23" t="s">
        <v>174</v>
      </c>
      <c r="K40" s="26" t="s">
        <v>34</v>
      </c>
      <c r="L40" s="23" t="s">
        <v>26</v>
      </c>
      <c r="M40" s="23" t="s">
        <v>10</v>
      </c>
      <c r="N40" s="28" t="s">
        <v>30</v>
      </c>
      <c r="O40" s="29" t="str">
        <f t="shared" si="6"/>
        <v>T</v>
      </c>
      <c r="P40" s="28" t="str">
        <f t="shared" si="7"/>
        <v>T</v>
      </c>
    </row>
    <row r="41">
      <c r="A41" s="23" t="s">
        <v>175</v>
      </c>
      <c r="B41" s="23" t="s">
        <v>171</v>
      </c>
      <c r="C41" s="23" t="s">
        <v>170</v>
      </c>
      <c r="D41" s="24" t="s">
        <v>22</v>
      </c>
      <c r="E41" s="23" t="s">
        <v>23</v>
      </c>
      <c r="F41" s="23" t="s">
        <v>10</v>
      </c>
      <c r="G41" s="23" t="s">
        <v>384</v>
      </c>
      <c r="H41" s="23" t="s">
        <v>174</v>
      </c>
      <c r="I41" s="23" t="s">
        <v>26</v>
      </c>
      <c r="J41" s="23" t="s">
        <v>385</v>
      </c>
      <c r="K41" s="26" t="s">
        <v>28</v>
      </c>
      <c r="L41" s="23" t="s">
        <v>23</v>
      </c>
      <c r="M41" s="23" t="s">
        <v>10</v>
      </c>
      <c r="N41" s="28" t="s">
        <v>30</v>
      </c>
      <c r="O41" s="29" t="str">
        <f t="shared" si="6"/>
        <v>T</v>
      </c>
      <c r="P41" s="28" t="str">
        <f t="shared" si="7"/>
        <v>T</v>
      </c>
    </row>
    <row r="42">
      <c r="A42" s="23" t="s">
        <v>179</v>
      </c>
      <c r="B42" s="23" t="s">
        <v>155</v>
      </c>
      <c r="C42" s="23" t="s">
        <v>180</v>
      </c>
      <c r="D42" s="24" t="s">
        <v>32</v>
      </c>
      <c r="E42" s="23" t="s">
        <v>26</v>
      </c>
      <c r="F42" s="23" t="s">
        <v>10</v>
      </c>
      <c r="G42" s="23" t="s">
        <v>386</v>
      </c>
      <c r="H42" s="23" t="s">
        <v>150</v>
      </c>
      <c r="I42" s="23" t="s">
        <v>26</v>
      </c>
      <c r="J42" s="23" t="s">
        <v>185</v>
      </c>
      <c r="K42" s="26" t="s">
        <v>34</v>
      </c>
      <c r="L42" s="23" t="s">
        <v>26</v>
      </c>
      <c r="M42" s="23" t="s">
        <v>10</v>
      </c>
      <c r="N42" s="28" t="s">
        <v>30</v>
      </c>
      <c r="O42" s="29" t="str">
        <f t="shared" si="6"/>
        <v>T</v>
      </c>
      <c r="P42" s="28" t="str">
        <f t="shared" si="7"/>
        <v>T</v>
      </c>
    </row>
    <row r="43">
      <c r="A43" s="23" t="s">
        <v>183</v>
      </c>
      <c r="B43" s="23" t="s">
        <v>180</v>
      </c>
      <c r="C43" s="23" t="s">
        <v>155</v>
      </c>
      <c r="D43" s="24" t="s">
        <v>22</v>
      </c>
      <c r="E43" s="23" t="s">
        <v>23</v>
      </c>
      <c r="F43" s="23" t="s">
        <v>10</v>
      </c>
      <c r="G43" s="23" t="s">
        <v>387</v>
      </c>
      <c r="H43" s="23" t="s">
        <v>388</v>
      </c>
      <c r="I43" s="23" t="s">
        <v>23</v>
      </c>
      <c r="J43" s="23" t="s">
        <v>40</v>
      </c>
      <c r="K43" s="26" t="s">
        <v>28</v>
      </c>
      <c r="L43" s="23" t="s">
        <v>23</v>
      </c>
      <c r="M43" s="23" t="s">
        <v>10</v>
      </c>
      <c r="N43" s="28" t="s">
        <v>30</v>
      </c>
      <c r="O43" s="29" t="str">
        <f t="shared" si="6"/>
        <v>T</v>
      </c>
      <c r="P43" s="28" t="str">
        <f t="shared" si="7"/>
        <v>T</v>
      </c>
    </row>
    <row r="44">
      <c r="A44" s="23" t="s">
        <v>186</v>
      </c>
      <c r="B44" s="23" t="s">
        <v>187</v>
      </c>
      <c r="C44" s="23" t="s">
        <v>170</v>
      </c>
      <c r="D44" s="24" t="s">
        <v>22</v>
      </c>
      <c r="E44" s="23" t="s">
        <v>23</v>
      </c>
      <c r="F44" s="23" t="s">
        <v>10</v>
      </c>
      <c r="G44" s="23" t="s">
        <v>389</v>
      </c>
      <c r="H44" s="23" t="s">
        <v>192</v>
      </c>
      <c r="I44" s="23" t="s">
        <v>26</v>
      </c>
      <c r="J44" s="23" t="s">
        <v>178</v>
      </c>
      <c r="K44" s="26" t="s">
        <v>41</v>
      </c>
      <c r="L44" s="23" t="s">
        <v>23</v>
      </c>
      <c r="M44" s="23" t="s">
        <v>10</v>
      </c>
      <c r="N44" s="28" t="s">
        <v>30</v>
      </c>
      <c r="O44" s="29" t="str">
        <f t="shared" si="6"/>
        <v>T</v>
      </c>
      <c r="P44" s="28" t="str">
        <f t="shared" si="7"/>
        <v>T</v>
      </c>
    </row>
    <row r="45">
      <c r="A45" s="23" t="s">
        <v>190</v>
      </c>
      <c r="B45" s="23" t="s">
        <v>170</v>
      </c>
      <c r="C45" s="23" t="s">
        <v>187</v>
      </c>
      <c r="D45" s="24" t="s">
        <v>32</v>
      </c>
      <c r="E45" s="23" t="s">
        <v>26</v>
      </c>
      <c r="F45" s="23" t="s">
        <v>10</v>
      </c>
      <c r="G45" s="23" t="s">
        <v>390</v>
      </c>
      <c r="H45" s="23" t="s">
        <v>391</v>
      </c>
      <c r="I45" s="23" t="s">
        <v>26</v>
      </c>
      <c r="J45" s="23" t="s">
        <v>192</v>
      </c>
      <c r="K45" s="26" t="s">
        <v>70</v>
      </c>
      <c r="L45" s="23" t="s">
        <v>26</v>
      </c>
      <c r="M45" s="23" t="s">
        <v>10</v>
      </c>
      <c r="N45" s="28" t="s">
        <v>30</v>
      </c>
      <c r="O45" s="29" t="str">
        <f t="shared" si="6"/>
        <v>T</v>
      </c>
      <c r="P45" s="28" t="str">
        <f t="shared" si="7"/>
        <v>T</v>
      </c>
    </row>
    <row r="46">
      <c r="A46" s="23" t="s">
        <v>126</v>
      </c>
      <c r="B46" s="23" t="s">
        <v>127</v>
      </c>
      <c r="C46" s="23" t="s">
        <v>46</v>
      </c>
      <c r="D46" s="24" t="s">
        <v>22</v>
      </c>
      <c r="E46" s="23" t="s">
        <v>23</v>
      </c>
      <c r="F46" s="23" t="s">
        <v>10</v>
      </c>
      <c r="G46" s="23" t="s">
        <v>375</v>
      </c>
      <c r="H46" s="23" t="s">
        <v>293</v>
      </c>
      <c r="I46" s="23" t="s">
        <v>23</v>
      </c>
      <c r="J46" s="23" t="s">
        <v>56</v>
      </c>
      <c r="K46" s="26" t="s">
        <v>28</v>
      </c>
      <c r="L46" s="23" t="s">
        <v>23</v>
      </c>
      <c r="M46" s="23" t="s">
        <v>10</v>
      </c>
      <c r="N46" s="28" t="s">
        <v>30</v>
      </c>
      <c r="O46" s="29" t="str">
        <f t="shared" si="6"/>
        <v>T</v>
      </c>
      <c r="P46" s="28" t="str">
        <f t="shared" si="7"/>
        <v>T</v>
      </c>
    </row>
    <row r="47">
      <c r="A47" s="23" t="s">
        <v>131</v>
      </c>
      <c r="B47" s="23" t="s">
        <v>46</v>
      </c>
      <c r="C47" s="23" t="s">
        <v>127</v>
      </c>
      <c r="D47" s="24" t="s">
        <v>32</v>
      </c>
      <c r="E47" s="23" t="s">
        <v>26</v>
      </c>
      <c r="F47" s="23" t="s">
        <v>10</v>
      </c>
      <c r="G47" s="23" t="s">
        <v>132</v>
      </c>
      <c r="H47" s="23" t="s">
        <v>133</v>
      </c>
      <c r="I47" s="23" t="s">
        <v>26</v>
      </c>
      <c r="J47" s="23" t="s">
        <v>134</v>
      </c>
      <c r="K47" s="26" t="s">
        <v>34</v>
      </c>
      <c r="L47" s="23" t="s">
        <v>26</v>
      </c>
      <c r="M47" s="23" t="s">
        <v>10</v>
      </c>
      <c r="N47" s="28" t="s">
        <v>30</v>
      </c>
      <c r="O47" s="29" t="str">
        <f t="shared" si="6"/>
        <v>T</v>
      </c>
      <c r="P47" s="28" t="str">
        <f t="shared" si="7"/>
        <v>T</v>
      </c>
    </row>
    <row r="48">
      <c r="A48" s="23" t="s">
        <v>194</v>
      </c>
      <c r="B48" s="23" t="s">
        <v>155</v>
      </c>
      <c r="C48" s="23" t="s">
        <v>195</v>
      </c>
      <c r="D48" s="24" t="s">
        <v>32</v>
      </c>
      <c r="E48" s="23" t="s">
        <v>26</v>
      </c>
      <c r="F48" s="23" t="s">
        <v>10</v>
      </c>
      <c r="G48" s="23" t="s">
        <v>392</v>
      </c>
      <c r="H48" s="23" t="s">
        <v>150</v>
      </c>
      <c r="I48" s="23" t="s">
        <v>26</v>
      </c>
      <c r="J48" s="23" t="s">
        <v>197</v>
      </c>
      <c r="K48" s="26" t="s">
        <v>34</v>
      </c>
      <c r="L48" s="23" t="s">
        <v>26</v>
      </c>
      <c r="M48" s="23" t="s">
        <v>10</v>
      </c>
      <c r="N48" s="28" t="s">
        <v>30</v>
      </c>
      <c r="O48" s="29" t="str">
        <f t="shared" si="6"/>
        <v>T</v>
      </c>
      <c r="P48" s="28" t="str">
        <f t="shared" si="7"/>
        <v>T</v>
      </c>
    </row>
    <row r="49">
      <c r="A49" s="23" t="s">
        <v>198</v>
      </c>
      <c r="B49" s="23" t="s">
        <v>195</v>
      </c>
      <c r="C49" s="23" t="s">
        <v>155</v>
      </c>
      <c r="D49" s="24" t="s">
        <v>22</v>
      </c>
      <c r="E49" s="23" t="s">
        <v>23</v>
      </c>
      <c r="F49" s="23" t="s">
        <v>10</v>
      </c>
      <c r="G49" s="23" t="s">
        <v>199</v>
      </c>
      <c r="H49" s="23" t="s">
        <v>200</v>
      </c>
      <c r="I49" s="23" t="s">
        <v>23</v>
      </c>
      <c r="J49" s="23" t="s">
        <v>40</v>
      </c>
      <c r="K49" s="26" t="s">
        <v>28</v>
      </c>
      <c r="L49" s="23" t="s">
        <v>23</v>
      </c>
      <c r="M49" s="23" t="s">
        <v>10</v>
      </c>
      <c r="N49" s="28" t="s">
        <v>30</v>
      </c>
      <c r="O49" s="29" t="str">
        <f t="shared" si="6"/>
        <v>T</v>
      </c>
      <c r="P49" s="28" t="str">
        <f t="shared" si="7"/>
        <v>T</v>
      </c>
    </row>
    <row r="50">
      <c r="A50" s="23" t="s">
        <v>113</v>
      </c>
      <c r="B50" s="23" t="s">
        <v>114</v>
      </c>
      <c r="C50" s="23" t="s">
        <v>20</v>
      </c>
      <c r="D50" s="24" t="s">
        <v>32</v>
      </c>
      <c r="E50" s="23" t="s">
        <v>26</v>
      </c>
      <c r="F50" s="23" t="s">
        <v>10</v>
      </c>
      <c r="G50" s="23" t="s">
        <v>372</v>
      </c>
      <c r="H50" s="23" t="s">
        <v>116</v>
      </c>
      <c r="I50" s="23" t="s">
        <v>26</v>
      </c>
      <c r="J50" s="23" t="s">
        <v>25</v>
      </c>
      <c r="K50" s="26" t="s">
        <v>34</v>
      </c>
      <c r="L50" s="23" t="s">
        <v>26</v>
      </c>
      <c r="M50" s="23" t="s">
        <v>10</v>
      </c>
      <c r="N50" s="28" t="s">
        <v>30</v>
      </c>
      <c r="O50" s="29" t="str">
        <f t="shared" si="6"/>
        <v>T</v>
      </c>
      <c r="P50" s="28" t="str">
        <f t="shared" si="7"/>
        <v>T</v>
      </c>
    </row>
    <row r="51">
      <c r="A51" s="23" t="s">
        <v>117</v>
      </c>
      <c r="B51" s="23" t="s">
        <v>20</v>
      </c>
      <c r="C51" s="23" t="s">
        <v>114</v>
      </c>
      <c r="D51" s="24" t="s">
        <v>22</v>
      </c>
      <c r="E51" s="23" t="s">
        <v>23</v>
      </c>
      <c r="F51" s="23" t="s">
        <v>10</v>
      </c>
      <c r="G51" s="23" t="s">
        <v>373</v>
      </c>
      <c r="H51" s="23" t="s">
        <v>347</v>
      </c>
      <c r="I51" s="23" t="s">
        <v>23</v>
      </c>
      <c r="J51" s="23" t="s">
        <v>119</v>
      </c>
      <c r="K51" s="26" t="s">
        <v>41</v>
      </c>
      <c r="L51" s="23" t="s">
        <v>23</v>
      </c>
      <c r="M51" s="23" t="s">
        <v>10</v>
      </c>
      <c r="N51" s="28" t="s">
        <v>30</v>
      </c>
      <c r="O51" s="29" t="str">
        <f t="shared" si="6"/>
        <v>T</v>
      </c>
      <c r="P51" s="28" t="str">
        <f t="shared" si="7"/>
        <v>T</v>
      </c>
    </row>
    <row r="52">
      <c r="A52" s="23" t="s">
        <v>201</v>
      </c>
      <c r="B52" s="23" t="s">
        <v>36</v>
      </c>
      <c r="C52" s="23" t="s">
        <v>187</v>
      </c>
      <c r="D52" s="24" t="s">
        <v>32</v>
      </c>
      <c r="E52" s="23" t="s">
        <v>26</v>
      </c>
      <c r="F52" s="23" t="s">
        <v>10</v>
      </c>
      <c r="G52" s="23" t="s">
        <v>393</v>
      </c>
      <c r="H52" s="23" t="s">
        <v>39</v>
      </c>
      <c r="I52" s="23" t="s">
        <v>26</v>
      </c>
      <c r="J52" s="23" t="s">
        <v>192</v>
      </c>
      <c r="K52" s="26" t="s">
        <v>70</v>
      </c>
      <c r="L52" s="23" t="s">
        <v>26</v>
      </c>
      <c r="M52" s="23" t="s">
        <v>10</v>
      </c>
      <c r="N52" s="28" t="s">
        <v>30</v>
      </c>
      <c r="O52" s="29" t="str">
        <f t="shared" si="6"/>
        <v>T</v>
      </c>
      <c r="P52" s="28" t="str">
        <f t="shared" si="7"/>
        <v>T</v>
      </c>
    </row>
    <row r="53">
      <c r="A53" s="23" t="s">
        <v>203</v>
      </c>
      <c r="B53" s="23" t="s">
        <v>187</v>
      </c>
      <c r="C53" s="23" t="s">
        <v>36</v>
      </c>
      <c r="D53" s="24" t="s">
        <v>22</v>
      </c>
      <c r="E53" s="23" t="s">
        <v>23</v>
      </c>
      <c r="F53" s="23" t="s">
        <v>10</v>
      </c>
      <c r="G53" s="23" t="s">
        <v>394</v>
      </c>
      <c r="H53" s="23" t="s">
        <v>192</v>
      </c>
      <c r="I53" s="23" t="s">
        <v>26</v>
      </c>
      <c r="J53" s="23" t="s">
        <v>39</v>
      </c>
      <c r="K53" s="26" t="s">
        <v>41</v>
      </c>
      <c r="L53" s="23" t="s">
        <v>23</v>
      </c>
      <c r="M53" s="23" t="s">
        <v>10</v>
      </c>
      <c r="N53" s="28" t="s">
        <v>29</v>
      </c>
      <c r="O53" s="29" t="str">
        <f t="shared" si="6"/>
        <v>T</v>
      </c>
      <c r="P53" s="46" t="s">
        <v>29</v>
      </c>
    </row>
    <row r="54">
      <c r="A54" s="23" t="s">
        <v>206</v>
      </c>
      <c r="B54" s="23" t="s">
        <v>88</v>
      </c>
      <c r="C54" s="23" t="s">
        <v>207</v>
      </c>
      <c r="D54" s="24" t="s">
        <v>32</v>
      </c>
      <c r="E54" s="23" t="s">
        <v>26</v>
      </c>
      <c r="F54" s="23" t="s">
        <v>10</v>
      </c>
      <c r="G54" s="23" t="s">
        <v>395</v>
      </c>
      <c r="H54" s="23" t="s">
        <v>383</v>
      </c>
      <c r="I54" s="23" t="s">
        <v>26</v>
      </c>
      <c r="J54" s="23" t="s">
        <v>209</v>
      </c>
      <c r="K54" s="26" t="s">
        <v>34</v>
      </c>
      <c r="L54" s="23" t="s">
        <v>26</v>
      </c>
      <c r="M54" s="23" t="s">
        <v>10</v>
      </c>
      <c r="N54" s="28" t="s">
        <v>30</v>
      </c>
      <c r="O54" s="29" t="str">
        <f t="shared" si="6"/>
        <v>T</v>
      </c>
      <c r="P54" s="28" t="str">
        <f t="shared" ref="P54:P68" si="8">IF(AND(N54="T", O54="T"), "T", IF(AND(N54="F", O54="F"), "F", ""))
</f>
        <v>T</v>
      </c>
    </row>
    <row r="55">
      <c r="A55" s="23" t="s">
        <v>210</v>
      </c>
      <c r="B55" s="23" t="s">
        <v>207</v>
      </c>
      <c r="C55" s="23" t="s">
        <v>88</v>
      </c>
      <c r="D55" s="24" t="s">
        <v>22</v>
      </c>
      <c r="E55" s="23" t="s">
        <v>23</v>
      </c>
      <c r="F55" s="23" t="s">
        <v>10</v>
      </c>
      <c r="G55" s="23" t="s">
        <v>396</v>
      </c>
      <c r="H55" s="23" t="s">
        <v>209</v>
      </c>
      <c r="I55" s="23" t="s">
        <v>26</v>
      </c>
      <c r="J55" s="23" t="s">
        <v>362</v>
      </c>
      <c r="K55" s="26" t="s">
        <v>41</v>
      </c>
      <c r="L55" s="23" t="s">
        <v>23</v>
      </c>
      <c r="M55" s="23" t="s">
        <v>10</v>
      </c>
      <c r="N55" s="28" t="s">
        <v>30</v>
      </c>
      <c r="O55" s="29" t="str">
        <f t="shared" si="6"/>
        <v>T</v>
      </c>
      <c r="P55" s="28" t="str">
        <f t="shared" si="8"/>
        <v>T</v>
      </c>
    </row>
    <row r="56">
      <c r="A56" s="23" t="s">
        <v>212</v>
      </c>
      <c r="B56" s="23" t="s">
        <v>213</v>
      </c>
      <c r="C56" s="23" t="s">
        <v>20</v>
      </c>
      <c r="D56" s="24" t="s">
        <v>32</v>
      </c>
      <c r="E56" s="23" t="s">
        <v>26</v>
      </c>
      <c r="F56" s="23" t="s">
        <v>10</v>
      </c>
      <c r="G56" s="23" t="s">
        <v>397</v>
      </c>
      <c r="H56" s="23" t="s">
        <v>215</v>
      </c>
      <c r="I56" s="23" t="s">
        <v>26</v>
      </c>
      <c r="J56" s="23" t="s">
        <v>25</v>
      </c>
      <c r="K56" s="26" t="s">
        <v>70</v>
      </c>
      <c r="L56" s="23" t="s">
        <v>26</v>
      </c>
      <c r="M56" s="23" t="s">
        <v>10</v>
      </c>
      <c r="N56" s="28" t="s">
        <v>30</v>
      </c>
      <c r="O56" s="29" t="str">
        <f t="shared" si="6"/>
        <v>T</v>
      </c>
      <c r="P56" s="28" t="str">
        <f t="shared" si="8"/>
        <v>T</v>
      </c>
    </row>
    <row r="57">
      <c r="A57" s="23" t="s">
        <v>216</v>
      </c>
      <c r="B57" s="23" t="s">
        <v>20</v>
      </c>
      <c r="C57" s="23" t="s">
        <v>213</v>
      </c>
      <c r="D57" s="24" t="s">
        <v>22</v>
      </c>
      <c r="E57" s="23" t="s">
        <v>23</v>
      </c>
      <c r="F57" s="23" t="s">
        <v>10</v>
      </c>
      <c r="G57" s="27" t="s">
        <v>398</v>
      </c>
      <c r="H57" s="23" t="s">
        <v>347</v>
      </c>
      <c r="I57" s="23" t="s">
        <v>23</v>
      </c>
      <c r="J57" s="23" t="s">
        <v>218</v>
      </c>
      <c r="K57" s="26" t="s">
        <v>28</v>
      </c>
      <c r="L57" s="23" t="s">
        <v>23</v>
      </c>
      <c r="M57" s="23" t="s">
        <v>10</v>
      </c>
      <c r="N57" s="28" t="s">
        <v>30</v>
      </c>
      <c r="O57" s="29" t="str">
        <f t="shared" si="6"/>
        <v>T</v>
      </c>
      <c r="P57" s="28" t="str">
        <f t="shared" si="8"/>
        <v>T</v>
      </c>
    </row>
    <row r="58">
      <c r="A58" s="23" t="s">
        <v>219</v>
      </c>
      <c r="B58" s="23" t="s">
        <v>220</v>
      </c>
      <c r="C58" s="23" t="s">
        <v>66</v>
      </c>
      <c r="D58" s="24" t="s">
        <v>32</v>
      </c>
      <c r="E58" s="23" t="s">
        <v>26</v>
      </c>
      <c r="F58" s="23" t="s">
        <v>10</v>
      </c>
      <c r="G58" s="23" t="s">
        <v>399</v>
      </c>
      <c r="H58" s="23" t="s">
        <v>400</v>
      </c>
      <c r="I58" s="23" t="s">
        <v>26</v>
      </c>
      <c r="J58" s="23" t="s">
        <v>69</v>
      </c>
      <c r="K58" s="26" t="s">
        <v>34</v>
      </c>
      <c r="L58" s="23" t="s">
        <v>26</v>
      </c>
      <c r="M58" s="23" t="s">
        <v>10</v>
      </c>
      <c r="N58" s="28" t="s">
        <v>30</v>
      </c>
      <c r="O58" s="29" t="str">
        <f t="shared" si="6"/>
        <v>T</v>
      </c>
      <c r="P58" s="28" t="str">
        <f t="shared" si="8"/>
        <v>T</v>
      </c>
    </row>
    <row r="59">
      <c r="A59" s="23" t="s">
        <v>223</v>
      </c>
      <c r="B59" s="23" t="s">
        <v>66</v>
      </c>
      <c r="C59" s="23" t="s">
        <v>220</v>
      </c>
      <c r="D59" s="24" t="s">
        <v>22</v>
      </c>
      <c r="E59" s="23" t="s">
        <v>23</v>
      </c>
      <c r="F59" s="23" t="s">
        <v>10</v>
      </c>
      <c r="G59" s="23" t="s">
        <v>401</v>
      </c>
      <c r="H59" s="23" t="s">
        <v>73</v>
      </c>
      <c r="I59" s="23" t="s">
        <v>23</v>
      </c>
      <c r="J59" s="23" t="s">
        <v>225</v>
      </c>
      <c r="K59" s="26" t="s">
        <v>28</v>
      </c>
      <c r="L59" s="23" t="s">
        <v>23</v>
      </c>
      <c r="M59" s="23" t="s">
        <v>10</v>
      </c>
      <c r="N59" s="28" t="s">
        <v>30</v>
      </c>
      <c r="O59" s="29" t="str">
        <f t="shared" si="6"/>
        <v>T</v>
      </c>
      <c r="P59" s="28" t="str">
        <f t="shared" si="8"/>
        <v>T</v>
      </c>
    </row>
    <row r="60">
      <c r="A60" s="23" t="s">
        <v>226</v>
      </c>
      <c r="B60" s="23" t="s">
        <v>213</v>
      </c>
      <c r="C60" s="23" t="s">
        <v>141</v>
      </c>
      <c r="D60" s="24" t="s">
        <v>32</v>
      </c>
      <c r="E60" s="23" t="s">
        <v>26</v>
      </c>
      <c r="F60" s="23" t="s">
        <v>10</v>
      </c>
      <c r="G60" s="23" t="s">
        <v>402</v>
      </c>
      <c r="H60" s="23" t="s">
        <v>215</v>
      </c>
      <c r="I60" s="23" t="s">
        <v>26</v>
      </c>
      <c r="J60" s="23" t="s">
        <v>143</v>
      </c>
      <c r="K60" s="26" t="s">
        <v>70</v>
      </c>
      <c r="L60" s="23" t="s">
        <v>26</v>
      </c>
      <c r="M60" s="23" t="s">
        <v>10</v>
      </c>
      <c r="N60" s="28" t="s">
        <v>30</v>
      </c>
      <c r="O60" s="29" t="str">
        <f t="shared" si="6"/>
        <v>T</v>
      </c>
      <c r="P60" s="28" t="str">
        <f t="shared" si="8"/>
        <v>T</v>
      </c>
    </row>
    <row r="61">
      <c r="A61" s="23" t="s">
        <v>228</v>
      </c>
      <c r="B61" s="23" t="s">
        <v>141</v>
      </c>
      <c r="C61" s="23" t="s">
        <v>213</v>
      </c>
      <c r="D61" s="24" t="s">
        <v>22</v>
      </c>
      <c r="E61" s="23" t="s">
        <v>23</v>
      </c>
      <c r="F61" s="23" t="s">
        <v>10</v>
      </c>
      <c r="G61" s="23" t="s">
        <v>403</v>
      </c>
      <c r="H61" s="23" t="s">
        <v>230</v>
      </c>
      <c r="I61" s="23" t="s">
        <v>23</v>
      </c>
      <c r="J61" s="23" t="s">
        <v>218</v>
      </c>
      <c r="K61" s="26" t="s">
        <v>41</v>
      </c>
      <c r="L61" s="23" t="s">
        <v>23</v>
      </c>
      <c r="M61" s="23" t="s">
        <v>10</v>
      </c>
      <c r="N61" s="28" t="s">
        <v>30</v>
      </c>
      <c r="O61" s="29" t="str">
        <f t="shared" si="6"/>
        <v>T</v>
      </c>
      <c r="P61" s="28" t="str">
        <f t="shared" si="8"/>
        <v>T</v>
      </c>
    </row>
    <row r="62">
      <c r="A62" s="23" t="s">
        <v>231</v>
      </c>
      <c r="B62" s="23" t="s">
        <v>66</v>
      </c>
      <c r="C62" s="23" t="s">
        <v>147</v>
      </c>
      <c r="D62" s="24" t="s">
        <v>22</v>
      </c>
      <c r="E62" s="23" t="s">
        <v>23</v>
      </c>
      <c r="F62" s="23" t="s">
        <v>10</v>
      </c>
      <c r="G62" s="23" t="s">
        <v>404</v>
      </c>
      <c r="H62" s="23" t="s">
        <v>73</v>
      </c>
      <c r="I62" s="23" t="s">
        <v>23</v>
      </c>
      <c r="J62" s="23" t="s">
        <v>153</v>
      </c>
      <c r="K62" s="26" t="s">
        <v>233</v>
      </c>
      <c r="L62" s="23" t="s">
        <v>23</v>
      </c>
      <c r="M62" s="23" t="s">
        <v>10</v>
      </c>
      <c r="N62" s="28" t="s">
        <v>30</v>
      </c>
      <c r="O62" s="29" t="str">
        <f t="shared" si="6"/>
        <v>T</v>
      </c>
      <c r="P62" s="28" t="str">
        <f t="shared" si="8"/>
        <v>T</v>
      </c>
    </row>
    <row r="63">
      <c r="A63" s="23" t="s">
        <v>234</v>
      </c>
      <c r="B63" s="23" t="s">
        <v>147</v>
      </c>
      <c r="C63" s="23" t="s">
        <v>66</v>
      </c>
      <c r="D63" s="24" t="s">
        <v>32</v>
      </c>
      <c r="E63" s="23" t="s">
        <v>26</v>
      </c>
      <c r="F63" s="23" t="s">
        <v>10</v>
      </c>
      <c r="G63" s="23" t="s">
        <v>405</v>
      </c>
      <c r="H63" s="23" t="s">
        <v>149</v>
      </c>
      <c r="I63" s="23" t="s">
        <v>26</v>
      </c>
      <c r="J63" s="23" t="s">
        <v>69</v>
      </c>
      <c r="K63" s="26" t="s">
        <v>34</v>
      </c>
      <c r="L63" s="23" t="s">
        <v>26</v>
      </c>
      <c r="M63" s="23" t="s">
        <v>10</v>
      </c>
      <c r="N63" s="28" t="s">
        <v>30</v>
      </c>
      <c r="O63" s="29" t="str">
        <f t="shared" si="6"/>
        <v>T</v>
      </c>
      <c r="P63" s="28" t="str">
        <f t="shared" si="8"/>
        <v>T</v>
      </c>
    </row>
    <row r="64">
      <c r="A64" s="23" t="s">
        <v>120</v>
      </c>
      <c r="B64" s="23" t="s">
        <v>21</v>
      </c>
      <c r="C64" s="23" t="s">
        <v>121</v>
      </c>
      <c r="D64" s="24" t="s">
        <v>32</v>
      </c>
      <c r="E64" s="23" t="s">
        <v>26</v>
      </c>
      <c r="F64" s="23" t="s">
        <v>10</v>
      </c>
      <c r="G64" s="23" t="s">
        <v>122</v>
      </c>
      <c r="H64" s="23" t="s">
        <v>27</v>
      </c>
      <c r="I64" s="23" t="s">
        <v>26</v>
      </c>
      <c r="J64" s="23" t="s">
        <v>123</v>
      </c>
      <c r="K64" s="26" t="s">
        <v>70</v>
      </c>
      <c r="L64" s="23" t="s">
        <v>26</v>
      </c>
      <c r="M64" s="23" t="s">
        <v>10</v>
      </c>
      <c r="N64" s="28" t="s">
        <v>30</v>
      </c>
      <c r="O64" s="29" t="str">
        <f t="shared" si="6"/>
        <v>T</v>
      </c>
      <c r="P64" s="28" t="str">
        <f t="shared" si="8"/>
        <v>T</v>
      </c>
    </row>
    <row r="65">
      <c r="A65" s="23" t="s">
        <v>124</v>
      </c>
      <c r="B65" s="23" t="s">
        <v>121</v>
      </c>
      <c r="C65" s="23" t="s">
        <v>21</v>
      </c>
      <c r="D65" s="24" t="s">
        <v>22</v>
      </c>
      <c r="E65" s="23" t="s">
        <v>23</v>
      </c>
      <c r="F65" s="23" t="s">
        <v>10</v>
      </c>
      <c r="G65" s="23" t="s">
        <v>374</v>
      </c>
      <c r="H65" s="23" t="s">
        <v>123</v>
      </c>
      <c r="I65" s="23" t="s">
        <v>26</v>
      </c>
      <c r="J65" s="23" t="s">
        <v>86</v>
      </c>
      <c r="K65" s="26" t="s">
        <v>41</v>
      </c>
      <c r="L65" s="23" t="s">
        <v>23</v>
      </c>
      <c r="M65" s="23" t="s">
        <v>10</v>
      </c>
      <c r="N65" s="28" t="s">
        <v>30</v>
      </c>
      <c r="O65" s="29" t="str">
        <f t="shared" si="6"/>
        <v>T</v>
      </c>
      <c r="P65" s="28" t="str">
        <f t="shared" si="8"/>
        <v>T</v>
      </c>
    </row>
    <row r="66">
      <c r="A66" s="23" t="s">
        <v>236</v>
      </c>
      <c r="B66" s="23" t="s">
        <v>114</v>
      </c>
      <c r="C66" s="23" t="s">
        <v>121</v>
      </c>
      <c r="D66" s="24" t="s">
        <v>32</v>
      </c>
      <c r="E66" s="23" t="s">
        <v>26</v>
      </c>
      <c r="F66" s="23" t="s">
        <v>10</v>
      </c>
      <c r="G66" s="23" t="s">
        <v>406</v>
      </c>
      <c r="H66" s="23" t="s">
        <v>116</v>
      </c>
      <c r="I66" s="23" t="s">
        <v>26</v>
      </c>
      <c r="J66" s="23" t="s">
        <v>123</v>
      </c>
      <c r="K66" s="26" t="s">
        <v>34</v>
      </c>
      <c r="L66" s="23" t="s">
        <v>26</v>
      </c>
      <c r="M66" s="23" t="s">
        <v>10</v>
      </c>
      <c r="N66" s="28" t="s">
        <v>30</v>
      </c>
      <c r="O66" s="29" t="str">
        <f t="shared" si="6"/>
        <v>T</v>
      </c>
      <c r="P66" s="28" t="str">
        <f t="shared" si="8"/>
        <v>T</v>
      </c>
    </row>
    <row r="67">
      <c r="A67" s="23" t="s">
        <v>238</v>
      </c>
      <c r="B67" s="23" t="s">
        <v>121</v>
      </c>
      <c r="C67" s="23" t="s">
        <v>114</v>
      </c>
      <c r="D67" s="24" t="s">
        <v>22</v>
      </c>
      <c r="E67" s="23" t="s">
        <v>23</v>
      </c>
      <c r="F67" s="23" t="s">
        <v>10</v>
      </c>
      <c r="G67" s="23" t="s">
        <v>407</v>
      </c>
      <c r="H67" s="23" t="s">
        <v>123</v>
      </c>
      <c r="I67" s="23" t="s">
        <v>26</v>
      </c>
      <c r="J67" s="23" t="s">
        <v>119</v>
      </c>
      <c r="K67" s="26" t="s">
        <v>28</v>
      </c>
      <c r="L67" s="23" t="s">
        <v>23</v>
      </c>
      <c r="M67" s="23" t="s">
        <v>10</v>
      </c>
      <c r="N67" s="28" t="s">
        <v>30</v>
      </c>
      <c r="O67" s="29" t="str">
        <f t="shared" si="6"/>
        <v>T</v>
      </c>
      <c r="P67" s="28" t="str">
        <f t="shared" si="8"/>
        <v>T</v>
      </c>
    </row>
    <row r="68">
      <c r="A68" s="23" t="s">
        <v>240</v>
      </c>
      <c r="B68" s="23" t="s">
        <v>36</v>
      </c>
      <c r="C68" s="23" t="s">
        <v>171</v>
      </c>
      <c r="D68" s="24" t="s">
        <v>32</v>
      </c>
      <c r="E68" s="23" t="s">
        <v>26</v>
      </c>
      <c r="F68" s="23" t="s">
        <v>10</v>
      </c>
      <c r="G68" s="23" t="s">
        <v>408</v>
      </c>
      <c r="H68" s="23" t="s">
        <v>39</v>
      </c>
      <c r="I68" s="23" t="s">
        <v>26</v>
      </c>
      <c r="J68" s="23" t="s">
        <v>174</v>
      </c>
      <c r="K68" s="26" t="s">
        <v>70</v>
      </c>
      <c r="L68" s="23" t="s">
        <v>26</v>
      </c>
      <c r="M68" s="23" t="s">
        <v>10</v>
      </c>
      <c r="N68" s="28" t="s">
        <v>30</v>
      </c>
      <c r="O68" s="29" t="str">
        <f t="shared" si="6"/>
        <v>T</v>
      </c>
      <c r="P68" s="28" t="str">
        <f t="shared" si="8"/>
        <v>T</v>
      </c>
    </row>
    <row r="69">
      <c r="A69" s="23" t="s">
        <v>242</v>
      </c>
      <c r="B69" s="23" t="s">
        <v>171</v>
      </c>
      <c r="C69" s="23" t="s">
        <v>36</v>
      </c>
      <c r="D69" s="24" t="s">
        <v>22</v>
      </c>
      <c r="E69" s="23" t="s">
        <v>23</v>
      </c>
      <c r="F69" s="23" t="s">
        <v>10</v>
      </c>
      <c r="G69" s="23" t="s">
        <v>409</v>
      </c>
      <c r="H69" s="23" t="s">
        <v>174</v>
      </c>
      <c r="I69" s="23" t="s">
        <v>26</v>
      </c>
      <c r="J69" s="23" t="s">
        <v>39</v>
      </c>
      <c r="K69" s="26" t="s">
        <v>41</v>
      </c>
      <c r="L69" s="23" t="s">
        <v>23</v>
      </c>
      <c r="M69" s="23" t="s">
        <v>10</v>
      </c>
      <c r="N69" s="28" t="s">
        <v>29</v>
      </c>
      <c r="O69" s="29" t="str">
        <f t="shared" si="6"/>
        <v>T</v>
      </c>
      <c r="P69" s="46" t="s">
        <v>29</v>
      </c>
    </row>
    <row r="70">
      <c r="A70" s="23" t="s">
        <v>244</v>
      </c>
      <c r="B70" s="23" t="s">
        <v>94</v>
      </c>
      <c r="C70" s="23" t="s">
        <v>65</v>
      </c>
      <c r="D70" s="24" t="s">
        <v>22</v>
      </c>
      <c r="E70" s="23" t="s">
        <v>23</v>
      </c>
      <c r="F70" s="23" t="s">
        <v>10</v>
      </c>
      <c r="G70" s="23" t="s">
        <v>410</v>
      </c>
      <c r="H70" s="23" t="s">
        <v>97</v>
      </c>
      <c r="I70" s="23" t="s">
        <v>26</v>
      </c>
      <c r="J70" s="23" t="s">
        <v>74</v>
      </c>
      <c r="K70" s="26" t="s">
        <v>41</v>
      </c>
      <c r="L70" s="23" t="s">
        <v>23</v>
      </c>
      <c r="M70" s="23" t="s">
        <v>10</v>
      </c>
      <c r="N70" s="28" t="s">
        <v>30</v>
      </c>
      <c r="O70" s="29" t="str">
        <f t="shared" si="6"/>
        <v>T</v>
      </c>
      <c r="P70" s="28" t="str">
        <f t="shared" ref="P70:P76" si="9">IF(AND(N70="T", O70="T"), "T", IF(AND(N70="F", O70="F"), "F", ""))
</f>
        <v>T</v>
      </c>
    </row>
    <row r="71">
      <c r="A71" s="23" t="s">
        <v>246</v>
      </c>
      <c r="B71" s="31" t="s">
        <v>65</v>
      </c>
      <c r="C71" s="31" t="s">
        <v>94</v>
      </c>
      <c r="D71" s="32" t="s">
        <v>32</v>
      </c>
      <c r="E71" s="31" t="s">
        <v>26</v>
      </c>
      <c r="F71" s="31" t="s">
        <v>10</v>
      </c>
      <c r="G71" s="23" t="s">
        <v>411</v>
      </c>
      <c r="H71" s="23" t="s">
        <v>68</v>
      </c>
      <c r="I71" s="23" t="s">
        <v>26</v>
      </c>
      <c r="J71" s="23" t="s">
        <v>97</v>
      </c>
      <c r="K71" s="26" t="s">
        <v>34</v>
      </c>
      <c r="L71" s="23" t="s">
        <v>26</v>
      </c>
      <c r="M71" s="23" t="s">
        <v>10</v>
      </c>
      <c r="N71" s="28" t="s">
        <v>30</v>
      </c>
      <c r="O71" s="29" t="str">
        <f t="shared" si="6"/>
        <v>T</v>
      </c>
      <c r="P71" s="28" t="str">
        <f t="shared" si="9"/>
        <v>T</v>
      </c>
    </row>
    <row r="72">
      <c r="A72" s="23" t="s">
        <v>248</v>
      </c>
      <c r="B72" s="23" t="s">
        <v>88</v>
      </c>
      <c r="C72" s="23" t="s">
        <v>195</v>
      </c>
      <c r="D72" s="24" t="s">
        <v>32</v>
      </c>
      <c r="E72" s="23" t="s">
        <v>26</v>
      </c>
      <c r="F72" s="33" t="s">
        <v>10</v>
      </c>
      <c r="G72" s="23" t="s">
        <v>249</v>
      </c>
      <c r="H72" s="23" t="s">
        <v>90</v>
      </c>
      <c r="I72" s="23" t="s">
        <v>26</v>
      </c>
      <c r="J72" s="23" t="s">
        <v>197</v>
      </c>
      <c r="K72" s="26" t="s">
        <v>34</v>
      </c>
      <c r="L72" s="23" t="s">
        <v>26</v>
      </c>
      <c r="M72" s="23" t="s">
        <v>10</v>
      </c>
      <c r="N72" s="28" t="s">
        <v>30</v>
      </c>
      <c r="O72" s="29" t="str">
        <f t="shared" si="6"/>
        <v>T</v>
      </c>
      <c r="P72" s="28" t="str">
        <f t="shared" si="9"/>
        <v>T</v>
      </c>
    </row>
    <row r="73">
      <c r="A73" s="23" t="s">
        <v>250</v>
      </c>
      <c r="B73" s="23" t="s">
        <v>195</v>
      </c>
      <c r="C73" s="23" t="s">
        <v>88</v>
      </c>
      <c r="D73" s="24" t="s">
        <v>22</v>
      </c>
      <c r="E73" s="23" t="s">
        <v>23</v>
      </c>
      <c r="F73" s="23" t="s">
        <v>10</v>
      </c>
      <c r="G73" s="23" t="s">
        <v>412</v>
      </c>
      <c r="H73" s="23" t="s">
        <v>200</v>
      </c>
      <c r="I73" s="23" t="s">
        <v>23</v>
      </c>
      <c r="J73" s="23" t="s">
        <v>362</v>
      </c>
      <c r="K73" s="26" t="s">
        <v>28</v>
      </c>
      <c r="L73" s="23" t="s">
        <v>23</v>
      </c>
      <c r="M73" s="23" t="s">
        <v>10</v>
      </c>
      <c r="N73" s="28" t="s">
        <v>30</v>
      </c>
      <c r="O73" s="29" t="str">
        <f t="shared" si="6"/>
        <v>T</v>
      </c>
      <c r="P73" s="28" t="str">
        <f t="shared" si="9"/>
        <v>T</v>
      </c>
    </row>
    <row r="74">
      <c r="A74" s="23" t="s">
        <v>252</v>
      </c>
      <c r="B74" s="23" t="s">
        <v>195</v>
      </c>
      <c r="C74" s="23" t="s">
        <v>21</v>
      </c>
      <c r="D74" s="24" t="s">
        <v>22</v>
      </c>
      <c r="E74" s="23" t="s">
        <v>23</v>
      </c>
      <c r="F74" s="23" t="s">
        <v>10</v>
      </c>
      <c r="G74" s="23" t="s">
        <v>413</v>
      </c>
      <c r="H74" s="23" t="s">
        <v>197</v>
      </c>
      <c r="I74" s="23" t="s">
        <v>26</v>
      </c>
      <c r="J74" s="23" t="s">
        <v>86</v>
      </c>
      <c r="K74" s="26" t="s">
        <v>254</v>
      </c>
      <c r="L74" s="23" t="s">
        <v>23</v>
      </c>
      <c r="M74" s="23" t="s">
        <v>10</v>
      </c>
      <c r="N74" s="28" t="s">
        <v>30</v>
      </c>
      <c r="O74" s="29" t="str">
        <f t="shared" si="6"/>
        <v>T</v>
      </c>
      <c r="P74" s="28" t="str">
        <f t="shared" si="9"/>
        <v>T</v>
      </c>
    </row>
    <row r="75">
      <c r="A75" s="23" t="s">
        <v>255</v>
      </c>
      <c r="B75" s="23" t="s">
        <v>21</v>
      </c>
      <c r="C75" s="23" t="s">
        <v>195</v>
      </c>
      <c r="D75" s="24" t="s">
        <v>32</v>
      </c>
      <c r="E75" s="23" t="s">
        <v>26</v>
      </c>
      <c r="F75" s="23" t="s">
        <v>10</v>
      </c>
      <c r="G75" s="23" t="s">
        <v>414</v>
      </c>
      <c r="H75" s="23" t="s">
        <v>27</v>
      </c>
      <c r="I75" s="23" t="s">
        <v>26</v>
      </c>
      <c r="J75" s="23" t="s">
        <v>197</v>
      </c>
      <c r="K75" s="26" t="s">
        <v>34</v>
      </c>
      <c r="L75" s="23" t="s">
        <v>26</v>
      </c>
      <c r="M75" s="23" t="s">
        <v>10</v>
      </c>
      <c r="N75" s="28" t="s">
        <v>30</v>
      </c>
      <c r="O75" s="29" t="str">
        <f t="shared" si="6"/>
        <v>T</v>
      </c>
      <c r="P75" s="28" t="str">
        <f t="shared" si="9"/>
        <v>T</v>
      </c>
    </row>
    <row r="76">
      <c r="A76" s="23" t="s">
        <v>257</v>
      </c>
      <c r="B76" s="23" t="s">
        <v>36</v>
      </c>
      <c r="C76" s="23" t="s">
        <v>180</v>
      </c>
      <c r="D76" s="24" t="s">
        <v>32</v>
      </c>
      <c r="E76" s="23" t="s">
        <v>26</v>
      </c>
      <c r="F76" s="23" t="s">
        <v>10</v>
      </c>
      <c r="G76" s="23" t="s">
        <v>415</v>
      </c>
      <c r="H76" s="23" t="s">
        <v>39</v>
      </c>
      <c r="I76" s="23" t="s">
        <v>26</v>
      </c>
      <c r="J76" s="23" t="s">
        <v>185</v>
      </c>
      <c r="K76" s="26" t="s">
        <v>34</v>
      </c>
      <c r="L76" s="23" t="s">
        <v>26</v>
      </c>
      <c r="M76" s="23" t="s">
        <v>10</v>
      </c>
      <c r="N76" s="28" t="s">
        <v>30</v>
      </c>
      <c r="O76" s="29" t="str">
        <f t="shared" si="6"/>
        <v>T</v>
      </c>
      <c r="P76" s="28" t="str">
        <f t="shared" si="9"/>
        <v>T</v>
      </c>
    </row>
    <row r="77">
      <c r="A77" s="23" t="s">
        <v>259</v>
      </c>
      <c r="B77" s="23" t="s">
        <v>180</v>
      </c>
      <c r="C77" s="23" t="s">
        <v>36</v>
      </c>
      <c r="D77" s="24" t="s">
        <v>22</v>
      </c>
      <c r="E77" s="23" t="s">
        <v>23</v>
      </c>
      <c r="F77" s="23" t="s">
        <v>10</v>
      </c>
      <c r="G77" s="23" t="s">
        <v>416</v>
      </c>
      <c r="H77" s="23" t="s">
        <v>388</v>
      </c>
      <c r="I77" s="23" t="s">
        <v>23</v>
      </c>
      <c r="J77" s="23" t="s">
        <v>39</v>
      </c>
      <c r="K77" s="26" t="s">
        <v>41</v>
      </c>
      <c r="L77" s="23" t="s">
        <v>23</v>
      </c>
      <c r="M77" s="23" t="s">
        <v>10</v>
      </c>
      <c r="N77" s="28" t="s">
        <v>29</v>
      </c>
      <c r="O77" s="29" t="str">
        <f t="shared" si="6"/>
        <v>T</v>
      </c>
      <c r="P77" s="46" t="s">
        <v>29</v>
      </c>
    </row>
    <row r="78">
      <c r="A78" s="23" t="s">
        <v>261</v>
      </c>
      <c r="B78" s="23" t="s">
        <v>262</v>
      </c>
      <c r="C78" s="23" t="s">
        <v>88</v>
      </c>
      <c r="D78" s="24" t="s">
        <v>22</v>
      </c>
      <c r="E78" s="23" t="s">
        <v>23</v>
      </c>
      <c r="F78" s="23" t="s">
        <v>10</v>
      </c>
      <c r="G78" s="23" t="s">
        <v>417</v>
      </c>
      <c r="H78" s="23" t="s">
        <v>264</v>
      </c>
      <c r="I78" s="23" t="s">
        <v>26</v>
      </c>
      <c r="J78" s="23" t="s">
        <v>362</v>
      </c>
      <c r="K78" s="26" t="s">
        <v>41</v>
      </c>
      <c r="L78" s="23" t="s">
        <v>23</v>
      </c>
      <c r="M78" s="23" t="s">
        <v>10</v>
      </c>
      <c r="N78" s="28" t="s">
        <v>30</v>
      </c>
      <c r="O78" s="29" t="str">
        <f t="shared" si="6"/>
        <v>T</v>
      </c>
      <c r="P78" s="28" t="str">
        <f t="shared" ref="P78:P79" si="10">IF(AND(N78="T", O78="T"), "T", IF(AND(N78="F", O78="F"), "F", ""))
</f>
        <v>T</v>
      </c>
    </row>
    <row r="79">
      <c r="A79" s="23" t="s">
        <v>265</v>
      </c>
      <c r="B79" s="23" t="s">
        <v>88</v>
      </c>
      <c r="C79" s="23" t="s">
        <v>262</v>
      </c>
      <c r="D79" s="24" t="s">
        <v>32</v>
      </c>
      <c r="E79" s="23" t="s">
        <v>26</v>
      </c>
      <c r="F79" s="23" t="s">
        <v>10</v>
      </c>
      <c r="G79" s="23" t="s">
        <v>418</v>
      </c>
      <c r="H79" s="23" t="s">
        <v>419</v>
      </c>
      <c r="I79" s="23" t="s">
        <v>26</v>
      </c>
      <c r="J79" s="23" t="s">
        <v>420</v>
      </c>
      <c r="K79" s="26" t="s">
        <v>34</v>
      </c>
      <c r="L79" s="23" t="s">
        <v>26</v>
      </c>
      <c r="M79" s="23" t="s">
        <v>10</v>
      </c>
      <c r="N79" s="28" t="s">
        <v>30</v>
      </c>
      <c r="O79" s="29" t="str">
        <f t="shared" si="6"/>
        <v>T</v>
      </c>
      <c r="P79" s="28" t="str">
        <f t="shared" si="10"/>
        <v>T</v>
      </c>
    </row>
    <row r="80">
      <c r="A80" s="23" t="s">
        <v>267</v>
      </c>
      <c r="B80" s="23" t="s">
        <v>213</v>
      </c>
      <c r="C80" s="23" t="s">
        <v>268</v>
      </c>
      <c r="D80" s="24" t="s">
        <v>32</v>
      </c>
      <c r="E80" s="23" t="s">
        <v>26</v>
      </c>
      <c r="F80" s="23" t="s">
        <v>10</v>
      </c>
      <c r="G80" s="23" t="s">
        <v>421</v>
      </c>
      <c r="H80" s="23" t="s">
        <v>215</v>
      </c>
      <c r="I80" s="23" t="s">
        <v>26</v>
      </c>
      <c r="J80" s="23" t="s">
        <v>273</v>
      </c>
      <c r="K80" s="26" t="s">
        <v>34</v>
      </c>
      <c r="L80" s="23" t="s">
        <v>26</v>
      </c>
      <c r="M80" s="23" t="s">
        <v>10</v>
      </c>
      <c r="N80" s="28" t="s">
        <v>29</v>
      </c>
      <c r="O80" s="29" t="str">
        <f t="shared" si="6"/>
        <v>T</v>
      </c>
      <c r="P80" s="46" t="s">
        <v>29</v>
      </c>
    </row>
    <row r="81">
      <c r="A81" s="23" t="s">
        <v>271</v>
      </c>
      <c r="B81" s="23" t="s">
        <v>268</v>
      </c>
      <c r="C81" s="23" t="s">
        <v>213</v>
      </c>
      <c r="D81" s="24" t="s">
        <v>22</v>
      </c>
      <c r="E81" s="23" t="s">
        <v>23</v>
      </c>
      <c r="F81" s="23" t="s">
        <v>10</v>
      </c>
      <c r="G81" s="23" t="s">
        <v>422</v>
      </c>
      <c r="H81" s="23" t="s">
        <v>273</v>
      </c>
      <c r="I81" s="23" t="s">
        <v>23</v>
      </c>
      <c r="J81" s="23" t="s">
        <v>218</v>
      </c>
      <c r="K81" s="26" t="s">
        <v>28</v>
      </c>
      <c r="L81" s="23" t="s">
        <v>23</v>
      </c>
      <c r="M81" s="23" t="s">
        <v>10</v>
      </c>
      <c r="N81" s="28" t="s">
        <v>30</v>
      </c>
      <c r="O81" s="29" t="str">
        <f t="shared" si="6"/>
        <v>T</v>
      </c>
      <c r="P81" s="28" t="str">
        <f t="shared" ref="P81:P83" si="11">IF(AND(N81="T", O81="T"), "T", IF(AND(N81="F", O81="F"), "F", ""))
</f>
        <v>T</v>
      </c>
    </row>
    <row r="82">
      <c r="A82" s="23" t="s">
        <v>274</v>
      </c>
      <c r="B82" s="23" t="s">
        <v>275</v>
      </c>
      <c r="C82" s="23" t="s">
        <v>276</v>
      </c>
      <c r="D82" s="24" t="s">
        <v>32</v>
      </c>
      <c r="E82" s="23" t="s">
        <v>26</v>
      </c>
      <c r="F82" s="23" t="s">
        <v>10</v>
      </c>
      <c r="G82" s="23" t="s">
        <v>423</v>
      </c>
      <c r="H82" s="23" t="s">
        <v>424</v>
      </c>
      <c r="I82" s="23" t="s">
        <v>26</v>
      </c>
      <c r="J82" s="23" t="s">
        <v>279</v>
      </c>
      <c r="K82" s="26" t="s">
        <v>34</v>
      </c>
      <c r="L82" s="23" t="s">
        <v>26</v>
      </c>
      <c r="M82" s="23" t="s">
        <v>10</v>
      </c>
      <c r="N82" s="28" t="s">
        <v>30</v>
      </c>
      <c r="O82" s="29" t="str">
        <f t="shared" si="6"/>
        <v>T</v>
      </c>
      <c r="P82" s="28" t="str">
        <f t="shared" si="11"/>
        <v>T</v>
      </c>
    </row>
    <row r="83">
      <c r="A83" s="23" t="s">
        <v>280</v>
      </c>
      <c r="B83" s="23" t="s">
        <v>276</v>
      </c>
      <c r="C83" s="23" t="s">
        <v>275</v>
      </c>
      <c r="D83" s="24" t="s">
        <v>22</v>
      </c>
      <c r="E83" s="23" t="s">
        <v>23</v>
      </c>
      <c r="F83" s="23" t="s">
        <v>10</v>
      </c>
      <c r="G83" s="23" t="s">
        <v>425</v>
      </c>
      <c r="H83" s="23" t="s">
        <v>279</v>
      </c>
      <c r="I83" s="23" t="s">
        <v>26</v>
      </c>
      <c r="J83" s="23" t="s">
        <v>426</v>
      </c>
      <c r="K83" s="26" t="s">
        <v>41</v>
      </c>
      <c r="L83" s="23" t="s">
        <v>23</v>
      </c>
      <c r="M83" s="23" t="s">
        <v>10</v>
      </c>
      <c r="N83" s="28" t="s">
        <v>30</v>
      </c>
      <c r="O83" s="29" t="str">
        <f t="shared" si="6"/>
        <v>T</v>
      </c>
      <c r="P83" s="28" t="str">
        <f t="shared" si="11"/>
        <v>T</v>
      </c>
    </row>
    <row r="84">
      <c r="A84" s="23" t="s">
        <v>284</v>
      </c>
      <c r="B84" s="23" t="s">
        <v>171</v>
      </c>
      <c r="C84" s="23" t="s">
        <v>275</v>
      </c>
      <c r="D84" s="24" t="s">
        <v>22</v>
      </c>
      <c r="E84" s="23" t="s">
        <v>23</v>
      </c>
      <c r="F84" s="23" t="s">
        <v>10</v>
      </c>
      <c r="G84" s="23" t="s">
        <v>427</v>
      </c>
      <c r="H84" s="23" t="s">
        <v>177</v>
      </c>
      <c r="I84" s="23" t="s">
        <v>23</v>
      </c>
      <c r="J84" s="23" t="s">
        <v>424</v>
      </c>
      <c r="K84" s="26" t="s">
        <v>28</v>
      </c>
      <c r="L84" s="23" t="s">
        <v>23</v>
      </c>
      <c r="M84" s="23" t="s">
        <v>10</v>
      </c>
      <c r="N84" s="28" t="s">
        <v>29</v>
      </c>
      <c r="O84" s="29" t="str">
        <f t="shared" si="6"/>
        <v>T</v>
      </c>
      <c r="P84" s="46" t="s">
        <v>29</v>
      </c>
    </row>
    <row r="85">
      <c r="A85" s="23" t="s">
        <v>286</v>
      </c>
      <c r="B85" s="23" t="s">
        <v>275</v>
      </c>
      <c r="C85" s="23" t="s">
        <v>171</v>
      </c>
      <c r="D85" s="24" t="s">
        <v>32</v>
      </c>
      <c r="E85" s="23" t="s">
        <v>26</v>
      </c>
      <c r="F85" s="23" t="s">
        <v>10</v>
      </c>
      <c r="G85" s="23" t="s">
        <v>428</v>
      </c>
      <c r="H85" s="23" t="s">
        <v>424</v>
      </c>
      <c r="I85" s="23" t="s">
        <v>26</v>
      </c>
      <c r="J85" s="23" t="s">
        <v>174</v>
      </c>
      <c r="K85" s="26" t="s">
        <v>70</v>
      </c>
      <c r="L85" s="23" t="s">
        <v>26</v>
      </c>
      <c r="M85" s="23" t="s">
        <v>10</v>
      </c>
      <c r="N85" s="28" t="s">
        <v>30</v>
      </c>
      <c r="O85" s="29" t="str">
        <f t="shared" si="6"/>
        <v>T</v>
      </c>
      <c r="P85" s="28" t="str">
        <f t="shared" ref="P85:P86" si="12">IF(AND(N85="T", O85="T"), "T", IF(AND(N85="F", O85="F"), "F", ""))
</f>
        <v>T</v>
      </c>
    </row>
    <row r="86">
      <c r="A86" s="23" t="s">
        <v>288</v>
      </c>
      <c r="B86" s="23" t="s">
        <v>95</v>
      </c>
      <c r="C86" s="23" t="s">
        <v>127</v>
      </c>
      <c r="D86" s="24" t="s">
        <v>32</v>
      </c>
      <c r="E86" s="23" t="s">
        <v>26</v>
      </c>
      <c r="F86" s="23" t="s">
        <v>10</v>
      </c>
      <c r="G86" s="23" t="s">
        <v>429</v>
      </c>
      <c r="H86" s="23" t="s">
        <v>101</v>
      </c>
      <c r="I86" s="23" t="s">
        <v>26</v>
      </c>
      <c r="J86" s="23" t="s">
        <v>134</v>
      </c>
      <c r="K86" s="26" t="s">
        <v>70</v>
      </c>
      <c r="L86" s="23" t="s">
        <v>26</v>
      </c>
      <c r="M86" s="23" t="s">
        <v>10</v>
      </c>
      <c r="N86" s="28" t="s">
        <v>30</v>
      </c>
      <c r="O86" s="29" t="str">
        <f t="shared" si="6"/>
        <v>T</v>
      </c>
      <c r="P86" s="28" t="str">
        <f t="shared" si="12"/>
        <v>T</v>
      </c>
    </row>
    <row r="87">
      <c r="A87" s="23" t="s">
        <v>291</v>
      </c>
      <c r="B87" s="23" t="s">
        <v>127</v>
      </c>
      <c r="C87" s="23" t="s">
        <v>95</v>
      </c>
      <c r="D87" s="24" t="s">
        <v>22</v>
      </c>
      <c r="E87" s="23" t="s">
        <v>23</v>
      </c>
      <c r="F87" s="23" t="s">
        <v>10</v>
      </c>
      <c r="G87" s="23" t="s">
        <v>430</v>
      </c>
      <c r="H87" s="23" t="s">
        <v>293</v>
      </c>
      <c r="I87" s="23" t="s">
        <v>23</v>
      </c>
      <c r="J87" s="23" t="s">
        <v>101</v>
      </c>
      <c r="K87" s="26" t="s">
        <v>41</v>
      </c>
      <c r="L87" s="23" t="s">
        <v>23</v>
      </c>
      <c r="M87" s="23" t="s">
        <v>10</v>
      </c>
      <c r="N87" s="28" t="s">
        <v>29</v>
      </c>
      <c r="O87" s="29" t="str">
        <f t="shared" si="6"/>
        <v>T</v>
      </c>
      <c r="P87" s="46" t="s">
        <v>29</v>
      </c>
    </row>
    <row r="88">
      <c r="A88" s="23" t="s">
        <v>295</v>
      </c>
      <c r="B88" s="23" t="s">
        <v>296</v>
      </c>
      <c r="C88" s="23" t="s">
        <v>20</v>
      </c>
      <c r="D88" s="24" t="s">
        <v>32</v>
      </c>
      <c r="E88" s="23" t="s">
        <v>26</v>
      </c>
      <c r="F88" s="23" t="s">
        <v>10</v>
      </c>
      <c r="G88" s="23" t="s">
        <v>297</v>
      </c>
      <c r="H88" s="23" t="s">
        <v>298</v>
      </c>
      <c r="I88" s="23" t="s">
        <v>26</v>
      </c>
      <c r="J88" s="23" t="s">
        <v>25</v>
      </c>
      <c r="K88" s="26" t="s">
        <v>70</v>
      </c>
      <c r="L88" s="23" t="s">
        <v>26</v>
      </c>
      <c r="M88" s="23" t="s">
        <v>10</v>
      </c>
      <c r="N88" s="28" t="s">
        <v>30</v>
      </c>
      <c r="O88" s="29" t="str">
        <f t="shared" si="6"/>
        <v>T</v>
      </c>
      <c r="P88" s="28" t="str">
        <f>IF(AND(N88="T", O88="T"), "T", IF(AND(N88="F", O88="F"), "F", ""))
</f>
        <v>T</v>
      </c>
    </row>
    <row r="89">
      <c r="A89" s="23" t="s">
        <v>299</v>
      </c>
      <c r="B89" s="23" t="s">
        <v>20</v>
      </c>
      <c r="C89" s="23" t="s">
        <v>300</v>
      </c>
      <c r="D89" s="24" t="s">
        <v>22</v>
      </c>
      <c r="E89" s="23" t="s">
        <v>23</v>
      </c>
      <c r="F89" s="23" t="s">
        <v>10</v>
      </c>
      <c r="G89" s="23" t="s">
        <v>431</v>
      </c>
      <c r="H89" s="23" t="s">
        <v>347</v>
      </c>
      <c r="I89" s="23" t="s">
        <v>23</v>
      </c>
      <c r="J89" s="23" t="s">
        <v>298</v>
      </c>
      <c r="K89" s="26" t="s">
        <v>41</v>
      </c>
      <c r="L89" s="23" t="s">
        <v>23</v>
      </c>
      <c r="M89" s="23" t="s">
        <v>10</v>
      </c>
      <c r="N89" s="28" t="s">
        <v>29</v>
      </c>
      <c r="O89" s="29" t="str">
        <f t="shared" si="6"/>
        <v>T</v>
      </c>
      <c r="P89" s="46" t="s">
        <v>29</v>
      </c>
    </row>
    <row r="90">
      <c r="A90" s="23" t="s">
        <v>303</v>
      </c>
      <c r="B90" s="23" t="s">
        <v>155</v>
      </c>
      <c r="C90" s="23" t="s">
        <v>262</v>
      </c>
      <c r="D90" s="24" t="s">
        <v>32</v>
      </c>
      <c r="E90" s="23" t="s">
        <v>26</v>
      </c>
      <c r="F90" s="23" t="s">
        <v>10</v>
      </c>
      <c r="G90" s="23" t="s">
        <v>432</v>
      </c>
      <c r="H90" s="23" t="s">
        <v>150</v>
      </c>
      <c r="I90" s="23" t="s">
        <v>26</v>
      </c>
      <c r="J90" s="23" t="s">
        <v>264</v>
      </c>
      <c r="K90" s="26" t="s">
        <v>70</v>
      </c>
      <c r="L90" s="23" t="s">
        <v>26</v>
      </c>
      <c r="M90" s="23" t="s">
        <v>10</v>
      </c>
      <c r="N90" s="28" t="s">
        <v>30</v>
      </c>
      <c r="O90" s="29" t="str">
        <f t="shared" si="6"/>
        <v>T</v>
      </c>
      <c r="P90" s="28" t="str">
        <f t="shared" ref="P90:P94" si="13">IF(AND(N90="T", O90="T"), "T", IF(AND(N90="F", O90="F"), "F", ""))
</f>
        <v>T</v>
      </c>
    </row>
    <row r="91">
      <c r="A91" s="23" t="s">
        <v>305</v>
      </c>
      <c r="B91" s="23" t="s">
        <v>262</v>
      </c>
      <c r="C91" s="23" t="s">
        <v>155</v>
      </c>
      <c r="D91" s="24" t="s">
        <v>22</v>
      </c>
      <c r="E91" s="23" t="s">
        <v>23</v>
      </c>
      <c r="F91" s="23" t="s">
        <v>10</v>
      </c>
      <c r="G91" s="23" t="s">
        <v>433</v>
      </c>
      <c r="H91" s="23" t="s">
        <v>420</v>
      </c>
      <c r="I91" s="23" t="s">
        <v>26</v>
      </c>
      <c r="J91" s="23" t="s">
        <v>40</v>
      </c>
      <c r="K91" s="26" t="s">
        <v>41</v>
      </c>
      <c r="L91" s="23" t="s">
        <v>23</v>
      </c>
      <c r="M91" s="23" t="s">
        <v>10</v>
      </c>
      <c r="N91" s="28" t="s">
        <v>30</v>
      </c>
      <c r="O91" s="29" t="str">
        <f t="shared" si="6"/>
        <v>T</v>
      </c>
      <c r="P91" s="28" t="str">
        <f t="shared" si="13"/>
        <v>T</v>
      </c>
    </row>
    <row r="92">
      <c r="A92" s="23" t="s">
        <v>307</v>
      </c>
      <c r="B92" s="23" t="s">
        <v>207</v>
      </c>
      <c r="C92" s="23" t="s">
        <v>76</v>
      </c>
      <c r="D92" s="24" t="s">
        <v>22</v>
      </c>
      <c r="E92" s="23" t="s">
        <v>23</v>
      </c>
      <c r="F92" s="23" t="s">
        <v>10</v>
      </c>
      <c r="G92" s="23" t="s">
        <v>434</v>
      </c>
      <c r="H92" s="23" t="s">
        <v>209</v>
      </c>
      <c r="I92" s="23" t="s">
        <v>26</v>
      </c>
      <c r="J92" s="23" t="s">
        <v>78</v>
      </c>
      <c r="K92" s="26" t="s">
        <v>41</v>
      </c>
      <c r="L92" s="23" t="s">
        <v>23</v>
      </c>
      <c r="M92" s="23" t="s">
        <v>10</v>
      </c>
      <c r="N92" s="28" t="s">
        <v>30</v>
      </c>
      <c r="O92" s="29" t="str">
        <f t="shared" si="6"/>
        <v>T</v>
      </c>
      <c r="P92" s="28" t="str">
        <f t="shared" si="13"/>
        <v>T</v>
      </c>
    </row>
    <row r="93">
      <c r="A93" s="23" t="s">
        <v>309</v>
      </c>
      <c r="B93" s="23" t="s">
        <v>76</v>
      </c>
      <c r="C93" s="23" t="s">
        <v>207</v>
      </c>
      <c r="D93" s="24" t="s">
        <v>32</v>
      </c>
      <c r="E93" s="23" t="s">
        <v>26</v>
      </c>
      <c r="F93" s="23" t="s">
        <v>10</v>
      </c>
      <c r="G93" s="23" t="s">
        <v>435</v>
      </c>
      <c r="H93" s="23" t="s">
        <v>81</v>
      </c>
      <c r="I93" s="23" t="s">
        <v>26</v>
      </c>
      <c r="J93" s="23" t="s">
        <v>209</v>
      </c>
      <c r="K93" s="26" t="s">
        <v>70</v>
      </c>
      <c r="L93" s="23" t="s">
        <v>26</v>
      </c>
      <c r="M93" s="23" t="s">
        <v>10</v>
      </c>
      <c r="N93" s="28" t="s">
        <v>30</v>
      </c>
      <c r="O93" s="29" t="str">
        <f t="shared" si="6"/>
        <v>T</v>
      </c>
      <c r="P93" s="28" t="str">
        <f t="shared" si="13"/>
        <v>T</v>
      </c>
    </row>
    <row r="94">
      <c r="A94" s="23" t="s">
        <v>311</v>
      </c>
      <c r="B94" s="23" t="s">
        <v>300</v>
      </c>
      <c r="C94" s="23" t="s">
        <v>37</v>
      </c>
      <c r="D94" s="24" t="s">
        <v>32</v>
      </c>
      <c r="E94" s="23" t="s">
        <v>26</v>
      </c>
      <c r="F94" s="23" t="s">
        <v>10</v>
      </c>
      <c r="G94" s="23" t="s">
        <v>436</v>
      </c>
      <c r="H94" s="23" t="s">
        <v>298</v>
      </c>
      <c r="I94" s="23" t="s">
        <v>26</v>
      </c>
      <c r="J94" s="23" t="s">
        <v>44</v>
      </c>
      <c r="K94" s="26" t="s">
        <v>70</v>
      </c>
      <c r="L94" s="23" t="s">
        <v>26</v>
      </c>
      <c r="M94" s="23" t="s">
        <v>10</v>
      </c>
      <c r="N94" s="28" t="s">
        <v>30</v>
      </c>
      <c r="O94" s="29" t="str">
        <f t="shared" si="6"/>
        <v>T</v>
      </c>
      <c r="P94" s="28" t="str">
        <f t="shared" si="13"/>
        <v>T</v>
      </c>
    </row>
    <row r="95">
      <c r="A95" s="23" t="s">
        <v>313</v>
      </c>
      <c r="B95" s="23" t="s">
        <v>37</v>
      </c>
      <c r="C95" s="23" t="s">
        <v>300</v>
      </c>
      <c r="D95" s="24" t="s">
        <v>22</v>
      </c>
      <c r="E95" s="23" t="s">
        <v>23</v>
      </c>
      <c r="F95" s="23" t="s">
        <v>10</v>
      </c>
      <c r="G95" s="23" t="s">
        <v>437</v>
      </c>
      <c r="H95" s="23" t="s">
        <v>350</v>
      </c>
      <c r="I95" s="23" t="s">
        <v>26</v>
      </c>
      <c r="J95" s="23" t="s">
        <v>298</v>
      </c>
      <c r="K95" s="26" t="s">
        <v>28</v>
      </c>
      <c r="L95" s="23" t="s">
        <v>23</v>
      </c>
      <c r="M95" s="23" t="s">
        <v>10</v>
      </c>
      <c r="N95" s="28" t="s">
        <v>29</v>
      </c>
      <c r="O95" s="29" t="str">
        <f t="shared" si="6"/>
        <v>T</v>
      </c>
      <c r="P95" s="46" t="s">
        <v>29</v>
      </c>
    </row>
    <row r="96">
      <c r="A96" s="23" t="s">
        <v>315</v>
      </c>
      <c r="B96" s="23" t="s">
        <v>76</v>
      </c>
      <c r="C96" s="23" t="s">
        <v>20</v>
      </c>
      <c r="D96" s="24" t="s">
        <v>32</v>
      </c>
      <c r="E96" s="23" t="s">
        <v>26</v>
      </c>
      <c r="F96" s="23" t="s">
        <v>10</v>
      </c>
      <c r="G96" s="23" t="s">
        <v>316</v>
      </c>
      <c r="H96" s="23" t="s">
        <v>81</v>
      </c>
      <c r="I96" s="23" t="s">
        <v>26</v>
      </c>
      <c r="J96" s="23" t="s">
        <v>25</v>
      </c>
      <c r="K96" s="26" t="s">
        <v>34</v>
      </c>
      <c r="L96" s="23" t="s">
        <v>26</v>
      </c>
      <c r="M96" s="23" t="s">
        <v>10</v>
      </c>
      <c r="N96" s="28" t="s">
        <v>30</v>
      </c>
      <c r="O96" s="29" t="str">
        <f t="shared" si="6"/>
        <v>T</v>
      </c>
      <c r="P96" s="28" t="str">
        <f>IF(AND(N96="T", O96="T"), "T", IF(AND(N96="F", O96="F"), "F", ""))
</f>
        <v>T</v>
      </c>
    </row>
    <row r="97">
      <c r="A97" s="23" t="s">
        <v>317</v>
      </c>
      <c r="B97" s="23" t="s">
        <v>20</v>
      </c>
      <c r="C97" s="23" t="s">
        <v>76</v>
      </c>
      <c r="D97" s="24" t="s">
        <v>22</v>
      </c>
      <c r="E97" s="23" t="s">
        <v>23</v>
      </c>
      <c r="F97" s="23" t="s">
        <v>10</v>
      </c>
      <c r="G97" s="23" t="s">
        <v>438</v>
      </c>
      <c r="H97" s="23" t="s">
        <v>347</v>
      </c>
      <c r="I97" s="23" t="s">
        <v>23</v>
      </c>
      <c r="J97" s="23" t="s">
        <v>81</v>
      </c>
      <c r="K97" s="26" t="s">
        <v>34</v>
      </c>
      <c r="L97" s="23" t="s">
        <v>26</v>
      </c>
      <c r="M97" s="23" t="s">
        <v>10</v>
      </c>
      <c r="N97" s="28" t="s">
        <v>30</v>
      </c>
      <c r="O97" s="29" t="str">
        <f t="shared" si="6"/>
        <v>F</v>
      </c>
      <c r="P97" s="46" t="s">
        <v>29</v>
      </c>
    </row>
    <row r="98">
      <c r="A98" s="23" t="s">
        <v>319</v>
      </c>
      <c r="B98" s="23" t="s">
        <v>195</v>
      </c>
      <c r="C98" s="23" t="s">
        <v>170</v>
      </c>
      <c r="D98" s="24" t="s">
        <v>22</v>
      </c>
      <c r="E98" s="23" t="s">
        <v>23</v>
      </c>
      <c r="F98" s="23" t="s">
        <v>10</v>
      </c>
      <c r="G98" s="23" t="s">
        <v>439</v>
      </c>
      <c r="H98" s="23" t="s">
        <v>197</v>
      </c>
      <c r="I98" s="23" t="s">
        <v>26</v>
      </c>
      <c r="J98" s="23" t="s">
        <v>173</v>
      </c>
      <c r="K98" s="26" t="s">
        <v>34</v>
      </c>
      <c r="L98" s="23" t="s">
        <v>26</v>
      </c>
      <c r="M98" s="23" t="s">
        <v>10</v>
      </c>
      <c r="N98" s="28" t="s">
        <v>30</v>
      </c>
      <c r="O98" s="29" t="str">
        <f t="shared" si="6"/>
        <v>F</v>
      </c>
      <c r="P98" s="46" t="s">
        <v>29</v>
      </c>
    </row>
    <row r="99">
      <c r="A99" s="23" t="s">
        <v>321</v>
      </c>
      <c r="B99" s="23" t="s">
        <v>170</v>
      </c>
      <c r="C99" s="23" t="s">
        <v>195</v>
      </c>
      <c r="D99" s="24" t="s">
        <v>32</v>
      </c>
      <c r="E99" s="23" t="s">
        <v>26</v>
      </c>
      <c r="F99" s="23" t="s">
        <v>10</v>
      </c>
      <c r="G99" s="23" t="s">
        <v>440</v>
      </c>
      <c r="H99" s="23" t="s">
        <v>391</v>
      </c>
      <c r="I99" s="23" t="s">
        <v>26</v>
      </c>
      <c r="J99" s="23" t="s">
        <v>197</v>
      </c>
      <c r="K99" s="26" t="s">
        <v>34</v>
      </c>
      <c r="L99" s="23" t="s">
        <v>26</v>
      </c>
      <c r="M99" s="23" t="s">
        <v>10</v>
      </c>
      <c r="N99" s="28" t="s">
        <v>30</v>
      </c>
      <c r="O99" s="29" t="str">
        <f t="shared" si="6"/>
        <v>T</v>
      </c>
      <c r="P99" s="28" t="str">
        <f t="shared" ref="P99:P104" si="14">IF(AND(N99="T", O99="T"), "T", IF(AND(N99="F", O99="F"), "F", ""))
</f>
        <v>T</v>
      </c>
    </row>
    <row r="100">
      <c r="A100" s="23" t="s">
        <v>323</v>
      </c>
      <c r="B100" s="23" t="s">
        <v>220</v>
      </c>
      <c r="C100" s="23" t="s">
        <v>141</v>
      </c>
      <c r="D100" s="24" t="s">
        <v>32</v>
      </c>
      <c r="E100" s="23" t="s">
        <v>26</v>
      </c>
      <c r="F100" s="23" t="s">
        <v>10</v>
      </c>
      <c r="G100" s="23" t="s">
        <v>441</v>
      </c>
      <c r="H100" s="23" t="s">
        <v>400</v>
      </c>
      <c r="I100" s="23" t="s">
        <v>26</v>
      </c>
      <c r="J100" s="23" t="s">
        <v>143</v>
      </c>
      <c r="K100" s="26" t="s">
        <v>70</v>
      </c>
      <c r="L100" s="23" t="s">
        <v>26</v>
      </c>
      <c r="M100" s="23" t="s">
        <v>10</v>
      </c>
      <c r="N100" s="28" t="s">
        <v>30</v>
      </c>
      <c r="O100" s="29" t="str">
        <f t="shared" si="6"/>
        <v>T</v>
      </c>
      <c r="P100" s="28" t="str">
        <f t="shared" si="14"/>
        <v>T</v>
      </c>
    </row>
    <row r="101">
      <c r="A101" s="23" t="s">
        <v>325</v>
      </c>
      <c r="B101" s="23" t="s">
        <v>141</v>
      </c>
      <c r="C101" s="23" t="s">
        <v>220</v>
      </c>
      <c r="D101" s="24" t="s">
        <v>22</v>
      </c>
      <c r="E101" s="23" t="s">
        <v>23</v>
      </c>
      <c r="F101" s="23" t="s">
        <v>10</v>
      </c>
      <c r="G101" s="23" t="s">
        <v>442</v>
      </c>
      <c r="H101" s="23" t="s">
        <v>230</v>
      </c>
      <c r="I101" s="23" t="s">
        <v>23</v>
      </c>
      <c r="J101" s="23" t="s">
        <v>225</v>
      </c>
      <c r="K101" s="26" t="s">
        <v>41</v>
      </c>
      <c r="L101" s="23" t="s">
        <v>23</v>
      </c>
      <c r="M101" s="23" t="s">
        <v>10</v>
      </c>
      <c r="N101" s="28" t="s">
        <v>30</v>
      </c>
      <c r="O101" s="29" t="str">
        <f t="shared" si="6"/>
        <v>T</v>
      </c>
      <c r="P101" s="28" t="str">
        <f t="shared" si="14"/>
        <v>T</v>
      </c>
    </row>
    <row r="102">
      <c r="A102" s="23" t="s">
        <v>327</v>
      </c>
      <c r="B102" s="23" t="s">
        <v>328</v>
      </c>
      <c r="C102" s="23" t="s">
        <v>20</v>
      </c>
      <c r="D102" s="24" t="s">
        <v>32</v>
      </c>
      <c r="E102" s="23" t="s">
        <v>26</v>
      </c>
      <c r="F102" s="23" t="s">
        <v>10</v>
      </c>
      <c r="G102" s="23" t="s">
        <v>329</v>
      </c>
      <c r="H102" s="23" t="s">
        <v>330</v>
      </c>
      <c r="I102" s="23" t="s">
        <v>26</v>
      </c>
      <c r="J102" s="23" t="s">
        <v>25</v>
      </c>
      <c r="K102" s="26" t="s">
        <v>34</v>
      </c>
      <c r="L102" s="23" t="s">
        <v>26</v>
      </c>
      <c r="M102" s="23" t="s">
        <v>10</v>
      </c>
      <c r="N102" s="28" t="s">
        <v>30</v>
      </c>
      <c r="O102" s="29" t="str">
        <f t="shared" si="6"/>
        <v>T</v>
      </c>
      <c r="P102" s="28" t="str">
        <f t="shared" si="14"/>
        <v>T</v>
      </c>
    </row>
    <row r="103">
      <c r="A103" s="23" t="s">
        <v>331</v>
      </c>
      <c r="B103" s="23" t="s">
        <v>20</v>
      </c>
      <c r="C103" s="23" t="s">
        <v>328</v>
      </c>
      <c r="D103" s="24" t="s">
        <v>22</v>
      </c>
      <c r="E103" s="23" t="s">
        <v>23</v>
      </c>
      <c r="F103" s="23" t="s">
        <v>10</v>
      </c>
      <c r="G103" s="23" t="s">
        <v>443</v>
      </c>
      <c r="H103" s="23" t="s">
        <v>347</v>
      </c>
      <c r="I103" s="23" t="s">
        <v>23</v>
      </c>
      <c r="J103" s="23" t="s">
        <v>444</v>
      </c>
      <c r="K103" s="26" t="s">
        <v>28</v>
      </c>
      <c r="L103" s="23" t="s">
        <v>23</v>
      </c>
      <c r="M103" s="23" t="s">
        <v>10</v>
      </c>
      <c r="N103" s="28" t="s">
        <v>30</v>
      </c>
      <c r="O103" s="29" t="str">
        <f t="shared" si="6"/>
        <v>T</v>
      </c>
      <c r="P103" s="28" t="str">
        <f t="shared" si="14"/>
        <v>T</v>
      </c>
    </row>
    <row r="104">
      <c r="A104" s="23" t="s">
        <v>333</v>
      </c>
      <c r="B104" s="23" t="s">
        <v>36</v>
      </c>
      <c r="C104" s="23" t="s">
        <v>94</v>
      </c>
      <c r="D104" s="24" t="s">
        <v>32</v>
      </c>
      <c r="E104" s="23" t="s">
        <v>26</v>
      </c>
      <c r="F104" s="23" t="s">
        <v>10</v>
      </c>
      <c r="G104" s="23" t="s">
        <v>334</v>
      </c>
      <c r="H104" s="23" t="s">
        <v>39</v>
      </c>
      <c r="I104" s="23" t="s">
        <v>26</v>
      </c>
      <c r="J104" s="23" t="s">
        <v>97</v>
      </c>
      <c r="K104" s="26" t="s">
        <v>70</v>
      </c>
      <c r="L104" s="23" t="s">
        <v>26</v>
      </c>
      <c r="M104" s="23" t="s">
        <v>10</v>
      </c>
      <c r="N104" s="28" t="s">
        <v>30</v>
      </c>
      <c r="O104" s="29" t="str">
        <f t="shared" si="6"/>
        <v>T</v>
      </c>
      <c r="P104" s="28" t="str">
        <f t="shared" si="14"/>
        <v>T</v>
      </c>
    </row>
    <row r="105">
      <c r="A105" s="31" t="s">
        <v>335</v>
      </c>
      <c r="B105" s="31" t="s">
        <v>94</v>
      </c>
      <c r="C105" s="31" t="s">
        <v>36</v>
      </c>
      <c r="D105" s="32" t="s">
        <v>22</v>
      </c>
      <c r="E105" s="31" t="s">
        <v>23</v>
      </c>
      <c r="F105" s="31" t="s">
        <v>10</v>
      </c>
      <c r="G105" s="31" t="s">
        <v>445</v>
      </c>
      <c r="H105" s="31" t="s">
        <v>97</v>
      </c>
      <c r="I105" s="31" t="s">
        <v>26</v>
      </c>
      <c r="J105" s="31" t="s">
        <v>39</v>
      </c>
      <c r="K105" s="35" t="s">
        <v>41</v>
      </c>
      <c r="L105" s="31" t="s">
        <v>23</v>
      </c>
      <c r="M105" s="31" t="s">
        <v>10</v>
      </c>
      <c r="N105" s="36" t="s">
        <v>29</v>
      </c>
      <c r="O105" s="37" t="str">
        <f t="shared" si="6"/>
        <v>T</v>
      </c>
      <c r="P105" s="47" t="s">
        <v>29</v>
      </c>
      <c r="Q105" s="37"/>
    </row>
    <row r="106">
      <c r="D106" s="38" t="s">
        <v>337</v>
      </c>
      <c r="I106" s="29" t="str">
        <f>COUNTIF(I4:I105, "m") &amp; "m"</f>
        <v>70m</v>
      </c>
      <c r="L106" s="38" t="s">
        <v>337</v>
      </c>
      <c r="N106" s="29" t="str">
        <f t="shared" ref="N106:P106" si="15">COUNTIF(N4:N105, "T") &amp; "T"</f>
        <v>88T</v>
      </c>
      <c r="O106" s="29" t="str">
        <f t="shared" si="15"/>
        <v>96T</v>
      </c>
      <c r="P106" s="29" t="str">
        <f t="shared" si="15"/>
        <v>82T</v>
      </c>
    </row>
    <row r="107">
      <c r="D107" s="29" t="str">
        <f>COUNTIF(E4:E105, "m") &amp; "m"</f>
        <v>51m</v>
      </c>
      <c r="I107" s="29" t="str">
        <f>COUNTIF(I4:I105, "f") &amp; "f"</f>
        <v>32f</v>
      </c>
      <c r="L107" s="29" t="str">
        <f>COUNTIF(L4:L105, "m") &amp; "m"</f>
        <v>53m</v>
      </c>
      <c r="N107" s="29" t="str">
        <f t="shared" ref="N107:P107" si="16">COUNTIF(N4:N105, "F") &amp; "F"</f>
        <v>14F</v>
      </c>
      <c r="O107" s="29" t="str">
        <f t="shared" si="16"/>
        <v>6F</v>
      </c>
      <c r="P107" s="29" t="str">
        <f t="shared" si="16"/>
        <v>20F</v>
      </c>
    </row>
    <row r="108">
      <c r="D108" s="29" t="str">
        <f>COUNTIF(E4:E105, "f") &amp; "f"</f>
        <v>51f</v>
      </c>
      <c r="L108" s="29" t="str">
        <f>COUNTIF(L4:L105, "f") &amp; "f"</f>
        <v>49f</v>
      </c>
    </row>
    <row r="112">
      <c r="O112" s="40" t="s">
        <v>446</v>
      </c>
      <c r="P112" s="41"/>
      <c r="Q112" s="40" t="s">
        <v>447</v>
      </c>
      <c r="R112" s="41"/>
    </row>
    <row r="113">
      <c r="J113" s="29" t="str">
        <f>IFERROR(__xludf.DUMMYFUNCTION("FILTER(H4:H105, I4:I105 = ""m"")"),"razvijalec")</f>
        <v>razvijalec</v>
      </c>
      <c r="L113" s="29" t="str">
        <f>IFERROR(__xludf.DUMMYFUNCTION("FILTER(H4:H105, I4:I105 = ""f"")"),"oblikovalka")</f>
        <v>oblikovalka</v>
      </c>
      <c r="O113" s="42" t="str">
        <f>IFERROR(__xludf.DUMMYFUNCTION("UNIQUE(J113:J184)"),"razvijalec")</f>
        <v>razvijalec</v>
      </c>
      <c r="P113" s="43">
        <f t="shared" ref="P113:P143" si="17">COUNTIF(J113:J184, O113)</f>
        <v>6</v>
      </c>
      <c r="Q113" s="48" t="str">
        <f>IFERROR(__xludf.DUMMYFUNCTION("UNIQUE(L113:L142)"),"oblikovalka")</f>
        <v>oblikovalka</v>
      </c>
      <c r="R113" s="43">
        <f t="shared" ref="R113:R126" si="18">COUNTIF(L113:L142, Q113)</f>
        <v>6</v>
      </c>
    </row>
    <row r="114">
      <c r="J114" s="29" t="str">
        <f>IFERROR(__xludf.DUMMYFUNCTION("""COMPUTED_VALUE"""),"mehanik")</f>
        <v>mehanik</v>
      </c>
      <c r="L114" s="29" t="str">
        <f>IFERROR(__xludf.DUMMYFUNCTION("""COMPUTED_VALUE"""),"gospodinja")</f>
        <v>gospodinja</v>
      </c>
      <c r="O114" s="42" t="str">
        <f>IFERROR(__xludf.DUMMYFUNCTION("""COMPUTED_VALUE"""),"mehanik")</f>
        <v>mehanik</v>
      </c>
      <c r="P114" s="43">
        <f t="shared" si="17"/>
        <v>5</v>
      </c>
      <c r="Q114" s="48" t="str">
        <f>IFERROR(__xludf.DUMMYFUNCTION("""COMPUTED_VALUE"""),"gospodinja")</f>
        <v>gospodinja</v>
      </c>
      <c r="R114" s="43">
        <f t="shared" si="18"/>
        <v>2</v>
      </c>
    </row>
    <row r="115">
      <c r="J115" s="29" t="str">
        <f>IFERROR(__xludf.DUMMYFUNCTION("""COMPUTED_VALUE"""),"uslužbenec")</f>
        <v>uslužbenec</v>
      </c>
      <c r="L115" s="29" t="str">
        <f>IFERROR(__xludf.DUMMYFUNCTION("""COMPUTED_VALUE"""),"gospodinja")</f>
        <v>gospodinja</v>
      </c>
      <c r="O115" s="42" t="str">
        <f>IFERROR(__xludf.DUMMYFUNCTION("""COMPUTED_VALUE"""),"uslužbenec")</f>
        <v>uslužbenec</v>
      </c>
      <c r="P115" s="43">
        <f t="shared" si="17"/>
        <v>3</v>
      </c>
      <c r="Q115" s="48" t="str">
        <f>IFERROR(__xludf.DUMMYFUNCTION("""COMPUTED_VALUE"""),"frizerka")</f>
        <v>frizerka</v>
      </c>
      <c r="R115" s="43">
        <f t="shared" si="18"/>
        <v>6</v>
      </c>
    </row>
    <row r="116">
      <c r="J116" s="29" t="str">
        <f>IFERROR(__xludf.DUMMYFUNCTION("""COMPUTED_VALUE"""),"selivec")</f>
        <v>selivec</v>
      </c>
      <c r="L116" s="29" t="str">
        <f>IFERROR(__xludf.DUMMYFUNCTION("""COMPUTED_VALUE"""),"frizerka")</f>
        <v>frizerka</v>
      </c>
      <c r="O116" s="42" t="str">
        <f>IFERROR(__xludf.DUMMYFUNCTION("""COMPUTED_VALUE"""),"selivec")</f>
        <v>selivec</v>
      </c>
      <c r="P116" s="43">
        <f t="shared" si="17"/>
        <v>3</v>
      </c>
      <c r="Q116" s="48" t="str">
        <f>IFERROR(__xludf.DUMMYFUNCTION("""COMPUTED_VALUE"""),"direktorica")</f>
        <v>direktorica</v>
      </c>
      <c r="R116" s="43">
        <f t="shared" si="18"/>
        <v>1</v>
      </c>
    </row>
    <row r="117">
      <c r="J117" s="29" t="str">
        <f>IFERROR(__xludf.DUMMYFUNCTION("""COMPUTED_VALUE"""),"vodja")</f>
        <v>vodja</v>
      </c>
      <c r="L117" s="29" t="str">
        <f>IFERROR(__xludf.DUMMYFUNCTION("""COMPUTED_VALUE"""),"frizerka")</f>
        <v>frizerka</v>
      </c>
      <c r="O117" s="42" t="str">
        <f>IFERROR(__xludf.DUMMYFUNCTION("""COMPUTED_VALUE"""),"vodja")</f>
        <v>vodja</v>
      </c>
      <c r="P117" s="43">
        <f t="shared" si="17"/>
        <v>2</v>
      </c>
      <c r="Q117" s="48" t="str">
        <f>IFERROR(__xludf.DUMMYFUNCTION("""COMPUTED_VALUE"""),"recepcijonistka")</f>
        <v>recepcijonistka</v>
      </c>
      <c r="R117" s="43">
        <f t="shared" si="18"/>
        <v>1</v>
      </c>
    </row>
    <row r="118">
      <c r="J118" s="29" t="str">
        <f>IFERROR(__xludf.DUMMYFUNCTION("""COMPUTED_VALUE"""),"odvetnik")</f>
        <v>odvetnik</v>
      </c>
      <c r="L118" s="29" t="str">
        <f>IFERROR(__xludf.DUMMYFUNCTION("""COMPUTED_VALUE"""),"frizerka")</f>
        <v>frizerka</v>
      </c>
      <c r="O118" s="42" t="str">
        <f>IFERROR(__xludf.DUMMYFUNCTION("""COMPUTED_VALUE"""),"odvetnik")</f>
        <v>odvetnik</v>
      </c>
      <c r="P118" s="43">
        <f t="shared" si="17"/>
        <v>2</v>
      </c>
      <c r="Q118" s="48" t="str">
        <f>IFERROR(__xludf.DUMMYFUNCTION("""COMPUTED_VALUE"""),"računovodkinja")</f>
        <v>računovodkinja</v>
      </c>
      <c r="R118" s="43">
        <f t="shared" si="18"/>
        <v>1</v>
      </c>
    </row>
    <row r="119">
      <c r="J119" s="29" t="str">
        <f>IFERROR(__xludf.DUMMYFUNCTION("""COMPUTED_VALUE"""),"kuhar")</f>
        <v>kuhar</v>
      </c>
      <c r="L119" s="29" t="str">
        <f>IFERROR(__xludf.DUMMYFUNCTION("""COMPUTED_VALUE"""),"direktorica")</f>
        <v>direktorica</v>
      </c>
      <c r="O119" s="42" t="str">
        <f>IFERROR(__xludf.DUMMYFUNCTION("""COMPUTED_VALUE"""),"kuhar")</f>
        <v>kuhar</v>
      </c>
      <c r="P119" s="43">
        <f t="shared" si="17"/>
        <v>3</v>
      </c>
      <c r="Q119" s="48" t="str">
        <f>IFERROR(__xludf.DUMMYFUNCTION("""COMPUTED_VALUE"""),"tajnica")</f>
        <v>tajnica</v>
      </c>
      <c r="R119" s="43">
        <f t="shared" si="18"/>
        <v>3</v>
      </c>
    </row>
    <row r="120">
      <c r="J120" s="29" t="str">
        <f>IFERROR(__xludf.DUMMYFUNCTION("""COMPUTED_VALUE"""),"razvijalec")</f>
        <v>razvijalec</v>
      </c>
      <c r="L120" s="29" t="str">
        <f>IFERROR(__xludf.DUMMYFUNCTION("""COMPUTED_VALUE"""),"frizerka")</f>
        <v>frizerka</v>
      </c>
      <c r="O120" s="42" t="str">
        <f>IFERROR(__xludf.DUMMYFUNCTION("""COMPUTED_VALUE"""),"analitik")</f>
        <v>analitik</v>
      </c>
      <c r="P120" s="43">
        <f t="shared" si="17"/>
        <v>2</v>
      </c>
      <c r="Q120" s="48" t="str">
        <f>IFERROR(__xludf.DUMMYFUNCTION("""COMPUTED_VALUE"""),"kmetica")</f>
        <v>kmetica</v>
      </c>
      <c r="R120" s="43">
        <f t="shared" si="18"/>
        <v>1</v>
      </c>
    </row>
    <row r="121">
      <c r="J121" s="29" t="str">
        <f>IFERROR(__xludf.DUMMYFUNCTION("""COMPUTED_VALUE"""),"analitik")</f>
        <v>analitik</v>
      </c>
      <c r="L121" s="29" t="str">
        <f>IFERROR(__xludf.DUMMYFUNCTION("""COMPUTED_VALUE"""),"recepcijonistka")</f>
        <v>recepcijonistka</v>
      </c>
      <c r="O121" s="42" t="str">
        <f>IFERROR(__xludf.DUMMYFUNCTION("""COMPUTED_VALUE"""),"nadzornik")</f>
        <v>nadzornik</v>
      </c>
      <c r="P121" s="43">
        <f t="shared" si="17"/>
        <v>1</v>
      </c>
      <c r="Q121" s="48" t="str">
        <f>IFERROR(__xludf.DUMMYFUNCTION("""COMPUTED_VALUE"""),"blagajničarka")</f>
        <v>blagajničarka</v>
      </c>
      <c r="R121" s="43">
        <f t="shared" si="18"/>
        <v>3</v>
      </c>
    </row>
    <row r="122">
      <c r="J122" s="29" t="str">
        <f>IFERROR(__xludf.DUMMYFUNCTION("""COMPUTED_VALUE"""),"nadzornik")</f>
        <v>nadzornik</v>
      </c>
      <c r="L122" s="29" t="str">
        <f>IFERROR(__xludf.DUMMYFUNCTION("""COMPUTED_VALUE"""),"računovodkinja")</f>
        <v>računovodkinja</v>
      </c>
      <c r="O122" s="42" t="str">
        <f>IFERROR(__xludf.DUMMYFUNCTION("""COMPUTED_VALUE"""),"kmet")</f>
        <v>kmet</v>
      </c>
      <c r="P122" s="43">
        <f t="shared" si="17"/>
        <v>3</v>
      </c>
      <c r="Q122" s="48" t="str">
        <f>IFERROR(__xludf.DUMMYFUNCTION("""COMPUTED_VALUE"""),"knjižničarka")</f>
        <v>knjižničarka</v>
      </c>
      <c r="R122" s="43">
        <f t="shared" si="18"/>
        <v>1</v>
      </c>
    </row>
    <row r="123">
      <c r="J123" s="29" t="str">
        <f>IFERROR(__xludf.DUMMYFUNCTION("""COMPUTED_VALUE"""),"kmet")</f>
        <v>kmet</v>
      </c>
      <c r="L123" s="29" t="str">
        <f>IFERROR(__xludf.DUMMYFUNCTION("""COMPUTED_VALUE"""),"oblikovalka")</f>
        <v>oblikovalka</v>
      </c>
      <c r="O123" s="42" t="str">
        <f>IFERROR(__xludf.DUMMYFUNCTION("""COMPUTED_VALUE"""),"krojač")</f>
        <v>krojač</v>
      </c>
      <c r="P123" s="29">
        <f t="shared" si="17"/>
        <v>3</v>
      </c>
      <c r="Q123" s="48" t="str">
        <f>IFERROR(__xludf.DUMMYFUNCTION("""COMPUTED_VALUE"""),"asistentka")</f>
        <v>asistentka</v>
      </c>
      <c r="R123" s="43">
        <f t="shared" si="18"/>
        <v>2</v>
      </c>
    </row>
    <row r="124">
      <c r="J124" s="29" t="str">
        <f>IFERROR(__xludf.DUMMYFUNCTION("""COMPUTED_VALUE"""),"razvijalec")</f>
        <v>razvijalec</v>
      </c>
      <c r="L124" s="29" t="str">
        <f>IFERROR(__xludf.DUMMYFUNCTION("""COMPUTED_VALUE"""),"tajnica")</f>
        <v>tajnica</v>
      </c>
      <c r="O124" s="42" t="str">
        <f>IFERROR(__xludf.DUMMYFUNCTION("""COMPUTED_VALUE"""),"frizer")</f>
        <v>frizer</v>
      </c>
      <c r="P124" s="43">
        <f t="shared" si="17"/>
        <v>1</v>
      </c>
      <c r="Q124" s="42" t="str">
        <f>IFERROR(__xludf.DUMMYFUNCTION("""COMPUTED_VALUE"""),"čistilka")</f>
        <v>čistilka</v>
      </c>
      <c r="R124" s="43">
        <f t="shared" si="18"/>
        <v>2</v>
      </c>
    </row>
    <row r="125">
      <c r="J125" s="29" t="str">
        <f>IFERROR(__xludf.DUMMYFUNCTION("""COMPUTED_VALUE"""),"krojač")</f>
        <v>krojač</v>
      </c>
      <c r="L125" s="29" t="str">
        <f>IFERROR(__xludf.DUMMYFUNCTION("""COMPUTED_VALUE"""),"kmetica")</f>
        <v>kmetica</v>
      </c>
      <c r="O125" s="42" t="str">
        <f>IFERROR(__xludf.DUMMYFUNCTION("""COMPUTED_VALUE"""),"voznik")</f>
        <v>voznik</v>
      </c>
      <c r="P125" s="43">
        <f t="shared" si="17"/>
        <v>2</v>
      </c>
      <c r="Q125" s="42" t="str">
        <f>IFERROR(__xludf.DUMMYFUNCTION("""COMPUTED_VALUE"""),"medicinska sestra")</f>
        <v>medicinska sestra</v>
      </c>
      <c r="R125" s="43">
        <f t="shared" si="18"/>
        <v>1</v>
      </c>
    </row>
    <row r="126">
      <c r="J126" s="29" t="str">
        <f>IFERROR(__xludf.DUMMYFUNCTION("""COMPUTED_VALUE"""),"selivec")</f>
        <v>selivec</v>
      </c>
      <c r="L126" s="29" t="str">
        <f>IFERROR(__xludf.DUMMYFUNCTION("""COMPUTED_VALUE"""),"blagajničarka")</f>
        <v>blagajničarka</v>
      </c>
      <c r="O126" s="42" t="str">
        <f>IFERROR(__xludf.DUMMYFUNCTION("""COMPUTED_VALUE"""),"prodajalec")</f>
        <v>prodajalec</v>
      </c>
      <c r="P126" s="43">
        <f t="shared" si="17"/>
        <v>4</v>
      </c>
      <c r="Q126" s="44" t="str">
        <f>IFERROR(__xludf.DUMMYFUNCTION("""COMPUTED_VALUE"""),"urednica")</f>
        <v>urednica</v>
      </c>
      <c r="R126" s="45">
        <f t="shared" si="18"/>
        <v>1</v>
      </c>
    </row>
    <row r="127">
      <c r="J127" s="29" t="str">
        <f>IFERROR(__xludf.DUMMYFUNCTION("""COMPUTED_VALUE"""),"frizer")</f>
        <v>frizer</v>
      </c>
      <c r="L127" s="29" t="str">
        <f>IFERROR(__xludf.DUMMYFUNCTION("""COMPUTED_VALUE"""),"knjižničarka")</f>
        <v>knjižničarka</v>
      </c>
      <c r="O127" s="42" t="str">
        <f>IFERROR(__xludf.DUMMYFUNCTION("""COMPUTED_VALUE"""),"direktor")</f>
        <v>direktor</v>
      </c>
      <c r="P127" s="43">
        <f t="shared" si="17"/>
        <v>2</v>
      </c>
    </row>
    <row r="128">
      <c r="J128" s="29" t="str">
        <f>IFERROR(__xludf.DUMMYFUNCTION("""COMPUTED_VALUE"""),"razvijalec")</f>
        <v>razvijalec</v>
      </c>
      <c r="L128" s="29" t="str">
        <f>IFERROR(__xludf.DUMMYFUNCTION("""COMPUTED_VALUE"""),"asistentka")</f>
        <v>asistentka</v>
      </c>
      <c r="O128" s="42" t="str">
        <f>IFERROR(__xludf.DUMMYFUNCTION("""COMPUTED_VALUE"""),"receptor")</f>
        <v>receptor</v>
      </c>
      <c r="P128" s="43">
        <f t="shared" si="17"/>
        <v>3</v>
      </c>
    </row>
    <row r="129">
      <c r="J129" s="29" t="str">
        <f>IFERROR(__xludf.DUMMYFUNCTION("""COMPUTED_VALUE"""),"voznik")</f>
        <v>voznik</v>
      </c>
      <c r="L129" s="29" t="str">
        <f>IFERROR(__xludf.DUMMYFUNCTION("""COMPUTED_VALUE"""),"tajnica")</f>
        <v>tajnica</v>
      </c>
      <c r="O129" s="42" t="str">
        <f>IFERROR(__xludf.DUMMYFUNCTION("""COMPUTED_VALUE"""),"varnostnik")</f>
        <v>varnostnik</v>
      </c>
      <c r="P129" s="43">
        <f t="shared" si="17"/>
        <v>1</v>
      </c>
    </row>
    <row r="130">
      <c r="J130" s="29" t="str">
        <f>IFERROR(__xludf.DUMMYFUNCTION("""COMPUTED_VALUE"""),"uslužbenec")</f>
        <v>uslužbenec</v>
      </c>
      <c r="L130" s="29" t="str">
        <f>IFERROR(__xludf.DUMMYFUNCTION("""COMPUTED_VALUE"""),"čistilka")</f>
        <v>čistilka</v>
      </c>
      <c r="O130" s="42" t="str">
        <f>IFERROR(__xludf.DUMMYFUNCTION("""COMPUTED_VALUE"""),"urednik")</f>
        <v>urednik</v>
      </c>
      <c r="P130" s="43">
        <f t="shared" si="17"/>
        <v>2</v>
      </c>
    </row>
    <row r="131">
      <c r="J131" s="29" t="str">
        <f>IFERROR(__xludf.DUMMYFUNCTION("""COMPUTED_VALUE"""),"prodajalec")</f>
        <v>prodajalec</v>
      </c>
      <c r="L131" s="29" t="str">
        <f>IFERROR(__xludf.DUMMYFUNCTION("""COMPUTED_VALUE"""),"oblikovalka")</f>
        <v>oblikovalka</v>
      </c>
      <c r="O131" s="42" t="str">
        <f>IFERROR(__xludf.DUMMYFUNCTION("""COMPUTED_VALUE"""),"revizor")</f>
        <v>revizor</v>
      </c>
      <c r="P131" s="43">
        <f t="shared" si="17"/>
        <v>2</v>
      </c>
    </row>
    <row r="132">
      <c r="J132" s="29" t="str">
        <f>IFERROR(__xludf.DUMMYFUNCTION("""COMPUTED_VALUE"""),"direktor")</f>
        <v>direktor</v>
      </c>
      <c r="L132" s="29" t="str">
        <f>IFERROR(__xludf.DUMMYFUNCTION("""COMPUTED_VALUE"""),"oblikovalka")</f>
        <v>oblikovalka</v>
      </c>
      <c r="O132" s="42" t="str">
        <f>IFERROR(__xludf.DUMMYFUNCTION("""COMPUTED_VALUE"""),"paznik")</f>
        <v>paznik</v>
      </c>
      <c r="P132" s="43">
        <f t="shared" si="17"/>
        <v>2</v>
      </c>
    </row>
    <row r="133">
      <c r="J133" s="29" t="str">
        <f>IFERROR(__xludf.DUMMYFUNCTION("""COMPUTED_VALUE"""),"receptor")</f>
        <v>receptor</v>
      </c>
      <c r="L133" s="29" t="str">
        <f>IFERROR(__xludf.DUMMYFUNCTION("""COMPUTED_VALUE"""),"frizerka")</f>
        <v>frizerka</v>
      </c>
      <c r="O133" s="42" t="str">
        <f>IFERROR(__xludf.DUMMYFUNCTION("""COMPUTED_VALUE"""),"pek")</f>
        <v>pek</v>
      </c>
      <c r="P133" s="43">
        <f t="shared" si="17"/>
        <v>2</v>
      </c>
    </row>
    <row r="134">
      <c r="J134" s="29" t="str">
        <f>IFERROR(__xludf.DUMMYFUNCTION("""COMPUTED_VALUE"""),"varnostnik")</f>
        <v>varnostnik</v>
      </c>
      <c r="L134" s="29" t="str">
        <f>IFERROR(__xludf.DUMMYFUNCTION("""COMPUTED_VALUE"""),"blagajničarka")</f>
        <v>blagajničarka</v>
      </c>
      <c r="O134" s="42" t="str">
        <f>IFERROR(__xludf.DUMMYFUNCTION("""COMPUTED_VALUE"""),"zdravnik")</f>
        <v>zdravnik</v>
      </c>
      <c r="P134" s="43">
        <f t="shared" si="17"/>
        <v>3</v>
      </c>
    </row>
    <row r="135">
      <c r="J135" s="29" t="str">
        <f>IFERROR(__xludf.DUMMYFUNCTION("""COMPUTED_VALUE"""),"urednik")</f>
        <v>urednik</v>
      </c>
      <c r="L135" s="29" t="str">
        <f>IFERROR(__xludf.DUMMYFUNCTION("""COMPUTED_VALUE"""),"frizerka")</f>
        <v>frizerka</v>
      </c>
      <c r="O135" s="42" t="str">
        <f>IFERROR(__xludf.DUMMYFUNCTION("""COMPUTED_VALUE"""),"delavec")</f>
        <v>delavec</v>
      </c>
      <c r="P135" s="43">
        <f t="shared" si="17"/>
        <v>2</v>
      </c>
    </row>
    <row r="136">
      <c r="J136" s="29" t="str">
        <f>IFERROR(__xludf.DUMMYFUNCTION("""COMPUTED_VALUE"""),"prodajalec")</f>
        <v>prodajalec</v>
      </c>
      <c r="L136" s="29" t="str">
        <f>IFERROR(__xludf.DUMMYFUNCTION("""COMPUTED_VALUE"""),"čistilka")</f>
        <v>čistilka</v>
      </c>
      <c r="O136" s="42" t="str">
        <f>IFERROR(__xludf.DUMMYFUNCTION("""COMPUTED_VALUE"""),"čistilec")</f>
        <v>čistilec</v>
      </c>
      <c r="P136" s="43">
        <f t="shared" si="17"/>
        <v>2</v>
      </c>
    </row>
    <row r="137">
      <c r="J137" s="29" t="str">
        <f>IFERROR(__xludf.DUMMYFUNCTION("""COMPUTED_VALUE"""),"revizor")</f>
        <v>revizor</v>
      </c>
      <c r="L137" s="29" t="str">
        <f>IFERROR(__xludf.DUMMYFUNCTION("""COMPUTED_VALUE"""),"asistentka")</f>
        <v>asistentka</v>
      </c>
      <c r="O137" s="42" t="str">
        <f>IFERROR(__xludf.DUMMYFUNCTION("""COMPUTED_VALUE"""),"pisatelj")</f>
        <v>pisatelj</v>
      </c>
      <c r="P137" s="43">
        <f t="shared" si="17"/>
        <v>1</v>
      </c>
    </row>
    <row r="138">
      <c r="J138" s="29" t="str">
        <f>IFERROR(__xludf.DUMMYFUNCTION("""COMPUTED_VALUE"""),"paznik")</f>
        <v>paznik</v>
      </c>
      <c r="L138" s="29" t="str">
        <f>IFERROR(__xludf.DUMMYFUNCTION("""COMPUTED_VALUE"""),"medicinska sestra")</f>
        <v>medicinska sestra</v>
      </c>
      <c r="O138" s="42" t="str">
        <f>IFERROR(__xludf.DUMMYFUNCTION("""COMPUTED_VALUE"""),"menedžer")</f>
        <v>menedžer</v>
      </c>
      <c r="P138" s="43">
        <f t="shared" si="17"/>
        <v>1</v>
      </c>
    </row>
    <row r="139">
      <c r="J139" s="29" t="str">
        <f>IFERROR(__xludf.DUMMYFUNCTION("""COMPUTED_VALUE"""),"selivec")</f>
        <v>selivec</v>
      </c>
      <c r="L139" s="29" t="str">
        <f>IFERROR(__xludf.DUMMYFUNCTION("""COMPUTED_VALUE"""),"urednica")</f>
        <v>urednica</v>
      </c>
      <c r="O139" s="42" t="str">
        <f>IFERROR(__xludf.DUMMYFUNCTION("""COMPUTED_VALUE"""),"gradbeni delavec")</f>
        <v>gradbeni delavec</v>
      </c>
      <c r="P139" s="43">
        <f t="shared" si="17"/>
        <v>2</v>
      </c>
    </row>
    <row r="140">
      <c r="J140" s="29" t="str">
        <f>IFERROR(__xludf.DUMMYFUNCTION("""COMPUTED_VALUE"""),"prodajalec")</f>
        <v>prodajalec</v>
      </c>
      <c r="L140" s="29" t="str">
        <f>IFERROR(__xludf.DUMMYFUNCTION("""COMPUTED_VALUE"""),"tajnica")</f>
        <v>tajnica</v>
      </c>
      <c r="O140" s="42" t="str">
        <f>IFERROR(__xludf.DUMMYFUNCTION("""COMPUTED_VALUE"""),"svetovalec")</f>
        <v>svetovalec</v>
      </c>
      <c r="P140" s="43">
        <f t="shared" si="17"/>
        <v>1</v>
      </c>
    </row>
    <row r="141">
      <c r="J141" s="29" t="str">
        <f>IFERROR(__xludf.DUMMYFUNCTION("""COMPUTED_VALUE"""),"kmet")</f>
        <v>kmet</v>
      </c>
      <c r="L141" s="29" t="str">
        <f>IFERROR(__xludf.DUMMYFUNCTION("""COMPUTED_VALUE"""),"oblikovalka")</f>
        <v>oblikovalka</v>
      </c>
      <c r="O141" s="42" t="str">
        <f>IFERROR(__xludf.DUMMYFUNCTION("""COMPUTED_VALUE"""),"mizar")</f>
        <v>mizar</v>
      </c>
      <c r="P141" s="43">
        <f t="shared" si="17"/>
        <v>2</v>
      </c>
    </row>
    <row r="142">
      <c r="J142" s="29" t="str">
        <f>IFERROR(__xludf.DUMMYFUNCTION("""COMPUTED_VALUE"""),"mehanik")</f>
        <v>mehanik</v>
      </c>
      <c r="L142" s="29" t="str">
        <f>IFERROR(__xludf.DUMMYFUNCTION("""COMPUTED_VALUE"""),"oblikovalka")</f>
        <v>oblikovalka</v>
      </c>
      <c r="O142" s="42" t="str">
        <f>IFERROR(__xludf.DUMMYFUNCTION("""COMPUTED_VALUE"""),"pisec")</f>
        <v>pisec</v>
      </c>
      <c r="P142" s="43">
        <f t="shared" si="17"/>
        <v>1</v>
      </c>
    </row>
    <row r="143">
      <c r="J143" s="29" t="str">
        <f>IFERROR(__xludf.DUMMYFUNCTION("""COMPUTED_VALUE"""),"revizor")</f>
        <v>revizor</v>
      </c>
      <c r="L143" s="29" t="str">
        <f>IFERROR(__xludf.DUMMYFUNCTION("""COMPUTED_VALUE"""),"blagajničarka")</f>
        <v>blagajničarka</v>
      </c>
      <c r="O143" s="44" t="str">
        <f>IFERROR(__xludf.DUMMYFUNCTION("""COMPUTED_VALUE"""),"hišnik")</f>
        <v>hišnik</v>
      </c>
      <c r="P143" s="45">
        <f t="shared" si="17"/>
        <v>1</v>
      </c>
    </row>
    <row r="144">
      <c r="J144" s="29" t="str">
        <f>IFERROR(__xludf.DUMMYFUNCTION("""COMPUTED_VALUE"""),"direktor")</f>
        <v>direktor</v>
      </c>
      <c r="L144" s="29" t="str">
        <f>IFERROR(__xludf.DUMMYFUNCTION("""COMPUTED_VALUE"""),"oblikovalka")</f>
        <v>oblikovalka</v>
      </c>
      <c r="O144" s="29"/>
    </row>
    <row r="145">
      <c r="J145" s="29" t="str">
        <f>IFERROR(__xludf.DUMMYFUNCTION("""COMPUTED_VALUE"""),"pek")</f>
        <v>pek</v>
      </c>
    </row>
    <row r="146">
      <c r="J146" s="29" t="str">
        <f>IFERROR(__xludf.DUMMYFUNCTION("""COMPUTED_VALUE"""),"zdravnik")</f>
        <v>zdravnik</v>
      </c>
    </row>
    <row r="147">
      <c r="J147" s="29" t="str">
        <f>IFERROR(__xludf.DUMMYFUNCTION("""COMPUTED_VALUE"""),"delavec")</f>
        <v>delavec</v>
      </c>
    </row>
    <row r="148">
      <c r="J148" s="29" t="str">
        <f>IFERROR(__xludf.DUMMYFUNCTION("""COMPUTED_VALUE"""),"zdravnik")</f>
        <v>zdravnik</v>
      </c>
    </row>
    <row r="149">
      <c r="J149" s="29" t="str">
        <f>IFERROR(__xludf.DUMMYFUNCTION("""COMPUTED_VALUE"""),"voznik")</f>
        <v>voznik</v>
      </c>
    </row>
    <row r="150">
      <c r="J150" s="29" t="str">
        <f>IFERROR(__xludf.DUMMYFUNCTION("""COMPUTED_VALUE"""),"razvijalec")</f>
        <v>razvijalec</v>
      </c>
    </row>
    <row r="151">
      <c r="J151" s="29" t="str">
        <f>IFERROR(__xludf.DUMMYFUNCTION("""COMPUTED_VALUE"""),"krojač")</f>
        <v>krojač</v>
      </c>
    </row>
    <row r="152">
      <c r="J152" s="29" t="str">
        <f>IFERROR(__xludf.DUMMYFUNCTION("""COMPUTED_VALUE"""),"kmet")</f>
        <v>kmet</v>
      </c>
    </row>
    <row r="153">
      <c r="J153" s="29" t="str">
        <f>IFERROR(__xludf.DUMMYFUNCTION("""COMPUTED_VALUE"""),"krojač")</f>
        <v>krojač</v>
      </c>
    </row>
    <row r="154">
      <c r="J154" s="29" t="str">
        <f>IFERROR(__xludf.DUMMYFUNCTION("""COMPUTED_VALUE"""),"mehanik")</f>
        <v>mehanik</v>
      </c>
    </row>
    <row r="155">
      <c r="J155" s="29" t="str">
        <f>IFERROR(__xludf.DUMMYFUNCTION("""COMPUTED_VALUE"""),"urednik")</f>
        <v>urednik</v>
      </c>
    </row>
    <row r="156">
      <c r="J156" s="29" t="str">
        <f>IFERROR(__xludf.DUMMYFUNCTION("""COMPUTED_VALUE"""),"receptor")</f>
        <v>receptor</v>
      </c>
    </row>
    <row r="157">
      <c r="J157" s="29" t="str">
        <f>IFERROR(__xludf.DUMMYFUNCTION("""COMPUTED_VALUE"""),"odvetnik")</f>
        <v>odvetnik</v>
      </c>
    </row>
    <row r="158">
      <c r="J158" s="29" t="str">
        <f>IFERROR(__xludf.DUMMYFUNCTION("""COMPUTED_VALUE"""),"vodja")</f>
        <v>vodja</v>
      </c>
    </row>
    <row r="159">
      <c r="J159" s="29" t="str">
        <f>IFERROR(__xludf.DUMMYFUNCTION("""COMPUTED_VALUE"""),"čistilec")</f>
        <v>čistilec</v>
      </c>
    </row>
    <row r="160">
      <c r="J160" s="29" t="str">
        <f>IFERROR(__xludf.DUMMYFUNCTION("""COMPUTED_VALUE"""),"razvijalec")</f>
        <v>razvijalec</v>
      </c>
    </row>
    <row r="161">
      <c r="J161" s="29" t="str">
        <f>IFERROR(__xludf.DUMMYFUNCTION("""COMPUTED_VALUE"""),"mehanik")</f>
        <v>mehanik</v>
      </c>
    </row>
    <row r="162">
      <c r="J162" s="29" t="str">
        <f>IFERROR(__xludf.DUMMYFUNCTION("""COMPUTED_VALUE"""),"pisatelj")</f>
        <v>pisatelj</v>
      </c>
    </row>
    <row r="163">
      <c r="J163" s="29" t="str">
        <f>IFERROR(__xludf.DUMMYFUNCTION("""COMPUTED_VALUE"""),"menedžer")</f>
        <v>menedžer</v>
      </c>
    </row>
    <row r="164">
      <c r="J164" s="29" t="str">
        <f>IFERROR(__xludf.DUMMYFUNCTION("""COMPUTED_VALUE"""),"zdravnik")</f>
        <v>zdravnik</v>
      </c>
    </row>
    <row r="165">
      <c r="J165" s="29" t="str">
        <f>IFERROR(__xludf.DUMMYFUNCTION("""COMPUTED_VALUE"""),"gradbeni delavec")</f>
        <v>gradbeni delavec</v>
      </c>
    </row>
    <row r="166">
      <c r="J166" s="29" t="str">
        <f>IFERROR(__xludf.DUMMYFUNCTION("""COMPUTED_VALUE"""),"svetovalec")</f>
        <v>svetovalec</v>
      </c>
    </row>
    <row r="167">
      <c r="J167" s="29" t="str">
        <f>IFERROR(__xludf.DUMMYFUNCTION("""COMPUTED_VALUE"""),"gradbeni delavec")</f>
        <v>gradbeni delavec</v>
      </c>
    </row>
    <row r="168">
      <c r="J168" s="29" t="str">
        <f>IFERROR(__xludf.DUMMYFUNCTION("""COMPUTED_VALUE"""),"analitik")</f>
        <v>analitik</v>
      </c>
    </row>
    <row r="169">
      <c r="J169" s="29" t="str">
        <f>IFERROR(__xludf.DUMMYFUNCTION("""COMPUTED_VALUE"""),"mizar")</f>
        <v>mizar</v>
      </c>
    </row>
    <row r="170">
      <c r="J170" s="29" t="str">
        <f>IFERROR(__xludf.DUMMYFUNCTION("""COMPUTED_VALUE"""),"prodajalec")</f>
        <v>prodajalec</v>
      </c>
    </row>
    <row r="171">
      <c r="J171" s="29" t="str">
        <f>IFERROR(__xludf.DUMMYFUNCTION("""COMPUTED_VALUE"""),"pisec")</f>
        <v>pisec</v>
      </c>
    </row>
    <row r="172">
      <c r="J172" s="29" t="str">
        <f>IFERROR(__xludf.DUMMYFUNCTION("""COMPUTED_VALUE"""),"pek")</f>
        <v>pek</v>
      </c>
    </row>
    <row r="173">
      <c r="J173" s="29" t="str">
        <f>IFERROR(__xludf.DUMMYFUNCTION("""COMPUTED_VALUE"""),"kuhar")</f>
        <v>kuhar</v>
      </c>
    </row>
    <row r="174">
      <c r="J174" s="29" t="str">
        <f>IFERROR(__xludf.DUMMYFUNCTION("""COMPUTED_VALUE"""),"mizar")</f>
        <v>mizar</v>
      </c>
    </row>
    <row r="175">
      <c r="J175" s="29" t="str">
        <f>IFERROR(__xludf.DUMMYFUNCTION("""COMPUTED_VALUE"""),"uslužbenec")</f>
        <v>uslužbenec</v>
      </c>
    </row>
    <row r="176">
      <c r="J176" s="29" t="str">
        <f>IFERROR(__xludf.DUMMYFUNCTION("""COMPUTED_VALUE"""),"kuhar")</f>
        <v>kuhar</v>
      </c>
    </row>
    <row r="177">
      <c r="J177" s="29" t="str">
        <f>IFERROR(__xludf.DUMMYFUNCTION("""COMPUTED_VALUE"""),"čistilec")</f>
        <v>čistilec</v>
      </c>
    </row>
    <row r="178">
      <c r="J178" s="29" t="str">
        <f>IFERROR(__xludf.DUMMYFUNCTION("""COMPUTED_VALUE"""),"paznik")</f>
        <v>paznik</v>
      </c>
    </row>
    <row r="179">
      <c r="J179" s="29" t="str">
        <f>IFERROR(__xludf.DUMMYFUNCTION("""COMPUTED_VALUE"""),"delavec")</f>
        <v>delavec</v>
      </c>
    </row>
    <row r="180">
      <c r="J180" s="29" t="str">
        <f>IFERROR(__xludf.DUMMYFUNCTION("""COMPUTED_VALUE"""),"hišnik")</f>
        <v>hišnik</v>
      </c>
    </row>
    <row r="181">
      <c r="J181" s="29" t="str">
        <f>IFERROR(__xludf.DUMMYFUNCTION("""COMPUTED_VALUE"""),"mehanik")</f>
        <v>mehanik</v>
      </c>
    </row>
    <row r="182">
      <c r="J182" s="29" t="str">
        <f>IFERROR(__xludf.DUMMYFUNCTION("""COMPUTED_VALUE"""),"receptor")</f>
        <v>receptor</v>
      </c>
    </row>
  </sheetData>
  <mergeCells count="9">
    <mergeCell ref="H1:M1"/>
    <mergeCell ref="K2:M2"/>
    <mergeCell ref="B1:F1"/>
    <mergeCell ref="G1:G3"/>
    <mergeCell ref="N1:N3"/>
    <mergeCell ref="O1:O3"/>
    <mergeCell ref="P1:P3"/>
    <mergeCell ref="Q1:Q3"/>
    <mergeCell ref="D2:F2"/>
  </mergeCells>
  <conditionalFormatting sqref="K2:M2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25"/>
    <col customWidth="1" min="7" max="7" width="70.75"/>
    <col customWidth="1" min="8" max="8" width="23.13"/>
    <col customWidth="1" min="14" max="14" width="14.63"/>
    <col customWidth="1" min="15" max="15" width="17.25"/>
    <col customWidth="1" min="16" max="16" width="17.88"/>
  </cols>
  <sheetData>
    <row r="1">
      <c r="A1" s="1" t="s">
        <v>448</v>
      </c>
      <c r="B1" s="2" t="s">
        <v>1</v>
      </c>
      <c r="C1" s="3"/>
      <c r="D1" s="3"/>
      <c r="E1" s="3"/>
      <c r="F1" s="3"/>
      <c r="G1" s="4" t="s">
        <v>2</v>
      </c>
      <c r="H1" s="2" t="s">
        <v>3</v>
      </c>
      <c r="I1" s="3"/>
      <c r="J1" s="3"/>
      <c r="K1" s="3"/>
      <c r="L1" s="3"/>
      <c r="M1" s="5"/>
      <c r="N1" s="6" t="s">
        <v>4</v>
      </c>
      <c r="O1" s="7" t="s">
        <v>5</v>
      </c>
      <c r="P1" s="8" t="s">
        <v>6</v>
      </c>
    </row>
    <row r="2">
      <c r="A2" s="10" t="s">
        <v>8</v>
      </c>
      <c r="B2" s="11" t="s">
        <v>9</v>
      </c>
      <c r="C2" s="11" t="s">
        <v>10</v>
      </c>
      <c r="D2" s="12" t="s">
        <v>11</v>
      </c>
      <c r="E2" s="13"/>
      <c r="F2" s="13"/>
      <c r="G2" s="14"/>
      <c r="H2" s="11" t="s">
        <v>9</v>
      </c>
      <c r="I2" s="11" t="s">
        <v>12</v>
      </c>
      <c r="J2" s="11" t="s">
        <v>10</v>
      </c>
      <c r="K2" s="12" t="s">
        <v>13</v>
      </c>
      <c r="L2" s="13"/>
      <c r="M2" s="15"/>
      <c r="N2" s="16"/>
    </row>
    <row r="3">
      <c r="A3" s="17"/>
      <c r="B3" s="18"/>
      <c r="C3" s="18"/>
      <c r="D3" s="19" t="s">
        <v>11</v>
      </c>
      <c r="E3" s="18" t="s">
        <v>14</v>
      </c>
      <c r="F3" s="18" t="s">
        <v>15</v>
      </c>
      <c r="G3" s="20"/>
      <c r="H3" s="18"/>
      <c r="I3" s="18"/>
      <c r="J3" s="18"/>
      <c r="K3" s="19" t="s">
        <v>16</v>
      </c>
      <c r="L3" s="18" t="str">
        <f>IFERROR(__xludf.DUMMYFUNCTION("REGEXEXTRACT(E3,""[A-Za-z]+"")"),"gender")</f>
        <v>gender</v>
      </c>
      <c r="M3" s="18" t="s">
        <v>18</v>
      </c>
      <c r="N3" s="21"/>
      <c r="O3" s="22"/>
      <c r="P3" s="22"/>
    </row>
    <row r="4">
      <c r="A4" s="23" t="s">
        <v>19</v>
      </c>
      <c r="B4" s="23" t="s">
        <v>20</v>
      </c>
      <c r="C4" s="23" t="s">
        <v>21</v>
      </c>
      <c r="D4" s="24" t="s">
        <v>22</v>
      </c>
      <c r="E4" s="23" t="s">
        <v>23</v>
      </c>
      <c r="F4" s="23" t="s">
        <v>10</v>
      </c>
      <c r="G4" s="28" t="s">
        <v>449</v>
      </c>
      <c r="H4" s="23" t="s">
        <v>25</v>
      </c>
      <c r="I4" s="23" t="s">
        <v>26</v>
      </c>
      <c r="J4" s="23" t="s">
        <v>27</v>
      </c>
      <c r="K4" s="23" t="s">
        <v>28</v>
      </c>
      <c r="L4" s="23" t="str">
        <f>IFERROR(__xludf.DUMMYFUNCTION("REGEXEXTRACT(E4,""[A-Za-z]+"")"),"f")</f>
        <v>f</v>
      </c>
      <c r="M4" s="28" t="s">
        <v>10</v>
      </c>
      <c r="N4" s="23" t="s">
        <v>29</v>
      </c>
      <c r="O4" s="23" t="s">
        <v>30</v>
      </c>
      <c r="P4" s="28" t="s">
        <v>29</v>
      </c>
    </row>
    <row r="5">
      <c r="A5" s="23" t="s">
        <v>31</v>
      </c>
      <c r="B5" s="23" t="s">
        <v>21</v>
      </c>
      <c r="C5" s="23" t="s">
        <v>20</v>
      </c>
      <c r="D5" s="24" t="s">
        <v>32</v>
      </c>
      <c r="E5" s="23" t="s">
        <v>26</v>
      </c>
      <c r="F5" s="23" t="s">
        <v>10</v>
      </c>
      <c r="G5" s="28" t="s">
        <v>450</v>
      </c>
      <c r="H5" s="23" t="s">
        <v>27</v>
      </c>
      <c r="I5" s="23" t="s">
        <v>26</v>
      </c>
      <c r="J5" s="23" t="s">
        <v>25</v>
      </c>
      <c r="K5" s="23" t="s">
        <v>34</v>
      </c>
      <c r="L5" s="29" t="str">
        <f>IFERROR(__xludf.DUMMYFUNCTION("REGEXEXTRACT(E5,""[A-Za-z]+"")"),"m")</f>
        <v>m</v>
      </c>
      <c r="M5" s="28" t="s">
        <v>10</v>
      </c>
      <c r="N5" s="23" t="s">
        <v>30</v>
      </c>
      <c r="O5" s="23" t="s">
        <v>30</v>
      </c>
      <c r="P5" s="28" t="s">
        <v>30</v>
      </c>
    </row>
    <row r="6">
      <c r="A6" s="23" t="s">
        <v>35</v>
      </c>
      <c r="B6" s="23" t="s">
        <v>36</v>
      </c>
      <c r="C6" s="23" t="s">
        <v>37</v>
      </c>
      <c r="D6" s="24" t="s">
        <v>32</v>
      </c>
      <c r="E6" s="23" t="s">
        <v>26</v>
      </c>
      <c r="F6" s="23" t="s">
        <v>10</v>
      </c>
      <c r="G6" s="28" t="s">
        <v>451</v>
      </c>
      <c r="H6" s="23" t="s">
        <v>39</v>
      </c>
      <c r="I6" s="23" t="s">
        <v>26</v>
      </c>
      <c r="J6" s="27" t="s">
        <v>452</v>
      </c>
      <c r="K6" s="23" t="s">
        <v>70</v>
      </c>
      <c r="L6" s="29" t="str">
        <f>IFERROR(__xludf.DUMMYFUNCTION("REGEXEXTRACT(E6,""[A-Za-z]+"")"),"m")</f>
        <v>m</v>
      </c>
      <c r="M6" s="28" t="s">
        <v>10</v>
      </c>
      <c r="N6" s="23" t="s">
        <v>30</v>
      </c>
      <c r="O6" s="23" t="s">
        <v>30</v>
      </c>
      <c r="P6" s="28" t="s">
        <v>30</v>
      </c>
    </row>
    <row r="7">
      <c r="A7" s="23" t="s">
        <v>42</v>
      </c>
      <c r="B7" s="23" t="s">
        <v>37</v>
      </c>
      <c r="C7" s="23" t="s">
        <v>36</v>
      </c>
      <c r="D7" s="24" t="s">
        <v>22</v>
      </c>
      <c r="E7" s="23" t="s">
        <v>23</v>
      </c>
      <c r="F7" s="23" t="s">
        <v>10</v>
      </c>
      <c r="G7" s="28" t="s">
        <v>453</v>
      </c>
      <c r="H7" s="23" t="s">
        <v>44</v>
      </c>
      <c r="I7" s="23" t="s">
        <v>26</v>
      </c>
      <c r="J7" s="23" t="s">
        <v>39</v>
      </c>
      <c r="K7" s="23" t="s">
        <v>41</v>
      </c>
      <c r="L7" s="29" t="str">
        <f>IFERROR(__xludf.DUMMYFUNCTION("REGEXEXTRACT(E7,""[A-Za-z]+"")"),"f")</f>
        <v>f</v>
      </c>
      <c r="M7" s="28" t="s">
        <v>10</v>
      </c>
      <c r="N7" s="23" t="s">
        <v>29</v>
      </c>
      <c r="O7" s="23" t="s">
        <v>30</v>
      </c>
      <c r="P7" s="28" t="s">
        <v>29</v>
      </c>
    </row>
    <row r="8">
      <c r="A8" s="23" t="s">
        <v>45</v>
      </c>
      <c r="B8" s="23" t="s">
        <v>46</v>
      </c>
      <c r="C8" s="23" t="s">
        <v>47</v>
      </c>
      <c r="D8" s="24" t="s">
        <v>32</v>
      </c>
      <c r="E8" s="23" t="s">
        <v>26</v>
      </c>
      <c r="F8" s="23" t="s">
        <v>10</v>
      </c>
      <c r="G8" s="28" t="s">
        <v>454</v>
      </c>
      <c r="H8" s="23" t="s">
        <v>49</v>
      </c>
      <c r="I8" s="23" t="s">
        <v>26</v>
      </c>
      <c r="J8" s="23" t="s">
        <v>50</v>
      </c>
      <c r="K8" s="23" t="s">
        <v>34</v>
      </c>
      <c r="L8" s="29" t="str">
        <f>IFERROR(__xludf.DUMMYFUNCTION("REGEXEXTRACT(E8,""[A-Za-z]+"")"),"m")</f>
        <v>m</v>
      </c>
      <c r="M8" s="28" t="s">
        <v>10</v>
      </c>
      <c r="N8" s="23" t="s">
        <v>29</v>
      </c>
      <c r="O8" s="23" t="s">
        <v>30</v>
      </c>
      <c r="P8" s="28" t="s">
        <v>29</v>
      </c>
    </row>
    <row r="9">
      <c r="A9" s="23" t="s">
        <v>54</v>
      </c>
      <c r="B9" s="23" t="s">
        <v>47</v>
      </c>
      <c r="C9" s="23" t="s">
        <v>46</v>
      </c>
      <c r="D9" s="24" t="s">
        <v>22</v>
      </c>
      <c r="E9" s="23" t="s">
        <v>23</v>
      </c>
      <c r="F9" s="23" t="s">
        <v>10</v>
      </c>
      <c r="G9" s="28" t="s">
        <v>455</v>
      </c>
      <c r="H9" s="23" t="s">
        <v>456</v>
      </c>
      <c r="I9" s="23" t="s">
        <v>23</v>
      </c>
      <c r="J9" s="23" t="s">
        <v>457</v>
      </c>
      <c r="K9" s="23" t="s">
        <v>28</v>
      </c>
      <c r="L9" s="29" t="str">
        <f>IFERROR(__xludf.DUMMYFUNCTION("REGEXEXTRACT(E9,""[A-Za-z]+"")"),"f")</f>
        <v>f</v>
      </c>
      <c r="M9" s="28" t="s">
        <v>10</v>
      </c>
      <c r="N9" s="23" t="s">
        <v>29</v>
      </c>
      <c r="O9" s="23" t="s">
        <v>30</v>
      </c>
      <c r="P9" s="28" t="s">
        <v>29</v>
      </c>
    </row>
    <row r="10">
      <c r="A10" s="23" t="s">
        <v>57</v>
      </c>
      <c r="B10" s="23" t="s">
        <v>58</v>
      </c>
      <c r="C10" s="23" t="s">
        <v>47</v>
      </c>
      <c r="D10" s="24" t="s">
        <v>32</v>
      </c>
      <c r="E10" s="23" t="s">
        <v>26</v>
      </c>
      <c r="F10" s="23" t="s">
        <v>10</v>
      </c>
      <c r="G10" s="28" t="s">
        <v>458</v>
      </c>
      <c r="H10" s="23" t="s">
        <v>459</v>
      </c>
      <c r="I10" s="23" t="s">
        <v>26</v>
      </c>
      <c r="J10" s="23" t="s">
        <v>50</v>
      </c>
      <c r="K10" s="23" t="s">
        <v>70</v>
      </c>
      <c r="L10" s="29" t="str">
        <f>IFERROR(__xludf.DUMMYFUNCTION("REGEXEXTRACT(E10,""[A-Za-z]+"")"),"m")</f>
        <v>m</v>
      </c>
      <c r="M10" s="28" t="s">
        <v>10</v>
      </c>
      <c r="N10" s="23" t="s">
        <v>29</v>
      </c>
      <c r="O10" s="23" t="s">
        <v>30</v>
      </c>
      <c r="P10" s="28" t="s">
        <v>29</v>
      </c>
    </row>
    <row r="11">
      <c r="A11" s="23" t="s">
        <v>61</v>
      </c>
      <c r="B11" s="23" t="s">
        <v>47</v>
      </c>
      <c r="C11" s="23" t="s">
        <v>58</v>
      </c>
      <c r="D11" s="24" t="s">
        <v>22</v>
      </c>
      <c r="E11" s="23" t="s">
        <v>23</v>
      </c>
      <c r="F11" s="23" t="s">
        <v>10</v>
      </c>
      <c r="G11" s="28" t="s">
        <v>460</v>
      </c>
      <c r="H11" s="23" t="s">
        <v>50</v>
      </c>
      <c r="I11" s="23" t="s">
        <v>23</v>
      </c>
      <c r="J11" s="23" t="s">
        <v>461</v>
      </c>
      <c r="K11" s="23" t="s">
        <v>28</v>
      </c>
      <c r="L11" s="29" t="str">
        <f>IFERROR(__xludf.DUMMYFUNCTION("REGEXEXTRACT(E11,""[A-Za-z]+"")"),"f")</f>
        <v>f</v>
      </c>
      <c r="M11" s="28" t="s">
        <v>10</v>
      </c>
      <c r="N11" s="23" t="s">
        <v>30</v>
      </c>
      <c r="O11" s="23" t="s">
        <v>30</v>
      </c>
      <c r="P11" s="28" t="s">
        <v>30</v>
      </c>
      <c r="R11" s="23" t="s">
        <v>351</v>
      </c>
      <c r="T11" s="23" t="s">
        <v>462</v>
      </c>
      <c r="V11" s="23" t="s">
        <v>53</v>
      </c>
    </row>
    <row r="12">
      <c r="A12" s="23" t="s">
        <v>64</v>
      </c>
      <c r="B12" s="23" t="s">
        <v>65</v>
      </c>
      <c r="C12" s="23" t="s">
        <v>66</v>
      </c>
      <c r="D12" s="24" t="s">
        <v>32</v>
      </c>
      <c r="E12" s="23" t="s">
        <v>26</v>
      </c>
      <c r="F12" s="23" t="s">
        <v>10</v>
      </c>
      <c r="G12" s="28" t="s">
        <v>463</v>
      </c>
      <c r="H12" s="23" t="s">
        <v>68</v>
      </c>
      <c r="I12" s="23" t="s">
        <v>26</v>
      </c>
      <c r="J12" s="23" t="s">
        <v>73</v>
      </c>
      <c r="K12" s="23" t="s">
        <v>34</v>
      </c>
      <c r="L12" s="29" t="str">
        <f>IFERROR(__xludf.DUMMYFUNCTION("REGEXEXTRACT(E12,""[A-Za-z]+"")"),"m")</f>
        <v>m</v>
      </c>
      <c r="M12" s="28" t="s">
        <v>10</v>
      </c>
      <c r="N12" s="23" t="s">
        <v>29</v>
      </c>
      <c r="O12" s="23" t="s">
        <v>30</v>
      </c>
      <c r="P12" s="28" t="s">
        <v>29</v>
      </c>
      <c r="R12" s="29" t="str">
        <f>IFERROR(__xludf.DUMMYFUNCTION("FILTER(J4:J105, P4:P105 = ""F"")"),"razvijalec")</f>
        <v>razvijalec</v>
      </c>
      <c r="T12" s="23" t="s">
        <v>464</v>
      </c>
      <c r="V12" s="29" t="str">
        <f>IFERROR(__xludf.DUMMYFUNCTION("FILTER(J4:J105, N4:N105 = ""F"")"),"razvijalec")</f>
        <v>razvijalec</v>
      </c>
    </row>
    <row r="13">
      <c r="A13" s="23" t="s">
        <v>71</v>
      </c>
      <c r="B13" s="23" t="s">
        <v>66</v>
      </c>
      <c r="C13" s="23" t="s">
        <v>65</v>
      </c>
      <c r="D13" s="24" t="s">
        <v>22</v>
      </c>
      <c r="E13" s="23" t="s">
        <v>23</v>
      </c>
      <c r="F13" s="23" t="s">
        <v>10</v>
      </c>
      <c r="G13" s="28" t="s">
        <v>465</v>
      </c>
      <c r="H13" s="23" t="s">
        <v>73</v>
      </c>
      <c r="I13" s="23" t="s">
        <v>23</v>
      </c>
      <c r="J13" s="23" t="s">
        <v>68</v>
      </c>
      <c r="K13" s="23" t="s">
        <v>28</v>
      </c>
      <c r="L13" s="29" t="str">
        <f>IFERROR(__xludf.DUMMYFUNCTION("REGEXEXTRACT(E13,""[A-Za-z]+"")"),"f")</f>
        <v>f</v>
      </c>
      <c r="M13" s="28" t="s">
        <v>10</v>
      </c>
      <c r="N13" s="23" t="s">
        <v>29</v>
      </c>
      <c r="O13" s="23" t="s">
        <v>30</v>
      </c>
      <c r="P13" s="28" t="s">
        <v>29</v>
      </c>
      <c r="R13" s="29" t="str">
        <f>IFERROR(__xludf.DUMMYFUNCTION("""COMPUTED_VALUE"""),"mehanik")</f>
        <v>mehanik</v>
      </c>
      <c r="V13" s="29" t="str">
        <f>IFERROR(__xludf.DUMMYFUNCTION("""COMPUTED_VALUE"""),"mehanik")</f>
        <v>mehanik</v>
      </c>
    </row>
    <row r="14">
      <c r="A14" s="23" t="s">
        <v>75</v>
      </c>
      <c r="B14" s="23" t="s">
        <v>66</v>
      </c>
      <c r="C14" s="23" t="s">
        <v>76</v>
      </c>
      <c r="D14" s="24" t="s">
        <v>22</v>
      </c>
      <c r="E14" s="23" t="s">
        <v>23</v>
      </c>
      <c r="F14" s="23" t="s">
        <v>10</v>
      </c>
      <c r="G14" s="28" t="s">
        <v>466</v>
      </c>
      <c r="H14" s="23" t="s">
        <v>73</v>
      </c>
      <c r="I14" s="23" t="s">
        <v>23</v>
      </c>
      <c r="J14" s="23" t="s">
        <v>81</v>
      </c>
      <c r="K14" s="23" t="s">
        <v>28</v>
      </c>
      <c r="L14" s="29" t="str">
        <f>IFERROR(__xludf.DUMMYFUNCTION("REGEXEXTRACT(E14,""[A-Za-z]+"")"),"f")</f>
        <v>f</v>
      </c>
      <c r="M14" s="28" t="s">
        <v>10</v>
      </c>
      <c r="N14" s="23" t="s">
        <v>29</v>
      </c>
      <c r="O14" s="23" t="s">
        <v>30</v>
      </c>
      <c r="P14" s="28" t="s">
        <v>29</v>
      </c>
      <c r="R14" s="29" t="str">
        <f>IFERROR(__xludf.DUMMYFUNCTION("""COMPUTED_VALUE"""),"gospodinja")</f>
        <v>gospodinja</v>
      </c>
      <c r="V14" s="29" t="str">
        <f>IFERROR(__xludf.DUMMYFUNCTION("""COMPUTED_VALUE"""),"gospodinja")</f>
        <v>gospodinja</v>
      </c>
    </row>
    <row r="15">
      <c r="A15" s="23" t="s">
        <v>79</v>
      </c>
      <c r="B15" s="23" t="s">
        <v>76</v>
      </c>
      <c r="C15" s="23" t="s">
        <v>66</v>
      </c>
      <c r="D15" s="24" t="s">
        <v>32</v>
      </c>
      <c r="E15" s="23" t="s">
        <v>26</v>
      </c>
      <c r="F15" s="23" t="s">
        <v>10</v>
      </c>
      <c r="G15" s="28" t="s">
        <v>467</v>
      </c>
      <c r="H15" s="23" t="s">
        <v>81</v>
      </c>
      <c r="I15" s="23" t="s">
        <v>26</v>
      </c>
      <c r="J15" s="23" t="s">
        <v>69</v>
      </c>
      <c r="K15" s="23" t="s">
        <v>34</v>
      </c>
      <c r="L15" s="29" t="str">
        <f>IFERROR(__xludf.DUMMYFUNCTION("REGEXEXTRACT(E15,""[A-Za-z]+"")"),"m")</f>
        <v>m</v>
      </c>
      <c r="M15" s="28" t="s">
        <v>10</v>
      </c>
      <c r="N15" s="23" t="s">
        <v>30</v>
      </c>
      <c r="O15" s="23" t="s">
        <v>30</v>
      </c>
      <c r="P15" s="28" t="s">
        <v>30</v>
      </c>
      <c r="R15" s="29" t="str">
        <f>IFERROR(__xludf.DUMMYFUNCTION("""COMPUTED_VALUE"""),"premikalec")</f>
        <v>premikalec</v>
      </c>
      <c r="V15" s="29" t="str">
        <f>IFERROR(__xludf.DUMMYFUNCTION("""COMPUTED_VALUE"""),"premikalec")</f>
        <v>premikalec</v>
      </c>
    </row>
    <row r="16">
      <c r="A16" s="23" t="s">
        <v>82</v>
      </c>
      <c r="B16" s="23" t="s">
        <v>21</v>
      </c>
      <c r="C16" s="23" t="s">
        <v>66</v>
      </c>
      <c r="D16" s="24" t="s">
        <v>32</v>
      </c>
      <c r="E16" s="23" t="s">
        <v>26</v>
      </c>
      <c r="F16" s="23" t="s">
        <v>10</v>
      </c>
      <c r="G16" s="28" t="s">
        <v>83</v>
      </c>
      <c r="H16" s="23" t="s">
        <v>27</v>
      </c>
      <c r="I16" s="23" t="s">
        <v>26</v>
      </c>
      <c r="J16" s="23" t="s">
        <v>69</v>
      </c>
      <c r="K16" s="23" t="s">
        <v>70</v>
      </c>
      <c r="L16" s="29" t="str">
        <f>IFERROR(__xludf.DUMMYFUNCTION("REGEXEXTRACT(E16,""[A-Za-z]+"")"),"m")</f>
        <v>m</v>
      </c>
      <c r="M16" s="28" t="s">
        <v>10</v>
      </c>
      <c r="N16" s="23" t="s">
        <v>30</v>
      </c>
      <c r="O16" s="23" t="s">
        <v>30</v>
      </c>
      <c r="P16" s="28" t="s">
        <v>30</v>
      </c>
      <c r="R16" s="29" t="str">
        <f>IFERROR(__xludf.DUMMYFUNCTION("""COMPUTED_VALUE"""),"gospodinja")</f>
        <v>gospodinja</v>
      </c>
      <c r="V16" s="29" t="str">
        <f>IFERROR(__xludf.DUMMYFUNCTION("""COMPUTED_VALUE"""),"gospodinja")</f>
        <v>gospodinja</v>
      </c>
    </row>
    <row r="17">
      <c r="A17" s="23" t="s">
        <v>84</v>
      </c>
      <c r="B17" s="23" t="s">
        <v>66</v>
      </c>
      <c r="C17" s="23" t="s">
        <v>21</v>
      </c>
      <c r="D17" s="24" t="s">
        <v>22</v>
      </c>
      <c r="E17" s="23" t="s">
        <v>23</v>
      </c>
      <c r="F17" s="23" t="s">
        <v>10</v>
      </c>
      <c r="G17" s="28" t="s">
        <v>468</v>
      </c>
      <c r="H17" s="23" t="s">
        <v>69</v>
      </c>
      <c r="I17" s="23" t="s">
        <v>26</v>
      </c>
      <c r="J17" s="23" t="s">
        <v>27</v>
      </c>
      <c r="K17" s="23" t="s">
        <v>41</v>
      </c>
      <c r="L17" s="29" t="str">
        <f>IFERROR(__xludf.DUMMYFUNCTION("REGEXEXTRACT(E17,""[A-Za-z]+"")"),"f")</f>
        <v>f</v>
      </c>
      <c r="M17" s="28" t="s">
        <v>10</v>
      </c>
      <c r="N17" s="23" t="s">
        <v>29</v>
      </c>
      <c r="O17" s="23" t="s">
        <v>30</v>
      </c>
      <c r="P17" s="28" t="s">
        <v>29</v>
      </c>
      <c r="R17" s="29" t="str">
        <f>IFERROR(__xludf.DUMMYFUNCTION("""COMPUTED_VALUE"""),"frizerka")</f>
        <v>frizerka</v>
      </c>
      <c r="V17" s="29" t="str">
        <f>IFERROR(__xludf.DUMMYFUNCTION("""COMPUTED_VALUE"""),"frizerka")</f>
        <v>frizerka</v>
      </c>
    </row>
    <row r="18">
      <c r="A18" s="23" t="s">
        <v>87</v>
      </c>
      <c r="B18" s="23" t="s">
        <v>88</v>
      </c>
      <c r="C18" s="23" t="s">
        <v>66</v>
      </c>
      <c r="D18" s="24" t="s">
        <v>32</v>
      </c>
      <c r="E18" s="23" t="s">
        <v>26</v>
      </c>
      <c r="F18" s="23" t="s">
        <v>10</v>
      </c>
      <c r="G18" s="28" t="s">
        <v>469</v>
      </c>
      <c r="H18" s="23" t="s">
        <v>90</v>
      </c>
      <c r="I18" s="23" t="s">
        <v>26</v>
      </c>
      <c r="J18" s="23" t="s">
        <v>73</v>
      </c>
      <c r="K18" s="23" t="s">
        <v>70</v>
      </c>
      <c r="L18" s="29" t="str">
        <f>IFERROR(__xludf.DUMMYFUNCTION("REGEXEXTRACT(E18,""[A-Za-z]+"")"),"m")</f>
        <v>m</v>
      </c>
      <c r="M18" s="28" t="s">
        <v>10</v>
      </c>
      <c r="N18" s="23" t="s">
        <v>29</v>
      </c>
      <c r="O18" s="23" t="s">
        <v>30</v>
      </c>
      <c r="P18" s="28" t="s">
        <v>29</v>
      </c>
      <c r="R18" s="29" t="str">
        <f>IFERROR(__xludf.DUMMYFUNCTION("""COMPUTED_VALUE"""),"odvetnik")</f>
        <v>odvetnik</v>
      </c>
      <c r="V18" s="29" t="str">
        <f>IFERROR(__xludf.DUMMYFUNCTION("""COMPUTED_VALUE"""),"odvetnik")</f>
        <v>odvetnik</v>
      </c>
    </row>
    <row r="19">
      <c r="A19" s="23" t="s">
        <v>91</v>
      </c>
      <c r="B19" s="23" t="s">
        <v>66</v>
      </c>
      <c r="C19" s="23" t="s">
        <v>88</v>
      </c>
      <c r="D19" s="24" t="s">
        <v>22</v>
      </c>
      <c r="E19" s="23" t="s">
        <v>23</v>
      </c>
      <c r="F19" s="23" t="s">
        <v>10</v>
      </c>
      <c r="G19" s="28" t="s">
        <v>470</v>
      </c>
      <c r="H19" s="23" t="s">
        <v>73</v>
      </c>
      <c r="I19" s="23" t="s">
        <v>23</v>
      </c>
      <c r="J19" s="23" t="s">
        <v>471</v>
      </c>
      <c r="K19" s="23" t="s">
        <v>28</v>
      </c>
      <c r="L19" s="29" t="str">
        <f>IFERROR(__xludf.DUMMYFUNCTION("REGEXEXTRACT(E19,""[A-Za-z]+"")"),"f")</f>
        <v>f</v>
      </c>
      <c r="M19" s="28" t="s">
        <v>10</v>
      </c>
      <c r="N19" s="23" t="s">
        <v>30</v>
      </c>
      <c r="O19" s="23" t="s">
        <v>30</v>
      </c>
      <c r="P19" s="28" t="s">
        <v>30</v>
      </c>
      <c r="R19" s="29" t="str">
        <f>IFERROR(__xludf.DUMMYFUNCTION("""COMPUTED_VALUE"""),"kuhar")</f>
        <v>kuhar</v>
      </c>
      <c r="V19" s="29" t="str">
        <f>IFERROR(__xludf.DUMMYFUNCTION("""COMPUTED_VALUE"""),"kuhar")</f>
        <v>kuhar</v>
      </c>
    </row>
    <row r="20">
      <c r="A20" s="23" t="s">
        <v>93</v>
      </c>
      <c r="B20" s="23" t="s">
        <v>94</v>
      </c>
      <c r="C20" s="23" t="s">
        <v>95</v>
      </c>
      <c r="D20" s="24" t="s">
        <v>22</v>
      </c>
      <c r="E20" s="23" t="s">
        <v>23</v>
      </c>
      <c r="F20" s="23" t="s">
        <v>10</v>
      </c>
      <c r="G20" s="23" t="s">
        <v>472</v>
      </c>
      <c r="H20" s="23" t="s">
        <v>473</v>
      </c>
      <c r="I20" s="23" t="s">
        <v>23</v>
      </c>
      <c r="J20" s="27" t="s">
        <v>452</v>
      </c>
      <c r="K20" s="23" t="s">
        <v>41</v>
      </c>
      <c r="L20" s="23" t="s">
        <v>23</v>
      </c>
      <c r="M20" s="49" t="s">
        <v>474</v>
      </c>
      <c r="N20" s="23" t="s">
        <v>474</v>
      </c>
      <c r="O20" s="23" t="s">
        <v>30</v>
      </c>
      <c r="P20" s="28" t="s">
        <v>474</v>
      </c>
      <c r="R20" s="29" t="str">
        <f>IFERROR(__xludf.DUMMYFUNCTION("""COMPUTED_VALUE"""),"razvijalec")</f>
        <v>razvijalec</v>
      </c>
      <c r="V20" s="29" t="str">
        <f>IFERROR(__xludf.DUMMYFUNCTION("""COMPUTED_VALUE"""),"razvijalec")</f>
        <v>razvijalec</v>
      </c>
    </row>
    <row r="21">
      <c r="A21" s="23" t="s">
        <v>99</v>
      </c>
      <c r="B21" s="23" t="s">
        <v>95</v>
      </c>
      <c r="C21" s="23" t="s">
        <v>94</v>
      </c>
      <c r="D21" s="24" t="s">
        <v>32</v>
      </c>
      <c r="E21" s="23" t="s">
        <v>26</v>
      </c>
      <c r="F21" s="23" t="s">
        <v>10</v>
      </c>
      <c r="G21" s="23" t="s">
        <v>475</v>
      </c>
      <c r="H21" s="23" t="s">
        <v>101</v>
      </c>
      <c r="I21" s="23" t="s">
        <v>26</v>
      </c>
      <c r="J21" s="23" t="s">
        <v>473</v>
      </c>
      <c r="K21" s="23" t="s">
        <v>70</v>
      </c>
      <c r="L21" s="23" t="s">
        <v>26</v>
      </c>
      <c r="M21" s="28" t="s">
        <v>10</v>
      </c>
      <c r="N21" s="23" t="s">
        <v>29</v>
      </c>
      <c r="O21" s="23" t="s">
        <v>30</v>
      </c>
      <c r="P21" s="28" t="s">
        <v>29</v>
      </c>
      <c r="R21" s="29" t="str">
        <f>IFERROR(__xludf.DUMMYFUNCTION("""COMPUTED_VALUE"""),"frizerka")</f>
        <v>frizerka</v>
      </c>
      <c r="V21" s="29" t="str">
        <f>IFERROR(__xludf.DUMMYFUNCTION("""COMPUTED_VALUE"""),"frizerka")</f>
        <v>frizerka</v>
      </c>
    </row>
    <row r="22">
      <c r="A22" s="23" t="s">
        <v>102</v>
      </c>
      <c r="B22" s="23" t="s">
        <v>103</v>
      </c>
      <c r="C22" s="23" t="s">
        <v>104</v>
      </c>
      <c r="D22" s="24" t="s">
        <v>22</v>
      </c>
      <c r="E22" s="23" t="s">
        <v>23</v>
      </c>
      <c r="F22" s="23" t="s">
        <v>10</v>
      </c>
      <c r="G22" s="23" t="s">
        <v>476</v>
      </c>
      <c r="H22" s="23" t="s">
        <v>112</v>
      </c>
      <c r="I22" s="23" t="s">
        <v>26</v>
      </c>
      <c r="J22" s="23" t="s">
        <v>107</v>
      </c>
      <c r="K22" s="23" t="s">
        <v>28</v>
      </c>
      <c r="L22" s="23" t="s">
        <v>23</v>
      </c>
      <c r="M22" s="28" t="s">
        <v>10</v>
      </c>
      <c r="N22" s="23" t="s">
        <v>29</v>
      </c>
      <c r="O22" s="23" t="s">
        <v>30</v>
      </c>
      <c r="P22" s="28" t="s">
        <v>29</v>
      </c>
      <c r="R22" s="29" t="str">
        <f>IFERROR(__xludf.DUMMYFUNCTION("""COMPUTED_VALUE"""),"recepcionarka")</f>
        <v>recepcionarka</v>
      </c>
      <c r="V22" s="29" t="str">
        <f>IFERROR(__xludf.DUMMYFUNCTION("""COMPUTED_VALUE"""),"recepcionarka")</f>
        <v>recepcionarka</v>
      </c>
    </row>
    <row r="23">
      <c r="A23" s="23" t="s">
        <v>110</v>
      </c>
      <c r="B23" s="23" t="s">
        <v>104</v>
      </c>
      <c r="C23" s="23" t="s">
        <v>103</v>
      </c>
      <c r="D23" s="24" t="s">
        <v>32</v>
      </c>
      <c r="E23" s="23" t="s">
        <v>26</v>
      </c>
      <c r="F23" s="23" t="s">
        <v>10</v>
      </c>
      <c r="G23" s="23" t="s">
        <v>477</v>
      </c>
      <c r="H23" s="23" t="s">
        <v>107</v>
      </c>
      <c r="I23" s="23" t="s">
        <v>26</v>
      </c>
      <c r="J23" s="23" t="s">
        <v>112</v>
      </c>
      <c r="K23" s="23" t="s">
        <v>34</v>
      </c>
      <c r="L23" s="23" t="s">
        <v>26</v>
      </c>
      <c r="M23" s="28" t="s">
        <v>10</v>
      </c>
      <c r="N23" s="23" t="s">
        <v>30</v>
      </c>
      <c r="O23" s="23" t="s">
        <v>30</v>
      </c>
      <c r="P23" s="28" t="s">
        <v>30</v>
      </c>
      <c r="R23" s="29" t="str">
        <f>IFERROR(__xludf.DUMMYFUNCTION("""COMPUTED_VALUE"""),"nadzornik")</f>
        <v>nadzornik</v>
      </c>
      <c r="V23" s="29" t="str">
        <f>IFERROR(__xludf.DUMMYFUNCTION("""COMPUTED_VALUE"""),"nadzornik")</f>
        <v>nadzornik</v>
      </c>
    </row>
    <row r="24">
      <c r="A24" s="23" t="s">
        <v>113</v>
      </c>
      <c r="B24" s="23" t="s">
        <v>114</v>
      </c>
      <c r="C24" s="23" t="s">
        <v>20</v>
      </c>
      <c r="D24" s="24" t="s">
        <v>32</v>
      </c>
      <c r="E24" s="23" t="s">
        <v>26</v>
      </c>
      <c r="F24" s="23" t="s">
        <v>10</v>
      </c>
      <c r="G24" s="28" t="s">
        <v>115</v>
      </c>
      <c r="H24" s="23" t="s">
        <v>116</v>
      </c>
      <c r="I24" s="23" t="s">
        <v>26</v>
      </c>
      <c r="J24" s="23" t="s">
        <v>25</v>
      </c>
      <c r="K24" s="23" t="s">
        <v>34</v>
      </c>
      <c r="L24" s="29" t="str">
        <f>IFERROR(__xludf.DUMMYFUNCTION("REGEXEXTRACT(E24,""[A-Za-z]+"")"),"m")</f>
        <v>m</v>
      </c>
      <c r="M24" s="28" t="s">
        <v>10</v>
      </c>
      <c r="N24" s="23" t="s">
        <v>30</v>
      </c>
      <c r="O24" s="23" t="s">
        <v>30</v>
      </c>
      <c r="P24" s="28" t="s">
        <v>30</v>
      </c>
      <c r="R24" s="29" t="str">
        <f>IFERROR(__xludf.DUMMYFUNCTION("""COMPUTED_VALUE"""),"kmet")</f>
        <v>kmet</v>
      </c>
      <c r="V24" s="29" t="str">
        <f>IFERROR(__xludf.DUMMYFUNCTION("""COMPUTED_VALUE"""),"kmet")</f>
        <v>kmet</v>
      </c>
    </row>
    <row r="25">
      <c r="A25" s="23" t="s">
        <v>117</v>
      </c>
      <c r="B25" s="23" t="s">
        <v>20</v>
      </c>
      <c r="C25" s="23" t="s">
        <v>114</v>
      </c>
      <c r="D25" s="24" t="s">
        <v>22</v>
      </c>
      <c r="E25" s="23" t="s">
        <v>23</v>
      </c>
      <c r="F25" s="23" t="s">
        <v>10</v>
      </c>
      <c r="G25" s="28" t="s">
        <v>478</v>
      </c>
      <c r="H25" s="23" t="s">
        <v>347</v>
      </c>
      <c r="I25" s="23" t="s">
        <v>23</v>
      </c>
      <c r="J25" s="23" t="s">
        <v>116</v>
      </c>
      <c r="K25" s="23" t="s">
        <v>41</v>
      </c>
      <c r="L25" s="29" t="str">
        <f>IFERROR(__xludf.DUMMYFUNCTION("REGEXEXTRACT(E25,""[A-Za-z]+"")"),"f")</f>
        <v>f</v>
      </c>
      <c r="M25" s="28" t="s">
        <v>10</v>
      </c>
      <c r="N25" s="27" t="s">
        <v>29</v>
      </c>
      <c r="O25" s="23" t="s">
        <v>30</v>
      </c>
      <c r="P25" s="28" t="s">
        <v>29</v>
      </c>
      <c r="R25" s="29" t="str">
        <f>IFERROR(__xludf.DUMMYFUNCTION("""COMPUTED_VALUE"""),"razvijalec")</f>
        <v>razvijalec</v>
      </c>
      <c r="V25" s="29" t="str">
        <f>IFERROR(__xludf.DUMMYFUNCTION("""COMPUTED_VALUE"""),"razvijalec")</f>
        <v>razvijalec</v>
      </c>
    </row>
    <row r="26">
      <c r="A26" s="23" t="s">
        <v>120</v>
      </c>
      <c r="B26" s="23" t="s">
        <v>21</v>
      </c>
      <c r="C26" s="23" t="s">
        <v>121</v>
      </c>
      <c r="D26" s="24" t="s">
        <v>32</v>
      </c>
      <c r="E26" s="23" t="s">
        <v>26</v>
      </c>
      <c r="F26" s="23" t="s">
        <v>10</v>
      </c>
      <c r="G26" s="28" t="s">
        <v>479</v>
      </c>
      <c r="H26" s="23" t="s">
        <v>27</v>
      </c>
      <c r="I26" s="23" t="s">
        <v>26</v>
      </c>
      <c r="J26" s="23" t="s">
        <v>123</v>
      </c>
      <c r="K26" s="23" t="s">
        <v>70</v>
      </c>
      <c r="L26" s="29" t="str">
        <f>IFERROR(__xludf.DUMMYFUNCTION("REGEXEXTRACT(E26,""[A-Za-z]+"")"),"m")</f>
        <v>m</v>
      </c>
      <c r="M26" s="28" t="s">
        <v>10</v>
      </c>
      <c r="N26" s="23" t="s">
        <v>30</v>
      </c>
      <c r="O26" s="23" t="s">
        <v>30</v>
      </c>
      <c r="P26" s="28" t="s">
        <v>30</v>
      </c>
      <c r="R26" s="29" t="str">
        <f>IFERROR(__xludf.DUMMYFUNCTION("""COMPUTED_VALUE"""),"preselitelj")</f>
        <v>preselitelj</v>
      </c>
      <c r="V26" s="29" t="str">
        <f>IFERROR(__xludf.DUMMYFUNCTION("""COMPUTED_VALUE"""),"preselitelj")</f>
        <v>preselitelj</v>
      </c>
    </row>
    <row r="27">
      <c r="A27" s="23" t="s">
        <v>124</v>
      </c>
      <c r="B27" s="23" t="s">
        <v>121</v>
      </c>
      <c r="C27" s="23" t="s">
        <v>21</v>
      </c>
      <c r="D27" s="24" t="s">
        <v>22</v>
      </c>
      <c r="E27" s="23" t="s">
        <v>23</v>
      </c>
      <c r="F27" s="23" t="s">
        <v>10</v>
      </c>
      <c r="G27" s="28" t="s">
        <v>480</v>
      </c>
      <c r="H27" s="23" t="s">
        <v>123</v>
      </c>
      <c r="I27" s="23" t="s">
        <v>26</v>
      </c>
      <c r="J27" s="23" t="s">
        <v>27</v>
      </c>
      <c r="K27" s="23" t="s">
        <v>41</v>
      </c>
      <c r="L27" s="29" t="str">
        <f>IFERROR(__xludf.DUMMYFUNCTION("REGEXEXTRACT(E27,""[A-Za-z]+"")"),"f")</f>
        <v>f</v>
      </c>
      <c r="M27" s="28" t="s">
        <v>10</v>
      </c>
      <c r="N27" s="23" t="s">
        <v>29</v>
      </c>
      <c r="O27" s="23" t="s">
        <v>30</v>
      </c>
      <c r="P27" s="28" t="s">
        <v>29</v>
      </c>
      <c r="R27" s="29" t="str">
        <f>IFERROR(__xludf.DUMMYFUNCTION("""COMPUTED_VALUE"""),"tajnica")</f>
        <v>tajnica</v>
      </c>
      <c r="V27" s="29" t="str">
        <f>IFERROR(__xludf.DUMMYFUNCTION("""COMPUTED_VALUE"""),"tajnica")</f>
        <v>tajnica</v>
      </c>
    </row>
    <row r="28">
      <c r="A28" s="23" t="s">
        <v>126</v>
      </c>
      <c r="B28" s="23" t="s">
        <v>127</v>
      </c>
      <c r="C28" s="23" t="s">
        <v>46</v>
      </c>
      <c r="D28" s="24" t="s">
        <v>22</v>
      </c>
      <c r="E28" s="23" t="s">
        <v>23</v>
      </c>
      <c r="F28" s="23" t="s">
        <v>10</v>
      </c>
      <c r="G28" s="28" t="s">
        <v>481</v>
      </c>
      <c r="H28" s="23" t="s">
        <v>293</v>
      </c>
      <c r="I28" s="23" t="s">
        <v>23</v>
      </c>
      <c r="J28" s="23" t="s">
        <v>482</v>
      </c>
      <c r="K28" s="23" t="s">
        <v>28</v>
      </c>
      <c r="L28" s="29" t="str">
        <f>IFERROR(__xludf.DUMMYFUNCTION("REGEXEXTRACT(E28,""[A-Za-z]+"")"),"f")</f>
        <v>f</v>
      </c>
      <c r="M28" s="28" t="s">
        <v>10</v>
      </c>
      <c r="N28" s="23" t="s">
        <v>29</v>
      </c>
      <c r="O28" s="23" t="s">
        <v>30</v>
      </c>
      <c r="P28" s="28" t="s">
        <v>29</v>
      </c>
      <c r="R28" s="29" t="str">
        <f>IFERROR(__xludf.DUMMYFUNCTION("""COMPUTED_VALUE"""),"frizerka")</f>
        <v>frizerka</v>
      </c>
      <c r="V28" s="29" t="str">
        <f>IFERROR(__xludf.DUMMYFUNCTION("""COMPUTED_VALUE"""),"frizerka")</f>
        <v>frizerka</v>
      </c>
    </row>
    <row r="29">
      <c r="A29" s="23" t="s">
        <v>131</v>
      </c>
      <c r="B29" s="23" t="s">
        <v>46</v>
      </c>
      <c r="C29" s="23" t="s">
        <v>127</v>
      </c>
      <c r="D29" s="24" t="s">
        <v>32</v>
      </c>
      <c r="E29" s="23" t="s">
        <v>26</v>
      </c>
      <c r="F29" s="23" t="s">
        <v>10</v>
      </c>
      <c r="G29" s="28" t="s">
        <v>483</v>
      </c>
      <c r="H29" s="23" t="s">
        <v>49</v>
      </c>
      <c r="I29" s="23" t="s">
        <v>26</v>
      </c>
      <c r="J29" s="23" t="s">
        <v>293</v>
      </c>
      <c r="K29" s="23" t="s">
        <v>34</v>
      </c>
      <c r="L29" s="29" t="str">
        <f>IFERROR(__xludf.DUMMYFUNCTION("REGEXEXTRACT(E29,""[A-Za-z]+"")"),"m")</f>
        <v>m</v>
      </c>
      <c r="M29" s="28" t="s">
        <v>10</v>
      </c>
      <c r="N29" s="23" t="s">
        <v>29</v>
      </c>
      <c r="O29" s="23" t="s">
        <v>30</v>
      </c>
      <c r="P29" s="28" t="s">
        <v>29</v>
      </c>
      <c r="R29" s="29" t="str">
        <f>IFERROR(__xludf.DUMMYFUNCTION("""COMPUTED_VALUE"""),"kmet")</f>
        <v>kmet</v>
      </c>
      <c r="V29" s="29" t="str">
        <f>IFERROR(__xludf.DUMMYFUNCTION("""COMPUTED_VALUE"""),"kmet")</f>
        <v>kmet</v>
      </c>
    </row>
    <row r="30">
      <c r="A30" s="23" t="s">
        <v>135</v>
      </c>
      <c r="B30" s="23" t="s">
        <v>114</v>
      </c>
      <c r="C30" s="23" t="s">
        <v>66</v>
      </c>
      <c r="D30" s="24" t="s">
        <v>32</v>
      </c>
      <c r="E30" s="23" t="s">
        <v>26</v>
      </c>
      <c r="F30" s="23" t="s">
        <v>10</v>
      </c>
      <c r="G30" s="23" t="s">
        <v>484</v>
      </c>
      <c r="H30" s="23" t="s">
        <v>116</v>
      </c>
      <c r="I30" s="23" t="s">
        <v>26</v>
      </c>
      <c r="J30" s="23" t="s">
        <v>73</v>
      </c>
      <c r="K30" s="23" t="s">
        <v>137</v>
      </c>
      <c r="L30" s="23" t="s">
        <v>26</v>
      </c>
      <c r="M30" s="28" t="s">
        <v>10</v>
      </c>
      <c r="N30" s="23" t="s">
        <v>29</v>
      </c>
      <c r="O30" s="23" t="s">
        <v>30</v>
      </c>
      <c r="P30" s="28" t="s">
        <v>29</v>
      </c>
      <c r="R30" s="29" t="str">
        <f>IFERROR(__xludf.DUMMYFUNCTION("""COMPUTED_VALUE"""),"blagajnica")</f>
        <v>blagajnica</v>
      </c>
      <c r="V30" s="29" t="str">
        <f>IFERROR(__xludf.DUMMYFUNCTION("""COMPUTED_VALUE"""),"blagajnica")</f>
        <v>blagajnica</v>
      </c>
    </row>
    <row r="31">
      <c r="A31" s="23" t="s">
        <v>138</v>
      </c>
      <c r="B31" s="23" t="s">
        <v>66</v>
      </c>
      <c r="C31" s="23" t="s">
        <v>114</v>
      </c>
      <c r="D31" s="24" t="s">
        <v>22</v>
      </c>
      <c r="E31" s="23" t="s">
        <v>23</v>
      </c>
      <c r="F31" s="23" t="s">
        <v>10</v>
      </c>
      <c r="G31" s="23" t="s">
        <v>485</v>
      </c>
      <c r="H31" s="23" t="s">
        <v>73</v>
      </c>
      <c r="I31" s="23" t="s">
        <v>23</v>
      </c>
      <c r="J31" s="23" t="s">
        <v>116</v>
      </c>
      <c r="K31" s="23" t="s">
        <v>41</v>
      </c>
      <c r="L31" s="23" t="s">
        <v>23</v>
      </c>
      <c r="M31" s="28" t="s">
        <v>10</v>
      </c>
      <c r="N31" s="23" t="s">
        <v>29</v>
      </c>
      <c r="O31" s="23" t="s">
        <v>30</v>
      </c>
      <c r="P31" s="28" t="s">
        <v>29</v>
      </c>
      <c r="R31" s="29" t="str">
        <f>IFERROR(__xludf.DUMMYFUNCTION("""COMPUTED_VALUE"""),"razvijalec")</f>
        <v>razvijalec</v>
      </c>
      <c r="V31" s="29" t="str">
        <f>IFERROR(__xludf.DUMMYFUNCTION("""COMPUTED_VALUE"""),"razvijalec")</f>
        <v>razvijalec</v>
      </c>
    </row>
    <row r="32">
      <c r="A32" s="23" t="s">
        <v>140</v>
      </c>
      <c r="B32" s="23" t="s">
        <v>21</v>
      </c>
      <c r="C32" s="23" t="s">
        <v>141</v>
      </c>
      <c r="D32" s="24" t="s">
        <v>32</v>
      </c>
      <c r="E32" s="23" t="s">
        <v>26</v>
      </c>
      <c r="F32" s="23" t="s">
        <v>10</v>
      </c>
      <c r="G32" s="23" t="s">
        <v>486</v>
      </c>
      <c r="H32" s="23" t="s">
        <v>27</v>
      </c>
      <c r="I32" s="23" t="s">
        <v>26</v>
      </c>
      <c r="J32" s="23" t="s">
        <v>487</v>
      </c>
      <c r="K32" s="23" t="s">
        <v>34</v>
      </c>
      <c r="L32" s="23" t="s">
        <v>26</v>
      </c>
      <c r="M32" s="28" t="s">
        <v>10</v>
      </c>
      <c r="N32" s="23" t="s">
        <v>29</v>
      </c>
      <c r="O32" s="23" t="s">
        <v>30</v>
      </c>
      <c r="P32" s="28" t="s">
        <v>29</v>
      </c>
      <c r="R32" s="29" t="str">
        <f>IFERROR(__xludf.DUMMYFUNCTION("""COMPUTED_VALUE"""),"voznik")</f>
        <v>voznik</v>
      </c>
      <c r="V32" s="29" t="str">
        <f>IFERROR(__xludf.DUMMYFUNCTION("""COMPUTED_VALUE"""),"voznik")</f>
        <v>voznik</v>
      </c>
    </row>
    <row r="33">
      <c r="A33" s="23" t="s">
        <v>144</v>
      </c>
      <c r="B33" s="23" t="s">
        <v>141</v>
      </c>
      <c r="C33" s="23" t="s">
        <v>21</v>
      </c>
      <c r="D33" s="24" t="s">
        <v>22</v>
      </c>
      <c r="E33" s="23" t="s">
        <v>23</v>
      </c>
      <c r="F33" s="23" t="s">
        <v>10</v>
      </c>
      <c r="G33" s="23" t="s">
        <v>488</v>
      </c>
      <c r="H33" s="23" t="s">
        <v>489</v>
      </c>
      <c r="I33" s="23" t="s">
        <v>26</v>
      </c>
      <c r="J33" s="23" t="s">
        <v>27</v>
      </c>
      <c r="K33" s="23" t="s">
        <v>28</v>
      </c>
      <c r="L33" s="23" t="s">
        <v>23</v>
      </c>
      <c r="M33" s="28" t="s">
        <v>109</v>
      </c>
      <c r="N33" s="23" t="s">
        <v>29</v>
      </c>
      <c r="O33" s="23" t="s">
        <v>30</v>
      </c>
      <c r="P33" s="28" t="s">
        <v>29</v>
      </c>
      <c r="R33" s="29" t="str">
        <f>IFERROR(__xludf.DUMMYFUNCTION("""COMPUTED_VALUE"""),"recepcionarka")</f>
        <v>recepcionarka</v>
      </c>
      <c r="V33" s="29" t="str">
        <f>IFERROR(__xludf.DUMMYFUNCTION("""COMPUTED_VALUE"""),"recepcionarka")</f>
        <v>recepcionarka</v>
      </c>
    </row>
    <row r="34">
      <c r="A34" s="23" t="s">
        <v>146</v>
      </c>
      <c r="B34" s="23" t="s">
        <v>147</v>
      </c>
      <c r="C34" s="23" t="s">
        <v>37</v>
      </c>
      <c r="D34" s="24" t="s">
        <v>32</v>
      </c>
      <c r="E34" s="23" t="s">
        <v>26</v>
      </c>
      <c r="F34" s="23" t="s">
        <v>10</v>
      </c>
      <c r="G34" s="28" t="s">
        <v>490</v>
      </c>
      <c r="H34" s="23" t="s">
        <v>149</v>
      </c>
      <c r="I34" s="23" t="s">
        <v>26</v>
      </c>
      <c r="J34" s="23" t="s">
        <v>44</v>
      </c>
      <c r="K34" s="23" t="s">
        <v>70</v>
      </c>
      <c r="L34" s="29" t="str">
        <f>IFERROR(__xludf.DUMMYFUNCTION("REGEXEXTRACT(E34,""[A-Za-z]+"")"),"m")</f>
        <v>m</v>
      </c>
      <c r="M34" s="28" t="s">
        <v>10</v>
      </c>
      <c r="N34" s="23" t="s">
        <v>30</v>
      </c>
      <c r="O34" s="23" t="s">
        <v>30</v>
      </c>
      <c r="P34" s="28" t="s">
        <v>30</v>
      </c>
      <c r="R34" s="29" t="str">
        <f>IFERROR(__xludf.DUMMYFUNCTION("""COMPUTED_VALUE"""),"stražar")</f>
        <v>stražar</v>
      </c>
      <c r="V34" s="29" t="str">
        <f>IFERROR(__xludf.DUMMYFUNCTION("""COMPUTED_VALUE"""),"stražar")</f>
        <v>stražar</v>
      </c>
    </row>
    <row r="35">
      <c r="A35" s="23" t="s">
        <v>151</v>
      </c>
      <c r="B35" s="23" t="s">
        <v>37</v>
      </c>
      <c r="C35" s="23" t="s">
        <v>147</v>
      </c>
      <c r="D35" s="24" t="s">
        <v>22</v>
      </c>
      <c r="E35" s="23" t="s">
        <v>23</v>
      </c>
      <c r="F35" s="23" t="s">
        <v>10</v>
      </c>
      <c r="G35" s="28" t="s">
        <v>491</v>
      </c>
      <c r="H35" s="23" t="s">
        <v>44</v>
      </c>
      <c r="I35" s="23" t="s">
        <v>26</v>
      </c>
      <c r="J35" s="23" t="s">
        <v>149</v>
      </c>
      <c r="K35" s="23" t="s">
        <v>41</v>
      </c>
      <c r="L35" s="29" t="str">
        <f>IFERROR(__xludf.DUMMYFUNCTION("REGEXEXTRACT(E35,""[A-Za-z]+"")"),"f")</f>
        <v>f</v>
      </c>
      <c r="M35" s="28" t="s">
        <v>10</v>
      </c>
      <c r="N35" s="23" t="s">
        <v>29</v>
      </c>
      <c r="O35" s="23" t="s">
        <v>30</v>
      </c>
      <c r="P35" s="28" t="s">
        <v>29</v>
      </c>
      <c r="R35" s="29" t="str">
        <f>IFERROR(__xludf.DUMMYFUNCTION("""COMPUTED_VALUE"""),"preselitelj")</f>
        <v>preselitelj</v>
      </c>
      <c r="V35" s="29" t="str">
        <f>IFERROR(__xludf.DUMMYFUNCTION("""COMPUTED_VALUE"""),"preselitelj")</f>
        <v>preselitelj</v>
      </c>
    </row>
    <row r="36">
      <c r="A36" s="23" t="s">
        <v>154</v>
      </c>
      <c r="B36" s="23" t="s">
        <v>155</v>
      </c>
      <c r="C36" s="23" t="s">
        <v>156</v>
      </c>
      <c r="D36" s="24" t="s">
        <v>32</v>
      </c>
      <c r="E36" s="23" t="s">
        <v>26</v>
      </c>
      <c r="F36" s="23" t="s">
        <v>10</v>
      </c>
      <c r="G36" s="28" t="s">
        <v>157</v>
      </c>
      <c r="H36" s="23" t="s">
        <v>150</v>
      </c>
      <c r="I36" s="23" t="s">
        <v>26</v>
      </c>
      <c r="J36" s="23" t="s">
        <v>158</v>
      </c>
      <c r="K36" s="23" t="s">
        <v>70</v>
      </c>
      <c r="L36" s="29" t="str">
        <f>IFERROR(__xludf.DUMMYFUNCTION("REGEXEXTRACT(E36,""[A-Za-z]+"")"),"m")</f>
        <v>m</v>
      </c>
      <c r="M36" s="28" t="s">
        <v>10</v>
      </c>
      <c r="N36" s="23" t="s">
        <v>30</v>
      </c>
      <c r="O36" s="23" t="s">
        <v>30</v>
      </c>
      <c r="P36" s="28" t="s">
        <v>30</v>
      </c>
      <c r="R36" s="29" t="str">
        <f>IFERROR(__xludf.DUMMYFUNCTION("""COMPUTED_VALUE"""),"tajnica")</f>
        <v>tajnica</v>
      </c>
      <c r="V36" s="29" t="str">
        <f>IFERROR(__xludf.DUMMYFUNCTION("""COMPUTED_VALUE"""),"tajnica")</f>
        <v>tajnica</v>
      </c>
    </row>
    <row r="37">
      <c r="A37" s="23" t="s">
        <v>159</v>
      </c>
      <c r="B37" s="31" t="s">
        <v>156</v>
      </c>
      <c r="C37" s="31" t="s">
        <v>155</v>
      </c>
      <c r="D37" s="32" t="s">
        <v>22</v>
      </c>
      <c r="E37" s="31" t="s">
        <v>23</v>
      </c>
      <c r="F37" s="31" t="s">
        <v>10</v>
      </c>
      <c r="G37" s="28" t="s">
        <v>492</v>
      </c>
      <c r="H37" s="23" t="s">
        <v>493</v>
      </c>
      <c r="I37" s="23" t="s">
        <v>23</v>
      </c>
      <c r="J37" s="23" t="s">
        <v>494</v>
      </c>
      <c r="K37" s="23" t="s">
        <v>28</v>
      </c>
      <c r="L37" s="29" t="str">
        <f>IFERROR(__xludf.DUMMYFUNCTION("REGEXEXTRACT(E37,""[A-Za-z]+"")"),"f")</f>
        <v>f</v>
      </c>
      <c r="M37" s="28" t="s">
        <v>10</v>
      </c>
      <c r="N37" s="23" t="s">
        <v>30</v>
      </c>
      <c r="O37" s="23" t="s">
        <v>30</v>
      </c>
      <c r="P37" s="28" t="s">
        <v>30</v>
      </c>
      <c r="R37" s="29" t="str">
        <f>IFERROR(__xludf.DUMMYFUNCTION("""COMPUTED_VALUE"""),"???")</f>
        <v>???</v>
      </c>
      <c r="V37" s="29" t="str">
        <f>IFERROR(__xludf.DUMMYFUNCTION("""COMPUTED_VALUE"""),"???")</f>
        <v>???</v>
      </c>
    </row>
    <row r="38">
      <c r="A38" s="23" t="s">
        <v>162</v>
      </c>
      <c r="B38" s="23" t="s">
        <v>163</v>
      </c>
      <c r="C38" s="23" t="s">
        <v>94</v>
      </c>
      <c r="D38" s="24" t="s">
        <v>32</v>
      </c>
      <c r="E38" s="23" t="s">
        <v>26</v>
      </c>
      <c r="F38" s="23" t="s">
        <v>10</v>
      </c>
      <c r="G38" s="28" t="s">
        <v>495</v>
      </c>
      <c r="H38" s="23" t="s">
        <v>165</v>
      </c>
      <c r="I38" s="23" t="s">
        <v>26</v>
      </c>
      <c r="J38" s="23" t="s">
        <v>473</v>
      </c>
      <c r="K38" s="23" t="s">
        <v>70</v>
      </c>
      <c r="L38" s="29" t="str">
        <f>IFERROR(__xludf.DUMMYFUNCTION("REGEXEXTRACT(E38,""[A-Za-z]+"")"),"m")</f>
        <v>m</v>
      </c>
      <c r="M38" s="28" t="s">
        <v>10</v>
      </c>
      <c r="N38" s="23" t="s">
        <v>29</v>
      </c>
      <c r="O38" s="23" t="s">
        <v>30</v>
      </c>
      <c r="P38" s="28" t="s">
        <v>29</v>
      </c>
      <c r="R38" s="29" t="str">
        <f>IFERROR(__xludf.DUMMYFUNCTION("""COMPUTED_VALUE"""),"mehanik")</f>
        <v>mehanik</v>
      </c>
      <c r="V38" s="29" t="str">
        <f>IFERROR(__xludf.DUMMYFUNCTION("""COMPUTED_VALUE"""),"mehanik")</f>
        <v>mehanik</v>
      </c>
    </row>
    <row r="39">
      <c r="A39" s="23" t="s">
        <v>166</v>
      </c>
      <c r="B39" s="23" t="s">
        <v>94</v>
      </c>
      <c r="C39" s="23" t="s">
        <v>163</v>
      </c>
      <c r="D39" s="24" t="s">
        <v>22</v>
      </c>
      <c r="E39" s="23" t="s">
        <v>23</v>
      </c>
      <c r="F39" s="23" t="s">
        <v>10</v>
      </c>
      <c r="G39" s="28" t="s">
        <v>496</v>
      </c>
      <c r="H39" s="23" t="s">
        <v>473</v>
      </c>
      <c r="I39" s="23" t="s">
        <v>23</v>
      </c>
      <c r="J39" s="23" t="s">
        <v>168</v>
      </c>
      <c r="K39" s="23" t="s">
        <v>28</v>
      </c>
      <c r="L39" s="29" t="str">
        <f>IFERROR(__xludf.DUMMYFUNCTION("REGEXEXTRACT(E39,""[A-Za-z]+"")"),"f")</f>
        <v>f</v>
      </c>
      <c r="M39" s="28" t="s">
        <v>10</v>
      </c>
      <c r="N39" s="23" t="s">
        <v>30</v>
      </c>
      <c r="O39" s="23" t="s">
        <v>30</v>
      </c>
      <c r="P39" s="28" t="s">
        <v>30</v>
      </c>
      <c r="R39" s="29" t="str">
        <f>IFERROR(__xludf.DUMMYFUNCTION("""COMPUTED_VALUE"""),"upravnik")</f>
        <v>upravnik</v>
      </c>
      <c r="V39" s="29" t="str">
        <f>IFERROR(__xludf.DUMMYFUNCTION("""COMPUTED_VALUE"""),"upravnik")</f>
        <v>upravnik</v>
      </c>
    </row>
    <row r="40">
      <c r="A40" s="23" t="s">
        <v>169</v>
      </c>
      <c r="B40" s="23" t="s">
        <v>170</v>
      </c>
      <c r="C40" s="23" t="s">
        <v>171</v>
      </c>
      <c r="D40" s="24" t="s">
        <v>32</v>
      </c>
      <c r="E40" s="23" t="s">
        <v>26</v>
      </c>
      <c r="F40" s="23" t="s">
        <v>10</v>
      </c>
      <c r="G40" s="28" t="s">
        <v>172</v>
      </c>
      <c r="H40" s="23" t="s">
        <v>173</v>
      </c>
      <c r="I40" s="23" t="s">
        <v>26</v>
      </c>
      <c r="J40" s="23" t="s">
        <v>174</v>
      </c>
      <c r="K40" s="23" t="s">
        <v>34</v>
      </c>
      <c r="L40" s="29" t="str">
        <f>IFERROR(__xludf.DUMMYFUNCTION("REGEXEXTRACT(E40,""[A-Za-z]+"")"),"m")</f>
        <v>m</v>
      </c>
      <c r="M40" s="28" t="s">
        <v>10</v>
      </c>
      <c r="N40" s="23" t="s">
        <v>30</v>
      </c>
      <c r="O40" s="23" t="s">
        <v>30</v>
      </c>
      <c r="P40" s="28" t="s">
        <v>30</v>
      </c>
      <c r="R40" s="29" t="str">
        <f>IFERROR(__xludf.DUMMYFUNCTION("""COMPUTED_VALUE"""),"zdravnik")</f>
        <v>zdravnik</v>
      </c>
      <c r="V40" s="29" t="str">
        <f>IFERROR(__xludf.DUMMYFUNCTION("""COMPUTED_VALUE"""),"zdravnik")</f>
        <v>zdravnik</v>
      </c>
    </row>
    <row r="41">
      <c r="A41" s="23" t="s">
        <v>175</v>
      </c>
      <c r="B41" s="23" t="s">
        <v>171</v>
      </c>
      <c r="C41" s="23" t="s">
        <v>170</v>
      </c>
      <c r="D41" s="24" t="s">
        <v>22</v>
      </c>
      <c r="E41" s="23" t="s">
        <v>23</v>
      </c>
      <c r="F41" s="23" t="s">
        <v>10</v>
      </c>
      <c r="G41" s="28" t="s">
        <v>497</v>
      </c>
      <c r="H41" s="23" t="s">
        <v>174</v>
      </c>
      <c r="I41" s="23" t="s">
        <v>26</v>
      </c>
      <c r="J41" s="23" t="s">
        <v>498</v>
      </c>
      <c r="K41" s="23" t="s">
        <v>28</v>
      </c>
      <c r="L41" s="29" t="str">
        <f>IFERROR(__xludf.DUMMYFUNCTION("REGEXEXTRACT(E41,""[A-Za-z]+"")"),"f")</f>
        <v>f</v>
      </c>
      <c r="M41" s="28" t="s">
        <v>10</v>
      </c>
      <c r="N41" s="23" t="s">
        <v>30</v>
      </c>
      <c r="O41" s="23" t="s">
        <v>30</v>
      </c>
      <c r="P41" s="28" t="s">
        <v>30</v>
      </c>
      <c r="R41" s="29" t="str">
        <f>IFERROR(__xludf.DUMMYFUNCTION("""COMPUTED_VALUE"""),"delavec")</f>
        <v>delavec</v>
      </c>
      <c r="V41" s="29" t="str">
        <f>IFERROR(__xludf.DUMMYFUNCTION("""COMPUTED_VALUE"""),"delavec")</f>
        <v>delavec</v>
      </c>
    </row>
    <row r="42">
      <c r="A42" s="23" t="s">
        <v>179</v>
      </c>
      <c r="B42" s="23" t="s">
        <v>155</v>
      </c>
      <c r="C42" s="23" t="s">
        <v>180</v>
      </c>
      <c r="D42" s="24" t="s">
        <v>32</v>
      </c>
      <c r="E42" s="23" t="s">
        <v>26</v>
      </c>
      <c r="F42" s="23" t="s">
        <v>10</v>
      </c>
      <c r="G42" s="28" t="s">
        <v>499</v>
      </c>
      <c r="H42" s="23" t="s">
        <v>150</v>
      </c>
      <c r="I42" s="23" t="s">
        <v>26</v>
      </c>
      <c r="J42" s="23" t="s">
        <v>182</v>
      </c>
      <c r="K42" s="23" t="s">
        <v>34</v>
      </c>
      <c r="L42" s="29" t="str">
        <f>IFERROR(__xludf.DUMMYFUNCTION("REGEXEXTRACT(E42,""[A-Za-z]+"")"),"m")</f>
        <v>m</v>
      </c>
      <c r="M42" s="28" t="s">
        <v>10</v>
      </c>
      <c r="N42" s="23" t="s">
        <v>30</v>
      </c>
      <c r="O42" s="23" t="s">
        <v>30</v>
      </c>
      <c r="P42" s="28" t="s">
        <v>30</v>
      </c>
      <c r="R42" s="29" t="str">
        <f>IFERROR(__xludf.DUMMYFUNCTION("""COMPUTED_VALUE"""),"zdravnik")</f>
        <v>zdravnik</v>
      </c>
      <c r="V42" s="29" t="str">
        <f>IFERROR(__xludf.DUMMYFUNCTION("""COMPUTED_VALUE"""),"zdravnik")</f>
        <v>zdravnik</v>
      </c>
    </row>
    <row r="43">
      <c r="A43" s="23" t="s">
        <v>183</v>
      </c>
      <c r="B43" s="23" t="s">
        <v>180</v>
      </c>
      <c r="C43" s="23" t="s">
        <v>155</v>
      </c>
      <c r="D43" s="24" t="s">
        <v>22</v>
      </c>
      <c r="E43" s="23" t="s">
        <v>23</v>
      </c>
      <c r="F43" s="23" t="s">
        <v>10</v>
      </c>
      <c r="G43" s="28" t="s">
        <v>500</v>
      </c>
      <c r="H43" s="23" t="s">
        <v>501</v>
      </c>
      <c r="I43" s="23" t="s">
        <v>23</v>
      </c>
      <c r="J43" s="23" t="s">
        <v>40</v>
      </c>
      <c r="K43" s="23" t="s">
        <v>28</v>
      </c>
      <c r="L43" s="29" t="str">
        <f>IFERROR(__xludf.DUMMYFUNCTION("REGEXEXTRACT(E43,""[A-Za-z]+"")"),"f")</f>
        <v>f</v>
      </c>
      <c r="M43" s="28" t="s">
        <v>10</v>
      </c>
      <c r="N43" s="23" t="s">
        <v>30</v>
      </c>
      <c r="O43" s="23" t="s">
        <v>30</v>
      </c>
      <c r="P43" s="28" t="s">
        <v>30</v>
      </c>
      <c r="R43" s="29" t="str">
        <f>IFERROR(__xludf.DUMMYFUNCTION("""COMPUTED_VALUE"""),"frizerka")</f>
        <v>frizerka</v>
      </c>
      <c r="V43" s="29" t="str">
        <f>IFERROR(__xludf.DUMMYFUNCTION("""COMPUTED_VALUE"""),"frizerka")</f>
        <v>frizerka</v>
      </c>
    </row>
    <row r="44">
      <c r="A44" s="23" t="s">
        <v>186</v>
      </c>
      <c r="B44" s="23" t="s">
        <v>187</v>
      </c>
      <c r="C44" s="23" t="s">
        <v>170</v>
      </c>
      <c r="D44" s="24" t="s">
        <v>22</v>
      </c>
      <c r="E44" s="23" t="s">
        <v>23</v>
      </c>
      <c r="F44" s="23" t="s">
        <v>10</v>
      </c>
      <c r="G44" s="28" t="s">
        <v>502</v>
      </c>
      <c r="H44" s="23" t="s">
        <v>192</v>
      </c>
      <c r="I44" s="23" t="s">
        <v>26</v>
      </c>
      <c r="J44" s="23" t="s">
        <v>503</v>
      </c>
      <c r="K44" s="23" t="s">
        <v>504</v>
      </c>
      <c r="L44" s="29" t="str">
        <f>IFERROR(__xludf.DUMMYFUNCTION("REGEXEXTRACT(E44,""[A-Za-z]+"")"),"f")</f>
        <v>f</v>
      </c>
      <c r="M44" s="28" t="s">
        <v>10</v>
      </c>
      <c r="N44" s="23" t="s">
        <v>29</v>
      </c>
      <c r="O44" s="23" t="s">
        <v>30</v>
      </c>
      <c r="P44" s="28" t="s">
        <v>29</v>
      </c>
      <c r="R44" s="29" t="str">
        <f>IFERROR(__xludf.DUMMYFUNCTION("""COMPUTED_VALUE"""),"razvijalec")</f>
        <v>razvijalec</v>
      </c>
      <c r="V44" s="29" t="str">
        <f>IFERROR(__xludf.DUMMYFUNCTION("""COMPUTED_VALUE"""),"razvijalec")</f>
        <v>razvijalec</v>
      </c>
    </row>
    <row r="45">
      <c r="A45" s="23" t="s">
        <v>190</v>
      </c>
      <c r="B45" s="23" t="s">
        <v>170</v>
      </c>
      <c r="C45" s="23" t="s">
        <v>187</v>
      </c>
      <c r="D45" s="24" t="s">
        <v>32</v>
      </c>
      <c r="E45" s="23" t="s">
        <v>26</v>
      </c>
      <c r="F45" s="23" t="s">
        <v>10</v>
      </c>
      <c r="G45" s="28" t="s">
        <v>505</v>
      </c>
      <c r="H45" s="23" t="s">
        <v>503</v>
      </c>
      <c r="I45" s="23" t="s">
        <v>26</v>
      </c>
      <c r="J45" s="23" t="s">
        <v>192</v>
      </c>
      <c r="K45" s="23" t="s">
        <v>506</v>
      </c>
      <c r="L45" s="29" t="str">
        <f>IFERROR(__xludf.DUMMYFUNCTION("REGEXEXTRACT(E45,""[A-Za-z]+"")"),"m")</f>
        <v>m</v>
      </c>
      <c r="M45" s="28" t="s">
        <v>10</v>
      </c>
      <c r="N45" s="23" t="s">
        <v>30</v>
      </c>
      <c r="O45" s="23" t="s">
        <v>30</v>
      </c>
      <c r="P45" s="28" t="s">
        <v>30</v>
      </c>
      <c r="R45" s="29" t="str">
        <f>IFERROR(__xludf.DUMMYFUNCTION("""COMPUTED_VALUE"""),"kemt")</f>
        <v>kemt</v>
      </c>
      <c r="V45" s="29" t="str">
        <f>IFERROR(__xludf.DUMMYFUNCTION("""COMPUTED_VALUE"""),"kemt")</f>
        <v>kemt</v>
      </c>
    </row>
    <row r="46">
      <c r="A46" s="23" t="s">
        <v>126</v>
      </c>
      <c r="B46" s="23" t="s">
        <v>127</v>
      </c>
      <c r="C46" s="23" t="s">
        <v>46</v>
      </c>
      <c r="D46" s="24" t="s">
        <v>22</v>
      </c>
      <c r="E46" s="23" t="s">
        <v>23</v>
      </c>
      <c r="F46" s="23" t="s">
        <v>10</v>
      </c>
      <c r="G46" s="28" t="s">
        <v>481</v>
      </c>
      <c r="H46" s="23" t="s">
        <v>293</v>
      </c>
      <c r="I46" s="23" t="s">
        <v>23</v>
      </c>
      <c r="J46" s="23" t="s">
        <v>482</v>
      </c>
      <c r="K46" s="23" t="s">
        <v>28</v>
      </c>
      <c r="L46" s="29" t="str">
        <f>IFERROR(__xludf.DUMMYFUNCTION("REGEXEXTRACT(E46,""[A-Za-z]+"")"),"f")</f>
        <v>f</v>
      </c>
      <c r="M46" s="28" t="s">
        <v>10</v>
      </c>
      <c r="N46" s="23" t="s">
        <v>29</v>
      </c>
      <c r="O46" s="23" t="s">
        <v>30</v>
      </c>
      <c r="P46" s="28" t="s">
        <v>29</v>
      </c>
      <c r="R46" s="29" t="str">
        <f>IFERROR(__xludf.DUMMYFUNCTION("""COMPUTED_VALUE"""),"mehanik")</f>
        <v>mehanik</v>
      </c>
      <c r="V46" s="29" t="str">
        <f>IFERROR(__xludf.DUMMYFUNCTION("""COMPUTED_VALUE"""),"mehanik")</f>
        <v>mehanik</v>
      </c>
    </row>
    <row r="47">
      <c r="A47" s="23" t="s">
        <v>131</v>
      </c>
      <c r="B47" s="23" t="s">
        <v>46</v>
      </c>
      <c r="C47" s="23" t="s">
        <v>127</v>
      </c>
      <c r="D47" s="24" t="s">
        <v>32</v>
      </c>
      <c r="E47" s="23" t="s">
        <v>26</v>
      </c>
      <c r="F47" s="23" t="s">
        <v>10</v>
      </c>
      <c r="G47" s="28" t="s">
        <v>483</v>
      </c>
      <c r="H47" s="23" t="s">
        <v>49</v>
      </c>
      <c r="I47" s="23" t="s">
        <v>26</v>
      </c>
      <c r="J47" s="23" t="s">
        <v>293</v>
      </c>
      <c r="K47" s="23" t="s">
        <v>34</v>
      </c>
      <c r="L47" s="29" t="str">
        <f>IFERROR(__xludf.DUMMYFUNCTION("REGEXEXTRACT(E47,""[A-Za-z]+"")"),"m")</f>
        <v>m</v>
      </c>
      <c r="M47" s="28" t="s">
        <v>10</v>
      </c>
      <c r="N47" s="23" t="s">
        <v>29</v>
      </c>
      <c r="O47" s="23" t="s">
        <v>30</v>
      </c>
      <c r="P47" s="28" t="s">
        <v>29</v>
      </c>
      <c r="R47" s="29" t="str">
        <f>IFERROR(__xludf.DUMMYFUNCTION("""COMPUTED_VALUE"""),"odvetnik")</f>
        <v>odvetnik</v>
      </c>
      <c r="T47" s="23" t="s">
        <v>507</v>
      </c>
      <c r="V47" s="29" t="str">
        <f>IFERROR(__xludf.DUMMYFUNCTION("""COMPUTED_VALUE"""),"odvetnik")</f>
        <v>odvetnik</v>
      </c>
    </row>
    <row r="48">
      <c r="A48" s="23" t="s">
        <v>194</v>
      </c>
      <c r="B48" s="23" t="s">
        <v>155</v>
      </c>
      <c r="C48" s="23" t="s">
        <v>195</v>
      </c>
      <c r="D48" s="24" t="s">
        <v>32</v>
      </c>
      <c r="E48" s="23" t="s">
        <v>26</v>
      </c>
      <c r="F48" s="23" t="s">
        <v>10</v>
      </c>
      <c r="G48" s="28" t="s">
        <v>508</v>
      </c>
      <c r="H48" s="23" t="s">
        <v>150</v>
      </c>
      <c r="I48" s="23" t="s">
        <v>26</v>
      </c>
      <c r="J48" s="23" t="s">
        <v>197</v>
      </c>
      <c r="K48" s="23" t="s">
        <v>34</v>
      </c>
      <c r="L48" s="29" t="str">
        <f>IFERROR(__xludf.DUMMYFUNCTION("REGEXEXTRACT(E48,""[A-Za-z]+"")"),"m")</f>
        <v>m</v>
      </c>
      <c r="M48" s="28" t="s">
        <v>10</v>
      </c>
      <c r="N48" s="23" t="s">
        <v>30</v>
      </c>
      <c r="O48" s="23" t="s">
        <v>30</v>
      </c>
      <c r="P48" s="28" t="s">
        <v>30</v>
      </c>
      <c r="R48" s="29" t="str">
        <f>IFERROR(__xludf.DUMMYFUNCTION("""COMPUTED_VALUE"""),"odvetnik")</f>
        <v>odvetnik</v>
      </c>
      <c r="V48" s="29" t="str">
        <f>IFERROR(__xludf.DUMMYFUNCTION("""COMPUTED_VALUE"""),"odvetnik")</f>
        <v>odvetnik</v>
      </c>
    </row>
    <row r="49">
      <c r="A49" s="23" t="s">
        <v>198</v>
      </c>
      <c r="B49" s="23" t="s">
        <v>195</v>
      </c>
      <c r="C49" s="23" t="s">
        <v>155</v>
      </c>
      <c r="D49" s="24" t="s">
        <v>22</v>
      </c>
      <c r="E49" s="23" t="s">
        <v>23</v>
      </c>
      <c r="F49" s="23" t="s">
        <v>10</v>
      </c>
      <c r="G49" s="28" t="s">
        <v>509</v>
      </c>
      <c r="H49" s="23" t="s">
        <v>197</v>
      </c>
      <c r="I49" s="23" t="s">
        <v>26</v>
      </c>
      <c r="J49" s="23" t="s">
        <v>40</v>
      </c>
      <c r="K49" s="23" t="s">
        <v>28</v>
      </c>
      <c r="L49" s="29" t="str">
        <f>IFERROR(__xludf.DUMMYFUNCTION("REGEXEXTRACT(E49,""[A-Za-z]+"")"),"f")</f>
        <v>f</v>
      </c>
      <c r="M49" s="28" t="s">
        <v>10</v>
      </c>
      <c r="N49" s="23" t="s">
        <v>30</v>
      </c>
      <c r="O49" s="23" t="s">
        <v>30</v>
      </c>
      <c r="P49" s="28" t="s">
        <v>30</v>
      </c>
      <c r="R49" s="29" t="str">
        <f>IFERROR(__xludf.DUMMYFUNCTION("""COMPUTED_VALUE"""),"direktor")</f>
        <v>direktor</v>
      </c>
      <c r="V49" s="29" t="str">
        <f>IFERROR(__xludf.DUMMYFUNCTION("""COMPUTED_VALUE"""),"direktor")</f>
        <v>direktor</v>
      </c>
    </row>
    <row r="50">
      <c r="A50" s="23" t="s">
        <v>113</v>
      </c>
      <c r="B50" s="23" t="s">
        <v>114</v>
      </c>
      <c r="C50" s="23" t="s">
        <v>20</v>
      </c>
      <c r="D50" s="24" t="s">
        <v>32</v>
      </c>
      <c r="E50" s="23" t="s">
        <v>26</v>
      </c>
      <c r="F50" s="23" t="s">
        <v>10</v>
      </c>
      <c r="G50" s="28" t="s">
        <v>115</v>
      </c>
      <c r="H50" s="23" t="s">
        <v>116</v>
      </c>
      <c r="I50" s="23" t="s">
        <v>26</v>
      </c>
      <c r="J50" s="23" t="s">
        <v>25</v>
      </c>
      <c r="K50" s="23" t="s">
        <v>34</v>
      </c>
      <c r="L50" s="29" t="str">
        <f>IFERROR(__xludf.DUMMYFUNCTION("REGEXEXTRACT(E50,""[A-Za-z]+"")"),"m")</f>
        <v>m</v>
      </c>
      <c r="M50" s="28" t="s">
        <v>10</v>
      </c>
      <c r="N50" s="23" t="s">
        <v>30</v>
      </c>
      <c r="O50" s="23" t="s">
        <v>30</v>
      </c>
      <c r="P50" s="28" t="s">
        <v>30</v>
      </c>
      <c r="R50" s="29" t="str">
        <f>IFERROR(__xludf.DUMMYFUNCTION("""COMPUTED_VALUE"""),"mehanik")</f>
        <v>mehanik</v>
      </c>
      <c r="V50" s="29" t="str">
        <f>IFERROR(__xludf.DUMMYFUNCTION("""COMPUTED_VALUE"""),"mehanik")</f>
        <v>mehanik</v>
      </c>
    </row>
    <row r="51">
      <c r="A51" s="23" t="s">
        <v>117</v>
      </c>
      <c r="B51" s="23" t="s">
        <v>20</v>
      </c>
      <c r="C51" s="23" t="s">
        <v>114</v>
      </c>
      <c r="D51" s="24" t="s">
        <v>22</v>
      </c>
      <c r="E51" s="23" t="s">
        <v>23</v>
      </c>
      <c r="F51" s="23" t="s">
        <v>10</v>
      </c>
      <c r="G51" s="28" t="s">
        <v>510</v>
      </c>
      <c r="H51" s="23" t="s">
        <v>347</v>
      </c>
      <c r="I51" s="23" t="s">
        <v>23</v>
      </c>
      <c r="J51" s="23" t="s">
        <v>452</v>
      </c>
      <c r="K51" s="23" t="s">
        <v>41</v>
      </c>
      <c r="L51" s="29" t="str">
        <f>IFERROR(__xludf.DUMMYFUNCTION("REGEXEXTRACT(E51,""[A-Za-z]+"")"),"f")</f>
        <v>f</v>
      </c>
      <c r="M51" s="28" t="s">
        <v>10</v>
      </c>
      <c r="N51" s="23" t="s">
        <v>29</v>
      </c>
      <c r="O51" s="23" t="s">
        <v>30</v>
      </c>
      <c r="P51" s="28" t="s">
        <v>29</v>
      </c>
      <c r="R51" s="29" t="str">
        <f>IFERROR(__xludf.DUMMYFUNCTION("""COMPUTED_VALUE"""),"menedžer")</f>
        <v>menedžer</v>
      </c>
      <c r="V51" s="29" t="str">
        <f>IFERROR(__xludf.DUMMYFUNCTION("""COMPUTED_VALUE"""),"menedžer")</f>
        <v>menedžer</v>
      </c>
    </row>
    <row r="52">
      <c r="A52" s="23" t="s">
        <v>201</v>
      </c>
      <c r="B52" s="23" t="s">
        <v>36</v>
      </c>
      <c r="C52" s="23" t="s">
        <v>187</v>
      </c>
      <c r="D52" s="24" t="s">
        <v>32</v>
      </c>
      <c r="E52" s="23" t="s">
        <v>26</v>
      </c>
      <c r="F52" s="23" t="s">
        <v>10</v>
      </c>
      <c r="G52" s="28" t="s">
        <v>202</v>
      </c>
      <c r="H52" s="23" t="s">
        <v>39</v>
      </c>
      <c r="I52" s="23" t="s">
        <v>26</v>
      </c>
      <c r="J52" s="23" t="s">
        <v>192</v>
      </c>
      <c r="K52" s="23" t="s">
        <v>70</v>
      </c>
      <c r="L52" s="29" t="str">
        <f>IFERROR(__xludf.DUMMYFUNCTION("REGEXEXTRACT(E52,""[A-Za-z]+"")"),"m")</f>
        <v>m</v>
      </c>
      <c r="M52" s="28" t="s">
        <v>10</v>
      </c>
      <c r="N52" s="23" t="s">
        <v>30</v>
      </c>
      <c r="O52" s="23" t="s">
        <v>30</v>
      </c>
      <c r="P52" s="28" t="s">
        <v>30</v>
      </c>
      <c r="R52" s="29" t="str">
        <f>IFERROR(__xludf.DUMMYFUNCTION("""COMPUTED_VALUE"""),"medicinska sestra")</f>
        <v>medicinska sestra</v>
      </c>
      <c r="V52" s="29" t="str">
        <f>IFERROR(__xludf.DUMMYFUNCTION("""COMPUTED_VALUE"""),"medicinska sestra")</f>
        <v>medicinska sestra</v>
      </c>
    </row>
    <row r="53">
      <c r="A53" s="23" t="s">
        <v>203</v>
      </c>
      <c r="B53" s="23" t="s">
        <v>187</v>
      </c>
      <c r="C53" s="23" t="s">
        <v>36</v>
      </c>
      <c r="D53" s="24" t="s">
        <v>22</v>
      </c>
      <c r="E53" s="23" t="s">
        <v>23</v>
      </c>
      <c r="F53" s="23" t="s">
        <v>10</v>
      </c>
      <c r="G53" s="28" t="s">
        <v>511</v>
      </c>
      <c r="H53" s="23" t="s">
        <v>192</v>
      </c>
      <c r="I53" s="23" t="s">
        <v>26</v>
      </c>
      <c r="J53" s="23" t="s">
        <v>39</v>
      </c>
      <c r="K53" s="23" t="s">
        <v>41</v>
      </c>
      <c r="L53" s="29" t="str">
        <f>IFERROR(__xludf.DUMMYFUNCTION("REGEXEXTRACT(E53,""[A-Za-z]+"")"),"f")</f>
        <v>f</v>
      </c>
      <c r="M53" s="28" t="s">
        <v>10</v>
      </c>
      <c r="N53" s="23" t="s">
        <v>29</v>
      </c>
      <c r="O53" s="23" t="s">
        <v>30</v>
      </c>
      <c r="P53" s="28" t="s">
        <v>29</v>
      </c>
      <c r="R53" s="29" t="str">
        <f>IFERROR(__xludf.DUMMYFUNCTION("""COMPUTED_VALUE"""),"zdravnik")</f>
        <v>zdravnik</v>
      </c>
      <c r="V53" s="29" t="str">
        <f>IFERROR(__xludf.DUMMYFUNCTION("""COMPUTED_VALUE"""),"zdravnik")</f>
        <v>zdravnik</v>
      </c>
    </row>
    <row r="54">
      <c r="A54" s="23" t="s">
        <v>206</v>
      </c>
      <c r="B54" s="23" t="s">
        <v>88</v>
      </c>
      <c r="C54" s="23" t="s">
        <v>207</v>
      </c>
      <c r="D54" s="24" t="s">
        <v>32</v>
      </c>
      <c r="E54" s="23" t="s">
        <v>26</v>
      </c>
      <c r="F54" s="23" t="s">
        <v>10</v>
      </c>
      <c r="G54" s="28" t="s">
        <v>512</v>
      </c>
      <c r="H54" s="23" t="s">
        <v>513</v>
      </c>
      <c r="I54" s="23" t="s">
        <v>26</v>
      </c>
      <c r="J54" s="23" t="s">
        <v>514</v>
      </c>
      <c r="K54" s="23" t="s">
        <v>34</v>
      </c>
      <c r="L54" s="29" t="str">
        <f>IFERROR(__xludf.DUMMYFUNCTION("REGEXEXTRACT(E54,""[A-Za-z]+"")"),"m")</f>
        <v>m</v>
      </c>
      <c r="M54" s="28" t="s">
        <v>10</v>
      </c>
      <c r="N54" s="23" t="s">
        <v>30</v>
      </c>
      <c r="O54" s="23" t="s">
        <v>30</v>
      </c>
      <c r="P54" s="28" t="s">
        <v>30</v>
      </c>
      <c r="R54" s="29" t="str">
        <f>IFERROR(__xludf.DUMMYFUNCTION("""COMPUTED_VALUE"""),"gradbeni delavec")</f>
        <v>gradbeni delavec</v>
      </c>
      <c r="V54" s="29" t="str">
        <f>IFERROR(__xludf.DUMMYFUNCTION("""COMPUTED_VALUE"""),"gradbeni delavec")</f>
        <v>gradbeni delavec</v>
      </c>
    </row>
    <row r="55">
      <c r="A55" s="23" t="s">
        <v>210</v>
      </c>
      <c r="B55" s="23" t="s">
        <v>207</v>
      </c>
      <c r="C55" s="23" t="s">
        <v>88</v>
      </c>
      <c r="D55" s="24" t="s">
        <v>22</v>
      </c>
      <c r="E55" s="23" t="s">
        <v>23</v>
      </c>
      <c r="F55" s="23" t="s">
        <v>10</v>
      </c>
      <c r="G55" s="28" t="s">
        <v>515</v>
      </c>
      <c r="H55" s="23" t="s">
        <v>514</v>
      </c>
      <c r="I55" s="23" t="s">
        <v>26</v>
      </c>
      <c r="J55" s="23" t="s">
        <v>516</v>
      </c>
      <c r="K55" s="23" t="s">
        <v>41</v>
      </c>
      <c r="L55" s="29" t="str">
        <f>IFERROR(__xludf.DUMMYFUNCTION("REGEXEXTRACT(E55,""[A-Za-z]+"")"),"f")</f>
        <v>f</v>
      </c>
      <c r="M55" s="28" t="s">
        <v>10</v>
      </c>
      <c r="N55" s="23" t="s">
        <v>29</v>
      </c>
      <c r="O55" s="23" t="s">
        <v>30</v>
      </c>
      <c r="P55" s="28" t="s">
        <v>29</v>
      </c>
      <c r="R55" s="29" t="str">
        <f>IFERROR(__xludf.DUMMYFUNCTION("""COMPUTED_VALUE"""),"gradbeni delavec")</f>
        <v>gradbeni delavec</v>
      </c>
      <c r="V55" s="29" t="str">
        <f>IFERROR(__xludf.DUMMYFUNCTION("""COMPUTED_VALUE"""),"gradbeni delavec")</f>
        <v>gradbeni delavec</v>
      </c>
    </row>
    <row r="56">
      <c r="A56" s="23" t="s">
        <v>212</v>
      </c>
      <c r="B56" s="23" t="s">
        <v>213</v>
      </c>
      <c r="C56" s="23" t="s">
        <v>20</v>
      </c>
      <c r="D56" s="24" t="s">
        <v>32</v>
      </c>
      <c r="E56" s="23" t="s">
        <v>26</v>
      </c>
      <c r="F56" s="23" t="s">
        <v>10</v>
      </c>
      <c r="G56" s="28" t="s">
        <v>517</v>
      </c>
      <c r="H56" s="23" t="s">
        <v>215</v>
      </c>
      <c r="I56" s="23" t="s">
        <v>26</v>
      </c>
      <c r="J56" s="23" t="s">
        <v>25</v>
      </c>
      <c r="K56" s="23" t="s">
        <v>34</v>
      </c>
      <c r="L56" s="29" t="str">
        <f>IFERROR(__xludf.DUMMYFUNCTION("REGEXEXTRACT(E56,""[A-Za-z]+"")"),"m")</f>
        <v>m</v>
      </c>
      <c r="M56" s="28" t="s">
        <v>10</v>
      </c>
      <c r="N56" s="23" t="s">
        <v>30</v>
      </c>
      <c r="O56" s="23" t="s">
        <v>30</v>
      </c>
      <c r="P56" s="28" t="s">
        <v>30</v>
      </c>
      <c r="R56" s="29" t="str">
        <f>IFERROR(__xludf.DUMMYFUNCTION("""COMPUTED_VALUE"""),"tesar")</f>
        <v>tesar</v>
      </c>
      <c r="V56" s="29" t="str">
        <f>IFERROR(__xludf.DUMMYFUNCTION("""COMPUTED_VALUE"""),"tesar")</f>
        <v>tesar</v>
      </c>
    </row>
    <row r="57">
      <c r="A57" s="23" t="s">
        <v>216</v>
      </c>
      <c r="B57" s="23" t="s">
        <v>20</v>
      </c>
      <c r="C57" s="23" t="s">
        <v>213</v>
      </c>
      <c r="D57" s="24" t="s">
        <v>22</v>
      </c>
      <c r="E57" s="23" t="s">
        <v>23</v>
      </c>
      <c r="F57" s="23" t="s">
        <v>10</v>
      </c>
      <c r="G57" s="28" t="s">
        <v>518</v>
      </c>
      <c r="H57" s="23" t="s">
        <v>347</v>
      </c>
      <c r="I57" s="23" t="s">
        <v>23</v>
      </c>
      <c r="J57" s="23" t="s">
        <v>215</v>
      </c>
      <c r="K57" s="23" t="s">
        <v>28</v>
      </c>
      <c r="L57" s="29" t="str">
        <f>IFERROR(__xludf.DUMMYFUNCTION("REGEXEXTRACT(E57,""[A-Za-z]+"")"),"f")</f>
        <v>f</v>
      </c>
      <c r="M57" s="28" t="s">
        <v>10</v>
      </c>
      <c r="N57" s="23" t="s">
        <v>29</v>
      </c>
      <c r="O57" s="23" t="s">
        <v>30</v>
      </c>
      <c r="P57" s="28" t="s">
        <v>29</v>
      </c>
      <c r="R57" s="29" t="str">
        <f>IFERROR(__xludf.DUMMYFUNCTION("""COMPUTED_VALUE"""),"prodajalec")</f>
        <v>prodajalec</v>
      </c>
      <c r="V57" s="29" t="str">
        <f>IFERROR(__xludf.DUMMYFUNCTION("""COMPUTED_VALUE"""),"prodajalec")</f>
        <v>prodajalec</v>
      </c>
    </row>
    <row r="58">
      <c r="A58" s="23" t="s">
        <v>219</v>
      </c>
      <c r="B58" s="23" t="s">
        <v>220</v>
      </c>
      <c r="C58" s="23" t="s">
        <v>66</v>
      </c>
      <c r="D58" s="24" t="s">
        <v>32</v>
      </c>
      <c r="E58" s="23" t="s">
        <v>26</v>
      </c>
      <c r="F58" s="23" t="s">
        <v>10</v>
      </c>
      <c r="G58" s="28" t="s">
        <v>519</v>
      </c>
      <c r="H58" s="23" t="s">
        <v>400</v>
      </c>
      <c r="I58" s="23" t="s">
        <v>26</v>
      </c>
      <c r="J58" s="23" t="s">
        <v>69</v>
      </c>
      <c r="K58" s="23" t="s">
        <v>34</v>
      </c>
      <c r="L58" s="29" t="str">
        <f>IFERROR(__xludf.DUMMYFUNCTION("REGEXEXTRACT(E58,""[A-Za-z]+"")"),"m")</f>
        <v>m</v>
      </c>
      <c r="M58" s="28" t="s">
        <v>10</v>
      </c>
      <c r="N58" s="23" t="s">
        <v>30</v>
      </c>
      <c r="O58" s="23" t="s">
        <v>30</v>
      </c>
      <c r="P58" s="28" t="s">
        <v>30</v>
      </c>
      <c r="R58" s="29" t="str">
        <f>IFERROR(__xludf.DUMMYFUNCTION("""COMPUTED_VALUE"""),"kuhar")</f>
        <v>kuhar</v>
      </c>
      <c r="V58" s="29" t="str">
        <f>IFERROR(__xludf.DUMMYFUNCTION("""COMPUTED_VALUE"""),"kuhar")</f>
        <v>kuhar</v>
      </c>
    </row>
    <row r="59">
      <c r="A59" s="23" t="s">
        <v>223</v>
      </c>
      <c r="B59" s="23" t="s">
        <v>66</v>
      </c>
      <c r="C59" s="23" t="s">
        <v>220</v>
      </c>
      <c r="D59" s="24" t="s">
        <v>22</v>
      </c>
      <c r="E59" s="23" t="s">
        <v>23</v>
      </c>
      <c r="F59" s="23" t="s">
        <v>10</v>
      </c>
      <c r="G59" s="28" t="s">
        <v>520</v>
      </c>
      <c r="H59" s="23" t="s">
        <v>69</v>
      </c>
      <c r="I59" s="23" t="s">
        <v>26</v>
      </c>
      <c r="J59" s="23" t="s">
        <v>400</v>
      </c>
      <c r="K59" s="23" t="s">
        <v>28</v>
      </c>
      <c r="L59" s="29" t="str">
        <f>IFERROR(__xludf.DUMMYFUNCTION("REGEXEXTRACT(E59,""[A-Za-z]+"")"),"f")</f>
        <v>f</v>
      </c>
      <c r="M59" s="28" t="s">
        <v>10</v>
      </c>
      <c r="N59" s="23" t="s">
        <v>29</v>
      </c>
      <c r="O59" s="23" t="s">
        <v>30</v>
      </c>
      <c r="P59" s="28" t="s">
        <v>29</v>
      </c>
      <c r="R59" s="29" t="str">
        <f>IFERROR(__xludf.DUMMYFUNCTION("""COMPUTED_VALUE"""),"pekar")</f>
        <v>pekar</v>
      </c>
      <c r="V59" s="29" t="str">
        <f>IFERROR(__xludf.DUMMYFUNCTION("""COMPUTED_VALUE"""),"pekar")</f>
        <v>pekar</v>
      </c>
    </row>
    <row r="60">
      <c r="A60" s="23" t="s">
        <v>226</v>
      </c>
      <c r="B60" s="23" t="s">
        <v>213</v>
      </c>
      <c r="C60" s="23" t="s">
        <v>141</v>
      </c>
      <c r="D60" s="24" t="s">
        <v>32</v>
      </c>
      <c r="E60" s="23" t="s">
        <v>26</v>
      </c>
      <c r="F60" s="23" t="s">
        <v>10</v>
      </c>
      <c r="G60" s="28" t="s">
        <v>521</v>
      </c>
      <c r="H60" s="23" t="s">
        <v>215</v>
      </c>
      <c r="I60" s="23" t="s">
        <v>26</v>
      </c>
      <c r="J60" s="27" t="s">
        <v>452</v>
      </c>
      <c r="K60" s="23" t="s">
        <v>70</v>
      </c>
      <c r="L60" s="29" t="str">
        <f>IFERROR(__xludf.DUMMYFUNCTION("REGEXEXTRACT(E60,""[A-Za-z]+"")"),"m")</f>
        <v>m</v>
      </c>
      <c r="M60" s="28" t="s">
        <v>474</v>
      </c>
      <c r="N60" s="23" t="s">
        <v>474</v>
      </c>
      <c r="O60" s="23" t="s">
        <v>30</v>
      </c>
      <c r="P60" s="28" t="s">
        <v>474</v>
      </c>
      <c r="R60" s="29" t="str">
        <f>IFERROR(__xludf.DUMMYFUNCTION("""COMPUTED_VALUE"""),"tesar")</f>
        <v>tesar</v>
      </c>
      <c r="V60" s="29" t="str">
        <f>IFERROR(__xludf.DUMMYFUNCTION("""COMPUTED_VALUE"""),"tesar")</f>
        <v>tesar</v>
      </c>
    </row>
    <row r="61">
      <c r="A61" s="23" t="s">
        <v>228</v>
      </c>
      <c r="B61" s="23" t="s">
        <v>141</v>
      </c>
      <c r="C61" s="23" t="s">
        <v>213</v>
      </c>
      <c r="D61" s="24" t="s">
        <v>22</v>
      </c>
      <c r="E61" s="23" t="s">
        <v>23</v>
      </c>
      <c r="F61" s="23" t="s">
        <v>10</v>
      </c>
      <c r="G61" s="28" t="s">
        <v>522</v>
      </c>
      <c r="H61" s="23" t="s">
        <v>523</v>
      </c>
      <c r="I61" s="23" t="s">
        <v>26</v>
      </c>
      <c r="J61" s="23" t="s">
        <v>215</v>
      </c>
      <c r="K61" s="23" t="s">
        <v>41</v>
      </c>
      <c r="L61" s="29" t="str">
        <f>IFERROR(__xludf.DUMMYFUNCTION("REGEXEXTRACT(E61,""[A-Za-z]+"")"),"f")</f>
        <v>f</v>
      </c>
      <c r="M61" s="28" t="s">
        <v>10</v>
      </c>
      <c r="N61" s="23" t="s">
        <v>29</v>
      </c>
      <c r="O61" s="23" t="s">
        <v>30</v>
      </c>
      <c r="P61" s="28" t="s">
        <v>29</v>
      </c>
      <c r="R61" s="29" t="str">
        <f>IFERROR(__xludf.DUMMYFUNCTION("""COMPUTED_VALUE"""),"kuhar")</f>
        <v>kuhar</v>
      </c>
      <c r="V61" s="29" t="str">
        <f>IFERROR(__xludf.DUMMYFUNCTION("""COMPUTED_VALUE"""),"kuhar")</f>
        <v>kuhar</v>
      </c>
    </row>
    <row r="62">
      <c r="A62" s="23" t="s">
        <v>231</v>
      </c>
      <c r="B62" s="23" t="s">
        <v>66</v>
      </c>
      <c r="C62" s="23" t="s">
        <v>147</v>
      </c>
      <c r="D62" s="24" t="s">
        <v>22</v>
      </c>
      <c r="E62" s="23" t="s">
        <v>23</v>
      </c>
      <c r="F62" s="23" t="s">
        <v>10</v>
      </c>
      <c r="G62" s="28" t="s">
        <v>524</v>
      </c>
      <c r="H62" s="23" t="s">
        <v>73</v>
      </c>
      <c r="I62" s="23" t="s">
        <v>23</v>
      </c>
      <c r="J62" s="23" t="s">
        <v>149</v>
      </c>
      <c r="K62" s="23" t="s">
        <v>474</v>
      </c>
      <c r="L62" s="23" t="s">
        <v>474</v>
      </c>
      <c r="M62" s="28" t="s">
        <v>474</v>
      </c>
      <c r="N62" s="23" t="s">
        <v>474</v>
      </c>
      <c r="O62" s="23" t="s">
        <v>474</v>
      </c>
      <c r="P62" s="28" t="s">
        <v>474</v>
      </c>
      <c r="R62" s="29" t="str">
        <f>IFERROR(__xludf.DUMMYFUNCTION("""COMPUTED_VALUE"""),"delavec")</f>
        <v>delavec</v>
      </c>
      <c r="V62" s="29" t="str">
        <f>IFERROR(__xludf.DUMMYFUNCTION("""COMPUTED_VALUE"""),"delavec")</f>
        <v>delavec</v>
      </c>
    </row>
    <row r="63">
      <c r="A63" s="23" t="s">
        <v>234</v>
      </c>
      <c r="B63" s="23" t="s">
        <v>147</v>
      </c>
      <c r="C63" s="23" t="s">
        <v>66</v>
      </c>
      <c r="D63" s="24" t="s">
        <v>32</v>
      </c>
      <c r="E63" s="23" t="s">
        <v>26</v>
      </c>
      <c r="F63" s="23" t="s">
        <v>10</v>
      </c>
      <c r="G63" s="28" t="s">
        <v>525</v>
      </c>
      <c r="H63" s="23" t="s">
        <v>149</v>
      </c>
      <c r="I63" s="23" t="s">
        <v>26</v>
      </c>
      <c r="J63" s="23" t="s">
        <v>73</v>
      </c>
      <c r="K63" s="23" t="s">
        <v>34</v>
      </c>
      <c r="L63" s="29" t="str">
        <f>IFERROR(__xludf.DUMMYFUNCTION("REGEXEXTRACT(E63,""[A-Za-z]+"")"),"m")</f>
        <v>m</v>
      </c>
      <c r="M63" s="28" t="s">
        <v>10</v>
      </c>
      <c r="N63" s="23" t="s">
        <v>29</v>
      </c>
      <c r="O63" s="23" t="s">
        <v>30</v>
      </c>
      <c r="P63" s="28" t="s">
        <v>29</v>
      </c>
      <c r="R63" s="29" t="str">
        <f>IFERROR(__xludf.DUMMYFUNCTION("""COMPUTED_VALUE"""),"hišnik")</f>
        <v>hišnik</v>
      </c>
      <c r="V63" s="29" t="str">
        <f>IFERROR(__xludf.DUMMYFUNCTION("""COMPUTED_VALUE"""),"hišnik")</f>
        <v>hišnik</v>
      </c>
    </row>
    <row r="64">
      <c r="A64" s="23" t="s">
        <v>120</v>
      </c>
      <c r="B64" s="23" t="s">
        <v>21</v>
      </c>
      <c r="C64" s="23" t="s">
        <v>121</v>
      </c>
      <c r="D64" s="24" t="s">
        <v>32</v>
      </c>
      <c r="E64" s="23" t="s">
        <v>26</v>
      </c>
      <c r="F64" s="23" t="s">
        <v>10</v>
      </c>
      <c r="G64" s="28" t="s">
        <v>479</v>
      </c>
      <c r="H64" s="23" t="s">
        <v>27</v>
      </c>
      <c r="I64" s="23" t="s">
        <v>26</v>
      </c>
      <c r="J64" s="23" t="s">
        <v>123</v>
      </c>
      <c r="K64" s="23" t="s">
        <v>70</v>
      </c>
      <c r="L64" s="29" t="str">
        <f>IFERROR(__xludf.DUMMYFUNCTION("REGEXEXTRACT(E64,""[A-Za-z]+"")"),"m")</f>
        <v>m</v>
      </c>
      <c r="M64" s="28" t="s">
        <v>10</v>
      </c>
      <c r="N64" s="23" t="s">
        <v>30</v>
      </c>
      <c r="O64" s="23" t="s">
        <v>30</v>
      </c>
      <c r="P64" s="28" t="s">
        <v>30</v>
      </c>
      <c r="R64" s="29" t="str">
        <f>IFERROR(__xludf.DUMMYFUNCTION("""COMPUTED_VALUE"""),"recepcionarka")</f>
        <v>recepcionarka</v>
      </c>
      <c r="V64" s="29" t="str">
        <f>IFERROR(__xludf.DUMMYFUNCTION("""COMPUTED_VALUE"""),"recepcionarka")</f>
        <v>recepcionarka</v>
      </c>
    </row>
    <row r="65">
      <c r="A65" s="23" t="s">
        <v>124</v>
      </c>
      <c r="B65" s="23" t="s">
        <v>121</v>
      </c>
      <c r="C65" s="23" t="s">
        <v>21</v>
      </c>
      <c r="D65" s="24" t="s">
        <v>22</v>
      </c>
      <c r="E65" s="23" t="s">
        <v>23</v>
      </c>
      <c r="F65" s="23" t="s">
        <v>10</v>
      </c>
      <c r="G65" s="28" t="s">
        <v>480</v>
      </c>
      <c r="H65" s="23" t="s">
        <v>123</v>
      </c>
      <c r="I65" s="23" t="s">
        <v>26</v>
      </c>
      <c r="J65" s="23" t="s">
        <v>27</v>
      </c>
      <c r="K65" s="23" t="s">
        <v>41</v>
      </c>
      <c r="L65" s="29" t="str">
        <f>IFERROR(__xludf.DUMMYFUNCTION("REGEXEXTRACT(E65,""[A-Za-z]+"")"),"f")</f>
        <v>f</v>
      </c>
      <c r="M65" s="28" t="s">
        <v>10</v>
      </c>
      <c r="N65" s="23" t="s">
        <v>29</v>
      </c>
      <c r="O65" s="23" t="s">
        <v>30</v>
      </c>
      <c r="P65" s="28" t="s">
        <v>29</v>
      </c>
      <c r="R65" s="29" t="str">
        <f>IFERROR(__xludf.DUMMYFUNCTION("""COMPUTED_VALUE"""),"mehanik")</f>
        <v>mehanik</v>
      </c>
      <c r="V65" s="29" t="str">
        <f>IFERROR(__xludf.DUMMYFUNCTION("""COMPUTED_VALUE"""),"mehanik")</f>
        <v>mehanik</v>
      </c>
    </row>
    <row r="66">
      <c r="A66" s="23" t="s">
        <v>236</v>
      </c>
      <c r="B66" s="23" t="s">
        <v>114</v>
      </c>
      <c r="C66" s="23" t="s">
        <v>121</v>
      </c>
      <c r="D66" s="24" t="s">
        <v>32</v>
      </c>
      <c r="E66" s="23" t="s">
        <v>26</v>
      </c>
      <c r="F66" s="23" t="s">
        <v>10</v>
      </c>
      <c r="G66" s="28" t="s">
        <v>526</v>
      </c>
      <c r="H66" s="23" t="s">
        <v>116</v>
      </c>
      <c r="I66" s="23" t="s">
        <v>26</v>
      </c>
      <c r="J66" s="23" t="s">
        <v>123</v>
      </c>
      <c r="K66" s="23" t="s">
        <v>34</v>
      </c>
      <c r="L66" s="29" t="str">
        <f>IFERROR(__xludf.DUMMYFUNCTION("REGEXEXTRACT(E66,""[A-Za-z]+"")"),"m")</f>
        <v>m</v>
      </c>
      <c r="M66" s="28" t="s">
        <v>10</v>
      </c>
      <c r="N66" s="23" t="s">
        <v>30</v>
      </c>
      <c r="O66" s="23" t="s">
        <v>30</v>
      </c>
      <c r="P66" s="28" t="s">
        <v>30</v>
      </c>
    </row>
    <row r="67">
      <c r="A67" s="23" t="s">
        <v>238</v>
      </c>
      <c r="B67" s="23" t="s">
        <v>121</v>
      </c>
      <c r="C67" s="23" t="s">
        <v>114</v>
      </c>
      <c r="D67" s="24" t="s">
        <v>22</v>
      </c>
      <c r="E67" s="23" t="s">
        <v>23</v>
      </c>
      <c r="F67" s="23" t="s">
        <v>10</v>
      </c>
      <c r="G67" s="28" t="s">
        <v>527</v>
      </c>
      <c r="H67" s="23" t="s">
        <v>123</v>
      </c>
      <c r="I67" s="23" t="s">
        <v>26</v>
      </c>
      <c r="J67" s="23" t="s">
        <v>528</v>
      </c>
      <c r="K67" s="23" t="s">
        <v>28</v>
      </c>
      <c r="L67" s="29" t="str">
        <f>IFERROR(__xludf.DUMMYFUNCTION("REGEXEXTRACT(E67,""[A-Za-z]+"")"),"f")</f>
        <v>f</v>
      </c>
      <c r="M67" s="28" t="s">
        <v>10</v>
      </c>
      <c r="N67" s="23" t="s">
        <v>29</v>
      </c>
      <c r="O67" s="23" t="s">
        <v>30</v>
      </c>
      <c r="P67" s="28" t="s">
        <v>29</v>
      </c>
    </row>
    <row r="68">
      <c r="A68" s="23" t="s">
        <v>240</v>
      </c>
      <c r="B68" s="23" t="s">
        <v>36</v>
      </c>
      <c r="C68" s="23" t="s">
        <v>171</v>
      </c>
      <c r="D68" s="24" t="s">
        <v>32</v>
      </c>
      <c r="E68" s="23" t="s">
        <v>26</v>
      </c>
      <c r="F68" s="23" t="s">
        <v>10</v>
      </c>
      <c r="G68" s="28" t="s">
        <v>529</v>
      </c>
      <c r="H68" s="23" t="s">
        <v>39</v>
      </c>
      <c r="I68" s="23" t="s">
        <v>26</v>
      </c>
      <c r="J68" s="23" t="s">
        <v>174</v>
      </c>
      <c r="K68" s="23" t="s">
        <v>70</v>
      </c>
      <c r="L68" s="29" t="str">
        <f>IFERROR(__xludf.DUMMYFUNCTION("REGEXEXTRACT(E68,""[A-Za-z]+"")"),"m")</f>
        <v>m</v>
      </c>
      <c r="M68" s="28" t="s">
        <v>10</v>
      </c>
      <c r="N68" s="23" t="s">
        <v>30</v>
      </c>
      <c r="O68" s="23" t="s">
        <v>30</v>
      </c>
      <c r="P68" s="28" t="s">
        <v>30</v>
      </c>
    </row>
    <row r="69">
      <c r="A69" s="23" t="s">
        <v>242</v>
      </c>
      <c r="B69" s="23" t="s">
        <v>171</v>
      </c>
      <c r="C69" s="23" t="s">
        <v>36</v>
      </c>
      <c r="D69" s="24" t="s">
        <v>22</v>
      </c>
      <c r="E69" s="23" t="s">
        <v>23</v>
      </c>
      <c r="F69" s="23" t="s">
        <v>10</v>
      </c>
      <c r="G69" s="28" t="s">
        <v>409</v>
      </c>
      <c r="H69" s="23" t="s">
        <v>174</v>
      </c>
      <c r="I69" s="23" t="s">
        <v>26</v>
      </c>
      <c r="J69" s="23" t="s">
        <v>39</v>
      </c>
      <c r="K69" s="23" t="s">
        <v>41</v>
      </c>
      <c r="L69" s="29" t="str">
        <f>IFERROR(__xludf.DUMMYFUNCTION("REGEXEXTRACT(E69,""[A-Za-z]+"")"),"f")</f>
        <v>f</v>
      </c>
      <c r="M69" s="28" t="s">
        <v>10</v>
      </c>
      <c r="N69" s="23" t="s">
        <v>29</v>
      </c>
      <c r="O69" s="23" t="s">
        <v>30</v>
      </c>
      <c r="P69" s="28" t="s">
        <v>29</v>
      </c>
    </row>
    <row r="70">
      <c r="A70" s="23" t="s">
        <v>244</v>
      </c>
      <c r="B70" s="23" t="s">
        <v>94</v>
      </c>
      <c r="C70" s="23" t="s">
        <v>65</v>
      </c>
      <c r="D70" s="24" t="s">
        <v>22</v>
      </c>
      <c r="E70" s="23" t="s">
        <v>23</v>
      </c>
      <c r="F70" s="23" t="s">
        <v>10</v>
      </c>
      <c r="G70" s="28" t="s">
        <v>530</v>
      </c>
      <c r="H70" s="23" t="s">
        <v>473</v>
      </c>
      <c r="I70" s="23" t="s">
        <v>23</v>
      </c>
      <c r="J70" s="23" t="s">
        <v>68</v>
      </c>
      <c r="K70" s="23" t="s">
        <v>41</v>
      </c>
      <c r="L70" s="29" t="str">
        <f>IFERROR(__xludf.DUMMYFUNCTION("REGEXEXTRACT(E70,""[A-Za-z]+"")"),"f")</f>
        <v>f</v>
      </c>
      <c r="M70" s="28" t="s">
        <v>10</v>
      </c>
      <c r="N70" s="23" t="s">
        <v>29</v>
      </c>
      <c r="O70" s="23" t="s">
        <v>30</v>
      </c>
      <c r="P70" s="28" t="s">
        <v>29</v>
      </c>
    </row>
    <row r="71">
      <c r="A71" s="23" t="s">
        <v>246</v>
      </c>
      <c r="B71" s="31" t="s">
        <v>65</v>
      </c>
      <c r="C71" s="31" t="s">
        <v>94</v>
      </c>
      <c r="D71" s="32" t="s">
        <v>32</v>
      </c>
      <c r="E71" s="31" t="s">
        <v>26</v>
      </c>
      <c r="F71" s="31" t="s">
        <v>10</v>
      </c>
      <c r="G71" s="28" t="s">
        <v>531</v>
      </c>
      <c r="H71" s="23" t="s">
        <v>68</v>
      </c>
      <c r="I71" s="23" t="s">
        <v>26</v>
      </c>
      <c r="J71" s="23" t="s">
        <v>68</v>
      </c>
      <c r="K71" s="23" t="s">
        <v>34</v>
      </c>
      <c r="L71" s="29" t="str">
        <f>IFERROR(__xludf.DUMMYFUNCTION("REGEXEXTRACT(E71,""[A-Za-z]+"")"),"m")</f>
        <v>m</v>
      </c>
      <c r="M71" s="28" t="s">
        <v>10</v>
      </c>
      <c r="N71" s="23" t="s">
        <v>29</v>
      </c>
      <c r="O71" s="23" t="s">
        <v>30</v>
      </c>
      <c r="P71" s="28" t="s">
        <v>29</v>
      </c>
    </row>
    <row r="72">
      <c r="A72" s="23" t="s">
        <v>248</v>
      </c>
      <c r="B72" s="23" t="s">
        <v>88</v>
      </c>
      <c r="C72" s="23" t="s">
        <v>195</v>
      </c>
      <c r="D72" s="24" t="s">
        <v>32</v>
      </c>
      <c r="E72" s="23" t="s">
        <v>26</v>
      </c>
      <c r="F72" s="33" t="s">
        <v>10</v>
      </c>
      <c r="G72" s="28" t="s">
        <v>532</v>
      </c>
      <c r="H72" s="23" t="s">
        <v>513</v>
      </c>
      <c r="I72" s="23" t="s">
        <v>26</v>
      </c>
      <c r="J72" s="23" t="s">
        <v>473</v>
      </c>
      <c r="K72" s="23" t="s">
        <v>34</v>
      </c>
      <c r="L72" s="29" t="str">
        <f>IFERROR(__xludf.DUMMYFUNCTION("REGEXEXTRACT(E72,""[A-Za-z]+"")"),"m")</f>
        <v>m</v>
      </c>
      <c r="M72" s="28" t="s">
        <v>10</v>
      </c>
      <c r="N72" s="23" t="s">
        <v>30</v>
      </c>
      <c r="O72" s="23" t="s">
        <v>30</v>
      </c>
      <c r="P72" s="28" t="s">
        <v>30</v>
      </c>
    </row>
    <row r="73">
      <c r="A73" s="23" t="s">
        <v>250</v>
      </c>
      <c r="B73" s="23" t="s">
        <v>195</v>
      </c>
      <c r="C73" s="23" t="s">
        <v>88</v>
      </c>
      <c r="D73" s="24" t="s">
        <v>22</v>
      </c>
      <c r="E73" s="23" t="s">
        <v>23</v>
      </c>
      <c r="F73" s="23" t="s">
        <v>10</v>
      </c>
      <c r="G73" s="28" t="s">
        <v>533</v>
      </c>
      <c r="H73" s="23" t="s">
        <v>197</v>
      </c>
      <c r="I73" s="23" t="s">
        <v>26</v>
      </c>
      <c r="J73" s="23" t="s">
        <v>383</v>
      </c>
      <c r="K73" s="23" t="s">
        <v>28</v>
      </c>
      <c r="L73" s="29" t="str">
        <f>IFERROR(__xludf.DUMMYFUNCTION("REGEXEXTRACT(E73,""[A-Za-z]+"")"),"f")</f>
        <v>f</v>
      </c>
      <c r="M73" s="28" t="s">
        <v>10</v>
      </c>
      <c r="N73" s="23" t="s">
        <v>29</v>
      </c>
      <c r="O73" s="23" t="s">
        <v>30</v>
      </c>
      <c r="P73" s="28" t="s">
        <v>29</v>
      </c>
    </row>
    <row r="74">
      <c r="A74" s="23" t="s">
        <v>252</v>
      </c>
      <c r="B74" s="23" t="s">
        <v>195</v>
      </c>
      <c r="C74" s="23" t="s">
        <v>21</v>
      </c>
      <c r="D74" s="24" t="s">
        <v>22</v>
      </c>
      <c r="E74" s="23" t="s">
        <v>23</v>
      </c>
      <c r="F74" s="23" t="s">
        <v>10</v>
      </c>
      <c r="G74" s="49" t="s">
        <v>534</v>
      </c>
      <c r="H74" s="27" t="s">
        <v>197</v>
      </c>
      <c r="I74" s="27" t="s">
        <v>26</v>
      </c>
      <c r="J74" s="27" t="s">
        <v>27</v>
      </c>
      <c r="K74" s="27" t="s">
        <v>474</v>
      </c>
      <c r="L74" s="27" t="s">
        <v>474</v>
      </c>
      <c r="M74" s="49" t="s">
        <v>9</v>
      </c>
      <c r="N74" s="23" t="s">
        <v>474</v>
      </c>
      <c r="O74" s="23" t="s">
        <v>474</v>
      </c>
      <c r="P74" s="28" t="s">
        <v>474</v>
      </c>
      <c r="R74" s="23" t="s">
        <v>535</v>
      </c>
    </row>
    <row r="75">
      <c r="A75" s="23" t="s">
        <v>255</v>
      </c>
      <c r="B75" s="23" t="s">
        <v>21</v>
      </c>
      <c r="C75" s="23" t="s">
        <v>195</v>
      </c>
      <c r="D75" s="24" t="s">
        <v>32</v>
      </c>
      <c r="E75" s="23" t="s">
        <v>26</v>
      </c>
      <c r="F75" s="23" t="s">
        <v>10</v>
      </c>
      <c r="G75" s="28" t="s">
        <v>536</v>
      </c>
      <c r="H75" s="23" t="s">
        <v>27</v>
      </c>
      <c r="I75" s="23" t="s">
        <v>26</v>
      </c>
      <c r="J75" s="23" t="s">
        <v>197</v>
      </c>
      <c r="K75" s="23" t="s">
        <v>34</v>
      </c>
      <c r="L75" s="29" t="str">
        <f>IFERROR(__xludf.DUMMYFUNCTION("REGEXEXTRACT(E75,""[A-Za-z]+"")"),"m")</f>
        <v>m</v>
      </c>
      <c r="M75" s="28" t="s">
        <v>10</v>
      </c>
      <c r="N75" s="23" t="s">
        <v>30</v>
      </c>
      <c r="O75" s="23" t="s">
        <v>30</v>
      </c>
      <c r="P75" s="28" t="s">
        <v>30</v>
      </c>
    </row>
    <row r="76">
      <c r="A76" s="23" t="s">
        <v>257</v>
      </c>
      <c r="B76" s="23" t="s">
        <v>36</v>
      </c>
      <c r="C76" s="23" t="s">
        <v>180</v>
      </c>
      <c r="D76" s="24" t="s">
        <v>32</v>
      </c>
      <c r="E76" s="23" t="s">
        <v>26</v>
      </c>
      <c r="F76" s="23" t="s">
        <v>10</v>
      </c>
      <c r="G76" s="28" t="s">
        <v>537</v>
      </c>
      <c r="H76" s="23" t="s">
        <v>39</v>
      </c>
      <c r="I76" s="23" t="s">
        <v>26</v>
      </c>
      <c r="J76" s="23" t="s">
        <v>185</v>
      </c>
      <c r="K76" s="23" t="s">
        <v>70</v>
      </c>
      <c r="L76" s="29" t="str">
        <f>IFERROR(__xludf.DUMMYFUNCTION("REGEXEXTRACT(E76,""[A-Za-z]+"")"),"m")</f>
        <v>m</v>
      </c>
      <c r="M76" s="28" t="s">
        <v>10</v>
      </c>
      <c r="N76" s="23" t="s">
        <v>30</v>
      </c>
      <c r="O76" s="23" t="s">
        <v>30</v>
      </c>
      <c r="P76" s="28" t="s">
        <v>30</v>
      </c>
    </row>
    <row r="77">
      <c r="A77" s="23" t="s">
        <v>259</v>
      </c>
      <c r="B77" s="23" t="s">
        <v>180</v>
      </c>
      <c r="C77" s="23" t="s">
        <v>36</v>
      </c>
      <c r="D77" s="24" t="s">
        <v>22</v>
      </c>
      <c r="E77" s="23" t="s">
        <v>23</v>
      </c>
      <c r="F77" s="23" t="s">
        <v>10</v>
      </c>
      <c r="G77" s="28" t="s">
        <v>538</v>
      </c>
      <c r="H77" s="23" t="s">
        <v>185</v>
      </c>
      <c r="I77" s="23" t="s">
        <v>26</v>
      </c>
      <c r="J77" s="23" t="s">
        <v>39</v>
      </c>
      <c r="K77" s="23" t="s">
        <v>41</v>
      </c>
      <c r="L77" s="29" t="str">
        <f>IFERROR(__xludf.DUMMYFUNCTION("REGEXEXTRACT(E77,""[A-Za-z]+"")"),"f")</f>
        <v>f</v>
      </c>
      <c r="M77" s="28" t="s">
        <v>10</v>
      </c>
      <c r="N77" s="23" t="s">
        <v>29</v>
      </c>
      <c r="O77" s="23" t="s">
        <v>30</v>
      </c>
      <c r="P77" s="28" t="s">
        <v>29</v>
      </c>
    </row>
    <row r="78">
      <c r="A78" s="23" t="s">
        <v>261</v>
      </c>
      <c r="B78" s="23" t="s">
        <v>262</v>
      </c>
      <c r="C78" s="23" t="s">
        <v>88</v>
      </c>
      <c r="D78" s="24" t="s">
        <v>22</v>
      </c>
      <c r="E78" s="23" t="s">
        <v>23</v>
      </c>
      <c r="F78" s="23" t="s">
        <v>10</v>
      </c>
      <c r="G78" s="28" t="s">
        <v>539</v>
      </c>
      <c r="H78" s="23" t="s">
        <v>264</v>
      </c>
      <c r="I78" s="23" t="s">
        <v>26</v>
      </c>
      <c r="J78" s="23" t="s">
        <v>419</v>
      </c>
      <c r="K78" s="23" t="s">
        <v>41</v>
      </c>
      <c r="L78" s="29" t="str">
        <f>IFERROR(__xludf.DUMMYFUNCTION("REGEXEXTRACT(E78,""[A-Za-z]+"")"),"f")</f>
        <v>f</v>
      </c>
      <c r="M78" s="28" t="s">
        <v>10</v>
      </c>
      <c r="N78" s="23" t="s">
        <v>29</v>
      </c>
      <c r="O78" s="23" t="s">
        <v>30</v>
      </c>
      <c r="P78" s="28" t="s">
        <v>29</v>
      </c>
    </row>
    <row r="79">
      <c r="A79" s="23" t="s">
        <v>265</v>
      </c>
      <c r="B79" s="23" t="s">
        <v>88</v>
      </c>
      <c r="C79" s="23" t="s">
        <v>262</v>
      </c>
      <c r="D79" s="24" t="s">
        <v>32</v>
      </c>
      <c r="E79" s="23" t="s">
        <v>26</v>
      </c>
      <c r="F79" s="23" t="s">
        <v>10</v>
      </c>
      <c r="G79" s="28" t="s">
        <v>540</v>
      </c>
      <c r="H79" s="23" t="s">
        <v>516</v>
      </c>
      <c r="I79" s="23" t="s">
        <v>26</v>
      </c>
      <c r="J79" s="23" t="s">
        <v>420</v>
      </c>
      <c r="K79" s="23" t="s">
        <v>34</v>
      </c>
      <c r="L79" s="29" t="str">
        <f>IFERROR(__xludf.DUMMYFUNCTION("REGEXEXTRACT(E79,""[A-Za-z]+"")"),"m")</f>
        <v>m</v>
      </c>
      <c r="M79" s="28" t="s">
        <v>10</v>
      </c>
      <c r="N79" s="23" t="s">
        <v>30</v>
      </c>
      <c r="O79" s="23" t="s">
        <v>30</v>
      </c>
      <c r="P79" s="28" t="s">
        <v>30</v>
      </c>
    </row>
    <row r="80">
      <c r="A80" s="23" t="s">
        <v>267</v>
      </c>
      <c r="B80" s="23" t="s">
        <v>213</v>
      </c>
      <c r="C80" s="23" t="s">
        <v>268</v>
      </c>
      <c r="D80" s="24" t="s">
        <v>32</v>
      </c>
      <c r="E80" s="23" t="s">
        <v>26</v>
      </c>
      <c r="F80" s="23" t="s">
        <v>10</v>
      </c>
      <c r="G80" s="28" t="s">
        <v>541</v>
      </c>
      <c r="H80" s="23" t="s">
        <v>215</v>
      </c>
      <c r="I80" s="23" t="s">
        <v>26</v>
      </c>
      <c r="J80" s="23" t="s">
        <v>273</v>
      </c>
      <c r="K80" s="23" t="s">
        <v>34</v>
      </c>
      <c r="L80" s="29" t="str">
        <f>IFERROR(__xludf.DUMMYFUNCTION("REGEXEXTRACT(E80,""[A-Za-z]+"")"),"m")</f>
        <v>m</v>
      </c>
      <c r="M80" s="28" t="s">
        <v>10</v>
      </c>
      <c r="N80" s="23" t="s">
        <v>29</v>
      </c>
      <c r="O80" s="23" t="s">
        <v>30</v>
      </c>
      <c r="P80" s="28" t="s">
        <v>29</v>
      </c>
    </row>
    <row r="81">
      <c r="A81" s="23" t="s">
        <v>271</v>
      </c>
      <c r="B81" s="23" t="s">
        <v>268</v>
      </c>
      <c r="C81" s="23" t="s">
        <v>213</v>
      </c>
      <c r="D81" s="24" t="s">
        <v>22</v>
      </c>
      <c r="E81" s="23" t="s">
        <v>23</v>
      </c>
      <c r="F81" s="23" t="s">
        <v>10</v>
      </c>
      <c r="G81" s="28" t="s">
        <v>542</v>
      </c>
      <c r="H81" s="23" t="s">
        <v>273</v>
      </c>
      <c r="I81" s="23" t="s">
        <v>23</v>
      </c>
      <c r="J81" s="23" t="s">
        <v>215</v>
      </c>
      <c r="K81" s="23" t="s">
        <v>28</v>
      </c>
      <c r="L81" s="29" t="str">
        <f>IFERROR(__xludf.DUMMYFUNCTION("REGEXEXTRACT(E81,""[A-Za-z]+"")"),"f")</f>
        <v>f</v>
      </c>
      <c r="M81" s="28" t="s">
        <v>10</v>
      </c>
      <c r="N81" s="23" t="s">
        <v>29</v>
      </c>
      <c r="O81" s="23" t="s">
        <v>30</v>
      </c>
      <c r="P81" s="28" t="s">
        <v>29</v>
      </c>
    </row>
    <row r="82">
      <c r="A82" s="23" t="s">
        <v>274</v>
      </c>
      <c r="B82" s="23" t="s">
        <v>275</v>
      </c>
      <c r="C82" s="23" t="s">
        <v>276</v>
      </c>
      <c r="D82" s="24" t="s">
        <v>32</v>
      </c>
      <c r="E82" s="23" t="s">
        <v>26</v>
      </c>
      <c r="F82" s="23" t="s">
        <v>10</v>
      </c>
      <c r="G82" s="28" t="s">
        <v>543</v>
      </c>
      <c r="H82" s="23" t="s">
        <v>424</v>
      </c>
      <c r="I82" s="23" t="s">
        <v>26</v>
      </c>
      <c r="J82" s="23" t="s">
        <v>279</v>
      </c>
      <c r="K82" s="23" t="s">
        <v>34</v>
      </c>
      <c r="L82" s="29" t="str">
        <f>IFERROR(__xludf.DUMMYFUNCTION("REGEXEXTRACT(E82,""[A-Za-z]+"")"),"m")</f>
        <v>m</v>
      </c>
      <c r="M82" s="28" t="s">
        <v>10</v>
      </c>
      <c r="N82" s="23" t="s">
        <v>30</v>
      </c>
      <c r="O82" s="23" t="s">
        <v>30</v>
      </c>
      <c r="P82" s="28" t="s">
        <v>30</v>
      </c>
    </row>
    <row r="83">
      <c r="A83" s="23" t="s">
        <v>280</v>
      </c>
      <c r="B83" s="23" t="s">
        <v>276</v>
      </c>
      <c r="C83" s="23" t="s">
        <v>275</v>
      </c>
      <c r="D83" s="24" t="s">
        <v>22</v>
      </c>
      <c r="E83" s="23" t="s">
        <v>23</v>
      </c>
      <c r="F83" s="23" t="s">
        <v>10</v>
      </c>
      <c r="G83" s="28" t="s">
        <v>544</v>
      </c>
      <c r="H83" s="23" t="s">
        <v>282</v>
      </c>
      <c r="I83" s="23" t="s">
        <v>23</v>
      </c>
      <c r="J83" s="23" t="s">
        <v>424</v>
      </c>
      <c r="K83" s="23" t="s">
        <v>41</v>
      </c>
      <c r="L83" s="29" t="str">
        <f>IFERROR(__xludf.DUMMYFUNCTION("REGEXEXTRACT(E83,""[A-Za-z]+"")"),"f")</f>
        <v>f</v>
      </c>
      <c r="M83" s="28" t="s">
        <v>10</v>
      </c>
      <c r="N83" s="23" t="s">
        <v>29</v>
      </c>
      <c r="O83" s="23" t="s">
        <v>30</v>
      </c>
      <c r="P83" s="28" t="s">
        <v>29</v>
      </c>
    </row>
    <row r="84">
      <c r="A84" s="23" t="s">
        <v>284</v>
      </c>
      <c r="B84" s="23" t="s">
        <v>171</v>
      </c>
      <c r="C84" s="23" t="s">
        <v>275</v>
      </c>
      <c r="D84" s="24" t="s">
        <v>22</v>
      </c>
      <c r="E84" s="23" t="s">
        <v>23</v>
      </c>
      <c r="F84" s="23" t="s">
        <v>10</v>
      </c>
      <c r="G84" s="28" t="s">
        <v>545</v>
      </c>
      <c r="H84" s="23" t="s">
        <v>174</v>
      </c>
      <c r="I84" s="23" t="s">
        <v>26</v>
      </c>
      <c r="J84" s="23" t="s">
        <v>424</v>
      </c>
      <c r="K84" s="23" t="s">
        <v>28</v>
      </c>
      <c r="L84" s="29" t="str">
        <f>IFERROR(__xludf.DUMMYFUNCTION("REGEXEXTRACT(E84,""[A-Za-z]+"")"),"f")</f>
        <v>f</v>
      </c>
      <c r="M84" s="28" t="s">
        <v>10</v>
      </c>
      <c r="N84" s="23" t="s">
        <v>29</v>
      </c>
      <c r="O84" s="23" t="s">
        <v>30</v>
      </c>
      <c r="P84" s="28" t="s">
        <v>29</v>
      </c>
    </row>
    <row r="85">
      <c r="A85" s="23" t="s">
        <v>286</v>
      </c>
      <c r="B85" s="23" t="s">
        <v>275</v>
      </c>
      <c r="C85" s="23" t="s">
        <v>171</v>
      </c>
      <c r="D85" s="24" t="s">
        <v>32</v>
      </c>
      <c r="E85" s="23" t="s">
        <v>26</v>
      </c>
      <c r="F85" s="23" t="s">
        <v>10</v>
      </c>
      <c r="G85" s="28" t="s">
        <v>546</v>
      </c>
      <c r="H85" s="23" t="s">
        <v>424</v>
      </c>
      <c r="I85" s="23" t="s">
        <v>26</v>
      </c>
      <c r="J85" s="23" t="s">
        <v>174</v>
      </c>
      <c r="K85" s="23" t="s">
        <v>70</v>
      </c>
      <c r="L85" s="29" t="str">
        <f>IFERROR(__xludf.DUMMYFUNCTION("REGEXEXTRACT(E85,""[A-Za-z]+"")"),"m")</f>
        <v>m</v>
      </c>
      <c r="M85" s="28" t="s">
        <v>10</v>
      </c>
      <c r="N85" s="23" t="s">
        <v>30</v>
      </c>
      <c r="O85" s="23" t="s">
        <v>30</v>
      </c>
      <c r="P85" s="28" t="s">
        <v>30</v>
      </c>
    </row>
    <row r="86">
      <c r="A86" s="23" t="s">
        <v>288</v>
      </c>
      <c r="B86" s="23" t="s">
        <v>95</v>
      </c>
      <c r="C86" s="23" t="s">
        <v>127</v>
      </c>
      <c r="D86" s="24" t="s">
        <v>32</v>
      </c>
      <c r="E86" s="23" t="s">
        <v>26</v>
      </c>
      <c r="F86" s="23" t="s">
        <v>10</v>
      </c>
      <c r="G86" s="28" t="s">
        <v>547</v>
      </c>
      <c r="H86" s="23" t="s">
        <v>101</v>
      </c>
      <c r="I86" s="23" t="s">
        <v>26</v>
      </c>
      <c r="J86" s="23" t="s">
        <v>290</v>
      </c>
      <c r="K86" s="23" t="s">
        <v>70</v>
      </c>
      <c r="L86" s="29" t="str">
        <f>IFERROR(__xludf.DUMMYFUNCTION("REGEXEXTRACT(E86,""[A-Za-z]+"")"),"m")</f>
        <v>m</v>
      </c>
      <c r="M86" s="28" t="s">
        <v>10</v>
      </c>
      <c r="N86" s="23" t="s">
        <v>30</v>
      </c>
      <c r="O86" s="23" t="s">
        <v>30</v>
      </c>
      <c r="P86" s="28" t="s">
        <v>30</v>
      </c>
    </row>
    <row r="87">
      <c r="A87" s="23" t="s">
        <v>291</v>
      </c>
      <c r="B87" s="23" t="s">
        <v>127</v>
      </c>
      <c r="C87" s="23" t="s">
        <v>95</v>
      </c>
      <c r="D87" s="24" t="s">
        <v>22</v>
      </c>
      <c r="E87" s="23" t="s">
        <v>23</v>
      </c>
      <c r="F87" s="23" t="s">
        <v>10</v>
      </c>
      <c r="G87" s="28" t="s">
        <v>548</v>
      </c>
      <c r="H87" s="23" t="s">
        <v>293</v>
      </c>
      <c r="I87" s="23" t="s">
        <v>23</v>
      </c>
      <c r="J87" s="23" t="s">
        <v>98</v>
      </c>
      <c r="K87" s="23" t="s">
        <v>41</v>
      </c>
      <c r="L87" s="29" t="str">
        <f>IFERROR(__xludf.DUMMYFUNCTION("REGEXEXTRACT(E87,""[A-Za-z]+"")"),"f")</f>
        <v>f</v>
      </c>
      <c r="M87" s="28" t="s">
        <v>10</v>
      </c>
      <c r="N87" s="23" t="s">
        <v>30</v>
      </c>
      <c r="O87" s="23" t="s">
        <v>30</v>
      </c>
      <c r="P87" s="28" t="s">
        <v>30</v>
      </c>
    </row>
    <row r="88">
      <c r="A88" s="23" t="s">
        <v>295</v>
      </c>
      <c r="B88" s="23" t="s">
        <v>296</v>
      </c>
      <c r="C88" s="23" t="s">
        <v>20</v>
      </c>
      <c r="D88" s="24" t="s">
        <v>32</v>
      </c>
      <c r="E88" s="23" t="s">
        <v>26</v>
      </c>
      <c r="F88" s="23" t="s">
        <v>10</v>
      </c>
      <c r="G88" s="28" t="s">
        <v>549</v>
      </c>
      <c r="H88" s="23" t="s">
        <v>550</v>
      </c>
      <c r="I88" s="23" t="s">
        <v>26</v>
      </c>
      <c r="J88" s="23" t="s">
        <v>25</v>
      </c>
      <c r="K88" s="23" t="s">
        <v>70</v>
      </c>
      <c r="L88" s="29" t="str">
        <f>IFERROR(__xludf.DUMMYFUNCTION("REGEXEXTRACT(E88,""[A-Za-z]+"")"),"m")</f>
        <v>m</v>
      </c>
      <c r="M88" s="28" t="s">
        <v>10</v>
      </c>
      <c r="N88" s="23" t="s">
        <v>30</v>
      </c>
      <c r="O88" s="23" t="s">
        <v>30</v>
      </c>
      <c r="P88" s="28" t="s">
        <v>30</v>
      </c>
    </row>
    <row r="89">
      <c r="A89" s="23" t="s">
        <v>299</v>
      </c>
      <c r="B89" s="23" t="s">
        <v>20</v>
      </c>
      <c r="C89" s="23" t="s">
        <v>300</v>
      </c>
      <c r="D89" s="24" t="s">
        <v>22</v>
      </c>
      <c r="E89" s="23" t="s">
        <v>23</v>
      </c>
      <c r="F89" s="23" t="s">
        <v>10</v>
      </c>
      <c r="G89" s="28" t="s">
        <v>551</v>
      </c>
      <c r="H89" s="23" t="s">
        <v>347</v>
      </c>
      <c r="I89" s="23" t="s">
        <v>23</v>
      </c>
      <c r="J89" s="23" t="s">
        <v>550</v>
      </c>
      <c r="K89" s="23" t="s">
        <v>41</v>
      </c>
      <c r="L89" s="29" t="str">
        <f>IFERROR(__xludf.DUMMYFUNCTION("REGEXEXTRACT(E89,""[A-Za-z]+"")"),"f")</f>
        <v>f</v>
      </c>
      <c r="M89" s="28" t="s">
        <v>10</v>
      </c>
      <c r="N89" s="23" t="s">
        <v>29</v>
      </c>
      <c r="O89" s="23" t="s">
        <v>30</v>
      </c>
      <c r="P89" s="28" t="s">
        <v>29</v>
      </c>
    </row>
    <row r="90">
      <c r="A90" s="23" t="s">
        <v>303</v>
      </c>
      <c r="B90" s="23" t="s">
        <v>155</v>
      </c>
      <c r="C90" s="23" t="s">
        <v>262</v>
      </c>
      <c r="D90" s="24" t="s">
        <v>32</v>
      </c>
      <c r="E90" s="23" t="s">
        <v>26</v>
      </c>
      <c r="F90" s="23" t="s">
        <v>10</v>
      </c>
      <c r="G90" s="28" t="s">
        <v>552</v>
      </c>
      <c r="H90" s="23" t="s">
        <v>150</v>
      </c>
      <c r="I90" s="23" t="s">
        <v>26</v>
      </c>
      <c r="J90" s="23" t="s">
        <v>420</v>
      </c>
      <c r="K90" s="23" t="s">
        <v>70</v>
      </c>
      <c r="L90" s="29" t="str">
        <f>IFERROR(__xludf.DUMMYFUNCTION("REGEXEXTRACT(E90,""[A-Za-z]+"")"),"m")</f>
        <v>m</v>
      </c>
      <c r="M90" s="28" t="s">
        <v>10</v>
      </c>
      <c r="N90" s="23" t="s">
        <v>30</v>
      </c>
      <c r="O90" s="23" t="s">
        <v>30</v>
      </c>
      <c r="P90" s="28" t="s">
        <v>30</v>
      </c>
    </row>
    <row r="91">
      <c r="A91" s="23" t="s">
        <v>305</v>
      </c>
      <c r="B91" s="23" t="s">
        <v>262</v>
      </c>
      <c r="C91" s="23" t="s">
        <v>155</v>
      </c>
      <c r="D91" s="24" t="s">
        <v>22</v>
      </c>
      <c r="E91" s="23" t="s">
        <v>23</v>
      </c>
      <c r="F91" s="23" t="s">
        <v>10</v>
      </c>
      <c r="G91" s="28" t="s">
        <v>553</v>
      </c>
      <c r="H91" s="23" t="s">
        <v>264</v>
      </c>
      <c r="I91" s="23" t="s">
        <v>26</v>
      </c>
      <c r="J91" s="23" t="s">
        <v>150</v>
      </c>
      <c r="K91" s="23" t="s">
        <v>41</v>
      </c>
      <c r="L91" s="29" t="str">
        <f>IFERROR(__xludf.DUMMYFUNCTION("REGEXEXTRACT(E91,""[A-Za-z]+"")"),"f")</f>
        <v>f</v>
      </c>
      <c r="M91" s="28" t="s">
        <v>10</v>
      </c>
      <c r="N91" s="23" t="s">
        <v>29</v>
      </c>
      <c r="O91" s="23" t="s">
        <v>30</v>
      </c>
      <c r="P91" s="28" t="s">
        <v>29</v>
      </c>
    </row>
    <row r="92">
      <c r="A92" s="23" t="s">
        <v>307</v>
      </c>
      <c r="B92" s="23" t="s">
        <v>207</v>
      </c>
      <c r="C92" s="23" t="s">
        <v>76</v>
      </c>
      <c r="D92" s="24" t="s">
        <v>22</v>
      </c>
      <c r="E92" s="23" t="s">
        <v>23</v>
      </c>
      <c r="F92" s="23" t="s">
        <v>10</v>
      </c>
      <c r="G92" s="28" t="s">
        <v>554</v>
      </c>
      <c r="H92" s="23" t="s">
        <v>514</v>
      </c>
      <c r="I92" s="23" t="s">
        <v>26</v>
      </c>
      <c r="J92" s="23" t="s">
        <v>81</v>
      </c>
      <c r="K92" s="23" t="s">
        <v>41</v>
      </c>
      <c r="L92" s="29" t="str">
        <f>IFERROR(__xludf.DUMMYFUNCTION("REGEXEXTRACT(E92,""[A-Za-z]+"")"),"f")</f>
        <v>f</v>
      </c>
      <c r="M92" s="28" t="s">
        <v>10</v>
      </c>
      <c r="N92" s="23" t="s">
        <v>29</v>
      </c>
      <c r="O92" s="23" t="s">
        <v>30</v>
      </c>
      <c r="P92" s="28" t="s">
        <v>29</v>
      </c>
    </row>
    <row r="93">
      <c r="A93" s="23" t="s">
        <v>309</v>
      </c>
      <c r="B93" s="23" t="s">
        <v>76</v>
      </c>
      <c r="C93" s="23" t="s">
        <v>207</v>
      </c>
      <c r="D93" s="24" t="s">
        <v>32</v>
      </c>
      <c r="E93" s="23" t="s">
        <v>26</v>
      </c>
      <c r="F93" s="23" t="s">
        <v>10</v>
      </c>
      <c r="G93" s="28" t="s">
        <v>555</v>
      </c>
      <c r="H93" s="23" t="s">
        <v>81</v>
      </c>
      <c r="I93" s="23" t="s">
        <v>26</v>
      </c>
      <c r="J93" s="23" t="s">
        <v>514</v>
      </c>
      <c r="K93" s="23" t="s">
        <v>70</v>
      </c>
      <c r="L93" s="29" t="str">
        <f>IFERROR(__xludf.DUMMYFUNCTION("REGEXEXTRACT(E93,""[A-Za-z]+"")"),"m")</f>
        <v>m</v>
      </c>
      <c r="M93" s="28" t="s">
        <v>10</v>
      </c>
      <c r="N93" s="23" t="s">
        <v>29</v>
      </c>
      <c r="O93" s="23" t="s">
        <v>30</v>
      </c>
      <c r="P93" s="28" t="s">
        <v>29</v>
      </c>
    </row>
    <row r="94">
      <c r="A94" s="23" t="s">
        <v>311</v>
      </c>
      <c r="B94" s="23" t="s">
        <v>300</v>
      </c>
      <c r="C94" s="23" t="s">
        <v>37</v>
      </c>
      <c r="D94" s="24" t="s">
        <v>32</v>
      </c>
      <c r="E94" s="23" t="s">
        <v>26</v>
      </c>
      <c r="F94" s="23" t="s">
        <v>10</v>
      </c>
      <c r="G94" s="28" t="s">
        <v>556</v>
      </c>
      <c r="H94" s="23" t="s">
        <v>550</v>
      </c>
      <c r="I94" s="23" t="s">
        <v>26</v>
      </c>
      <c r="J94" s="23" t="s">
        <v>44</v>
      </c>
      <c r="K94" s="23" t="s">
        <v>70</v>
      </c>
      <c r="L94" s="29" t="str">
        <f>IFERROR(__xludf.DUMMYFUNCTION("REGEXEXTRACT(E94,""[A-Za-z]+"")"),"m")</f>
        <v>m</v>
      </c>
      <c r="M94" s="28" t="s">
        <v>10</v>
      </c>
      <c r="N94" s="23" t="s">
        <v>30</v>
      </c>
      <c r="O94" s="23" t="s">
        <v>30</v>
      </c>
      <c r="P94" s="28" t="s">
        <v>30</v>
      </c>
    </row>
    <row r="95">
      <c r="A95" s="23" t="s">
        <v>313</v>
      </c>
      <c r="B95" s="23" t="s">
        <v>37</v>
      </c>
      <c r="C95" s="23" t="s">
        <v>300</v>
      </c>
      <c r="D95" s="24" t="s">
        <v>22</v>
      </c>
      <c r="E95" s="23" t="s">
        <v>23</v>
      </c>
      <c r="F95" s="23" t="s">
        <v>10</v>
      </c>
      <c r="G95" s="28" t="s">
        <v>557</v>
      </c>
      <c r="H95" s="23" t="s">
        <v>44</v>
      </c>
      <c r="I95" s="23" t="s">
        <v>26</v>
      </c>
      <c r="J95" s="23" t="s">
        <v>550</v>
      </c>
      <c r="K95" s="23" t="s">
        <v>28</v>
      </c>
      <c r="L95" s="29" t="str">
        <f>IFERROR(__xludf.DUMMYFUNCTION("REGEXEXTRACT(E95,""[A-Za-z]+"")"),"f")</f>
        <v>f</v>
      </c>
      <c r="M95" s="28" t="s">
        <v>10</v>
      </c>
      <c r="N95" s="23" t="s">
        <v>29</v>
      </c>
      <c r="O95" s="23" t="s">
        <v>30</v>
      </c>
      <c r="P95" s="28" t="s">
        <v>29</v>
      </c>
    </row>
    <row r="96">
      <c r="A96" s="23" t="s">
        <v>315</v>
      </c>
      <c r="B96" s="23" t="s">
        <v>76</v>
      </c>
      <c r="C96" s="23" t="s">
        <v>20</v>
      </c>
      <c r="D96" s="24" t="s">
        <v>32</v>
      </c>
      <c r="E96" s="23" t="s">
        <v>26</v>
      </c>
      <c r="F96" s="23" t="s">
        <v>10</v>
      </c>
      <c r="G96" s="28" t="s">
        <v>558</v>
      </c>
      <c r="H96" s="23" t="s">
        <v>81</v>
      </c>
      <c r="I96" s="23" t="s">
        <v>26</v>
      </c>
      <c r="J96" s="23" t="s">
        <v>25</v>
      </c>
      <c r="K96" s="23" t="s">
        <v>559</v>
      </c>
      <c r="L96" s="29" t="str">
        <f>IFERROR(__xludf.DUMMYFUNCTION("REGEXEXTRACT(E96,""[A-Za-z]+"")"),"m")</f>
        <v>m</v>
      </c>
      <c r="M96" s="28" t="s">
        <v>10</v>
      </c>
      <c r="N96" s="23" t="s">
        <v>30</v>
      </c>
      <c r="O96" s="23" t="s">
        <v>30</v>
      </c>
      <c r="P96" s="28" t="s">
        <v>30</v>
      </c>
    </row>
    <row r="97">
      <c r="A97" s="23" t="s">
        <v>317</v>
      </c>
      <c r="B97" s="23" t="s">
        <v>20</v>
      </c>
      <c r="C97" s="23" t="s">
        <v>76</v>
      </c>
      <c r="D97" s="24" t="s">
        <v>22</v>
      </c>
      <c r="E97" s="23" t="s">
        <v>23</v>
      </c>
      <c r="F97" s="23" t="s">
        <v>10</v>
      </c>
      <c r="G97" s="28" t="s">
        <v>560</v>
      </c>
      <c r="H97" s="23" t="s">
        <v>25</v>
      </c>
      <c r="I97" s="23" t="s">
        <v>26</v>
      </c>
      <c r="J97" s="23" t="s">
        <v>81</v>
      </c>
      <c r="K97" s="23" t="s">
        <v>28</v>
      </c>
      <c r="L97" s="29" t="str">
        <f>IFERROR(__xludf.DUMMYFUNCTION("REGEXEXTRACT(E97,""[A-Za-z]+"")"),"f")</f>
        <v>f</v>
      </c>
      <c r="M97" s="28" t="s">
        <v>10</v>
      </c>
      <c r="N97" s="23" t="s">
        <v>29</v>
      </c>
      <c r="O97" s="23" t="s">
        <v>30</v>
      </c>
      <c r="P97" s="28" t="s">
        <v>29</v>
      </c>
    </row>
    <row r="98">
      <c r="A98" s="23" t="s">
        <v>319</v>
      </c>
      <c r="B98" s="23" t="s">
        <v>195</v>
      </c>
      <c r="C98" s="23" t="s">
        <v>170</v>
      </c>
      <c r="D98" s="24" t="s">
        <v>22</v>
      </c>
      <c r="E98" s="23" t="s">
        <v>23</v>
      </c>
      <c r="F98" s="23" t="s">
        <v>10</v>
      </c>
      <c r="G98" s="28" t="s">
        <v>561</v>
      </c>
      <c r="H98" s="23" t="s">
        <v>197</v>
      </c>
      <c r="I98" s="23" t="s">
        <v>26</v>
      </c>
      <c r="J98" s="23" t="s">
        <v>498</v>
      </c>
      <c r="K98" s="23" t="s">
        <v>28</v>
      </c>
      <c r="L98" s="29" t="str">
        <f>IFERROR(__xludf.DUMMYFUNCTION("REGEXEXTRACT(E98,""[A-Za-z]+"")"),"f")</f>
        <v>f</v>
      </c>
      <c r="M98" s="28" t="s">
        <v>10</v>
      </c>
      <c r="N98" s="23" t="s">
        <v>30</v>
      </c>
      <c r="O98" s="23" t="s">
        <v>30</v>
      </c>
      <c r="P98" s="28" t="s">
        <v>30</v>
      </c>
    </row>
    <row r="99">
      <c r="A99" s="23" t="s">
        <v>321</v>
      </c>
      <c r="B99" s="23" t="s">
        <v>170</v>
      </c>
      <c r="C99" s="23" t="s">
        <v>195</v>
      </c>
      <c r="D99" s="24" t="s">
        <v>32</v>
      </c>
      <c r="E99" s="23" t="s">
        <v>26</v>
      </c>
      <c r="F99" s="23" t="s">
        <v>10</v>
      </c>
      <c r="G99" s="28" t="s">
        <v>322</v>
      </c>
      <c r="H99" s="23" t="s">
        <v>173</v>
      </c>
      <c r="I99" s="23" t="s">
        <v>26</v>
      </c>
      <c r="J99" s="23" t="s">
        <v>197</v>
      </c>
      <c r="K99" s="23" t="s">
        <v>34</v>
      </c>
      <c r="L99" s="29" t="str">
        <f>IFERROR(__xludf.DUMMYFUNCTION("REGEXEXTRACT(E99,""[A-Za-z]+"")"),"m")</f>
        <v>m</v>
      </c>
      <c r="M99" s="28" t="s">
        <v>10</v>
      </c>
      <c r="N99" s="23" t="s">
        <v>30</v>
      </c>
      <c r="O99" s="23" t="s">
        <v>30</v>
      </c>
      <c r="P99" s="28" t="s">
        <v>30</v>
      </c>
    </row>
    <row r="100">
      <c r="A100" s="23" t="s">
        <v>323</v>
      </c>
      <c r="B100" s="23" t="s">
        <v>220</v>
      </c>
      <c r="C100" s="23" t="s">
        <v>141</v>
      </c>
      <c r="D100" s="24" t="s">
        <v>32</v>
      </c>
      <c r="E100" s="23" t="s">
        <v>26</v>
      </c>
      <c r="F100" s="23" t="s">
        <v>10</v>
      </c>
      <c r="G100" s="28" t="s">
        <v>441</v>
      </c>
      <c r="H100" s="23" t="s">
        <v>400</v>
      </c>
      <c r="I100" s="23" t="s">
        <v>26</v>
      </c>
      <c r="J100" s="23" t="s">
        <v>143</v>
      </c>
      <c r="K100" s="23" t="s">
        <v>70</v>
      </c>
      <c r="L100" s="29" t="str">
        <f>IFERROR(__xludf.DUMMYFUNCTION("REGEXEXTRACT(E100,""[A-Za-z]+"")"),"m")</f>
        <v>m</v>
      </c>
      <c r="M100" s="28" t="s">
        <v>10</v>
      </c>
      <c r="N100" s="23" t="s">
        <v>30</v>
      </c>
      <c r="O100" s="23" t="s">
        <v>30</v>
      </c>
      <c r="P100" s="28" t="s">
        <v>30</v>
      </c>
    </row>
    <row r="101">
      <c r="A101" s="23" t="s">
        <v>325</v>
      </c>
      <c r="B101" s="23" t="s">
        <v>141</v>
      </c>
      <c r="C101" s="23" t="s">
        <v>220</v>
      </c>
      <c r="D101" s="24" t="s">
        <v>22</v>
      </c>
      <c r="E101" s="23" t="s">
        <v>23</v>
      </c>
      <c r="F101" s="23" t="s">
        <v>10</v>
      </c>
      <c r="G101" s="28" t="s">
        <v>562</v>
      </c>
      <c r="H101" s="23" t="s">
        <v>563</v>
      </c>
      <c r="I101" s="23" t="s">
        <v>26</v>
      </c>
      <c r="J101" s="23" t="s">
        <v>400</v>
      </c>
      <c r="K101" s="23" t="s">
        <v>41</v>
      </c>
      <c r="L101" s="29" t="str">
        <f>IFERROR(__xludf.DUMMYFUNCTION("REGEXEXTRACT(E101,""[A-Za-z]+"")"),"f")</f>
        <v>f</v>
      </c>
      <c r="M101" s="28" t="s">
        <v>10</v>
      </c>
      <c r="N101" s="23" t="s">
        <v>29</v>
      </c>
      <c r="O101" s="23" t="s">
        <v>30</v>
      </c>
      <c r="P101" s="28" t="s">
        <v>29</v>
      </c>
    </row>
    <row r="102">
      <c r="A102" s="23" t="s">
        <v>327</v>
      </c>
      <c r="B102" s="23" t="s">
        <v>328</v>
      </c>
      <c r="C102" s="23" t="s">
        <v>20</v>
      </c>
      <c r="D102" s="24" t="s">
        <v>32</v>
      </c>
      <c r="E102" s="23" t="s">
        <v>26</v>
      </c>
      <c r="F102" s="23" t="s">
        <v>10</v>
      </c>
      <c r="G102" s="28" t="s">
        <v>564</v>
      </c>
      <c r="H102" s="23" t="s">
        <v>330</v>
      </c>
      <c r="I102" s="23" t="s">
        <v>26</v>
      </c>
      <c r="J102" s="23" t="s">
        <v>25</v>
      </c>
      <c r="K102" s="23" t="s">
        <v>34</v>
      </c>
      <c r="L102" s="29" t="str">
        <f>IFERROR(__xludf.DUMMYFUNCTION("REGEXEXTRACT(E102,""[A-Za-z]+"")"),"m")</f>
        <v>m</v>
      </c>
      <c r="M102" s="28" t="s">
        <v>10</v>
      </c>
      <c r="N102" s="23" t="s">
        <v>30</v>
      </c>
      <c r="O102" s="23" t="s">
        <v>30</v>
      </c>
      <c r="P102" s="28" t="s">
        <v>30</v>
      </c>
    </row>
    <row r="103">
      <c r="A103" s="23" t="s">
        <v>331</v>
      </c>
      <c r="B103" s="23" t="s">
        <v>20</v>
      </c>
      <c r="C103" s="23" t="s">
        <v>328</v>
      </c>
      <c r="D103" s="24" t="s">
        <v>22</v>
      </c>
      <c r="E103" s="23" t="s">
        <v>23</v>
      </c>
      <c r="F103" s="23" t="s">
        <v>10</v>
      </c>
      <c r="G103" s="28" t="s">
        <v>565</v>
      </c>
      <c r="H103" s="23" t="s">
        <v>347</v>
      </c>
      <c r="I103" s="23" t="s">
        <v>23</v>
      </c>
      <c r="J103" s="23" t="s">
        <v>330</v>
      </c>
      <c r="K103" s="23" t="s">
        <v>28</v>
      </c>
      <c r="L103" s="29" t="str">
        <f>IFERROR(__xludf.DUMMYFUNCTION("REGEXEXTRACT(E103,""[A-Za-z]+"")"),"f")</f>
        <v>f</v>
      </c>
      <c r="M103" s="28" t="s">
        <v>10</v>
      </c>
      <c r="N103" s="23" t="s">
        <v>29</v>
      </c>
      <c r="O103" s="23" t="s">
        <v>30</v>
      </c>
      <c r="P103" s="28" t="s">
        <v>29</v>
      </c>
    </row>
    <row r="104">
      <c r="A104" s="23" t="s">
        <v>333</v>
      </c>
      <c r="B104" s="23" t="s">
        <v>36</v>
      </c>
      <c r="C104" s="23" t="s">
        <v>94</v>
      </c>
      <c r="D104" s="24" t="s">
        <v>32</v>
      </c>
      <c r="E104" s="23" t="s">
        <v>26</v>
      </c>
      <c r="F104" s="23" t="s">
        <v>10</v>
      </c>
      <c r="G104" s="28" t="s">
        <v>566</v>
      </c>
      <c r="H104" s="23" t="s">
        <v>39</v>
      </c>
      <c r="I104" s="23" t="s">
        <v>26</v>
      </c>
      <c r="J104" s="23" t="s">
        <v>473</v>
      </c>
      <c r="K104" s="23" t="s">
        <v>70</v>
      </c>
      <c r="L104" s="29" t="str">
        <f>IFERROR(__xludf.DUMMYFUNCTION("REGEXEXTRACT(E104,""[A-Za-z]+"")"),"m")</f>
        <v>m</v>
      </c>
      <c r="M104" s="28" t="s">
        <v>10</v>
      </c>
      <c r="N104" s="23" t="s">
        <v>29</v>
      </c>
      <c r="O104" s="23" t="s">
        <v>30</v>
      </c>
      <c r="P104" s="28" t="s">
        <v>29</v>
      </c>
    </row>
    <row r="105">
      <c r="A105" s="31" t="s">
        <v>335</v>
      </c>
      <c r="B105" s="31" t="s">
        <v>94</v>
      </c>
      <c r="C105" s="31" t="s">
        <v>36</v>
      </c>
      <c r="D105" s="32" t="s">
        <v>22</v>
      </c>
      <c r="E105" s="31" t="s">
        <v>23</v>
      </c>
      <c r="F105" s="31" t="s">
        <v>10</v>
      </c>
      <c r="G105" s="36" t="s">
        <v>567</v>
      </c>
      <c r="H105" s="31" t="s">
        <v>473</v>
      </c>
      <c r="I105" s="31" t="s">
        <v>23</v>
      </c>
      <c r="J105" s="31" t="s">
        <v>39</v>
      </c>
      <c r="K105" s="31" t="s">
        <v>41</v>
      </c>
      <c r="L105" s="37" t="str">
        <f>IFERROR(__xludf.DUMMYFUNCTION("REGEXEXTRACT(E105,""[A-Za-z]+"")"),"f")</f>
        <v>f</v>
      </c>
      <c r="M105" s="36" t="s">
        <v>10</v>
      </c>
      <c r="N105" s="31" t="s">
        <v>29</v>
      </c>
      <c r="O105" s="31" t="s">
        <v>30</v>
      </c>
      <c r="P105" s="36" t="s">
        <v>29</v>
      </c>
    </row>
    <row r="106">
      <c r="D106" s="38" t="s">
        <v>337</v>
      </c>
      <c r="I106" s="29" t="str">
        <f>COUNTIF(I4:I105, "m") &amp; "m"</f>
        <v>79m</v>
      </c>
      <c r="L106" s="38" t="s">
        <v>337</v>
      </c>
      <c r="N106" s="29" t="str">
        <f t="shared" ref="N106:P106" si="1">COUNTIF(N4:N105, "T") &amp; "T"</f>
        <v>44T</v>
      </c>
      <c r="O106" s="29" t="str">
        <f t="shared" si="1"/>
        <v>100T</v>
      </c>
      <c r="P106" s="29" t="str">
        <f t="shared" si="1"/>
        <v>44T</v>
      </c>
    </row>
    <row r="107">
      <c r="D107" s="29" t="str">
        <f>COUNTIF(E4:E105, "m") &amp; "m"</f>
        <v>51m</v>
      </c>
      <c r="I107" s="29" t="str">
        <f>COUNTIF(I4:I105, "f") &amp; "f"</f>
        <v>23f</v>
      </c>
      <c r="L107" s="29" t="str">
        <f>COUNTIF(L4:L105, "m") &amp; "m"</f>
        <v>51m</v>
      </c>
      <c r="N107" s="29" t="str">
        <f t="shared" ref="N107:P107" si="2">COUNTIF(N4:N105, "F") &amp; "F"</f>
        <v>54F</v>
      </c>
      <c r="O107" s="29" t="str">
        <f t="shared" si="2"/>
        <v>0F</v>
      </c>
      <c r="P107" s="29" t="str">
        <f t="shared" si="2"/>
        <v>54F</v>
      </c>
    </row>
    <row r="108">
      <c r="D108" s="29" t="str">
        <f>COUNTIF(E4:E105, "f") &amp; "f"</f>
        <v>51f</v>
      </c>
      <c r="L108" s="29" t="str">
        <f>COUNTIF(L4:L105, "f") &amp; "f"</f>
        <v>49f</v>
      </c>
      <c r="N108" s="29" t="str">
        <f>COUNTIF(N4:N106, "N/A") &amp; "N/A"</f>
        <v>4N/A</v>
      </c>
      <c r="O108" s="29" t="str">
        <f t="shared" ref="O108:P108" si="3">COUNTIF(O4:O105, "N/A") &amp; "N/A"</f>
        <v>2N/A</v>
      </c>
      <c r="P108" s="29" t="str">
        <f t="shared" si="3"/>
        <v>4N/A</v>
      </c>
    </row>
    <row r="109">
      <c r="A109" s="50" t="s">
        <v>568</v>
      </c>
      <c r="L109" s="23" t="s">
        <v>569</v>
      </c>
    </row>
    <row r="112">
      <c r="O112" s="40" t="s">
        <v>446</v>
      </c>
      <c r="P112" s="41"/>
      <c r="Q112" s="40" t="s">
        <v>447</v>
      </c>
      <c r="R112" s="41"/>
    </row>
    <row r="113">
      <c r="J113" s="29" t="str">
        <f>IFERROR(__xludf.DUMMYFUNCTION("FILTER(H4:H105, I4:I105 = ""m"")"),"oblikovalec")</f>
        <v>oblikovalec</v>
      </c>
      <c r="L113" s="29" t="str">
        <f>IFERROR(__xludf.DUMMYFUNCTION("FILTER(H4:H105, I4:I105 = ""f"")"),"hišna pomočnica")</f>
        <v>hišna pomočnica</v>
      </c>
      <c r="O113" s="42" t="str">
        <f>IFERROR(__xludf.DUMMYFUNCTION("UNIQUE(J113:J192)"),"oblikovalec")</f>
        <v>oblikovalec</v>
      </c>
      <c r="P113" s="43">
        <f t="shared" ref="P113:P148" si="4">COUNTIF(J113:J184, O113)</f>
        <v>1</v>
      </c>
      <c r="Q113" s="48" t="str">
        <f>IFERROR(__xludf.DUMMYFUNCTION("UNIQUE(L113:L142)"),"hišna pomočnica")</f>
        <v>hišna pomočnica</v>
      </c>
      <c r="R113" s="43">
        <f t="shared" ref="R113:R122" si="5">COUNTIF(L113:L142, Q113)</f>
        <v>1</v>
      </c>
    </row>
    <row r="114">
      <c r="J114" s="29" t="str">
        <f>IFERROR(__xludf.DUMMYFUNCTION("""COMPUTED_VALUE"""),"razvijalec")</f>
        <v>razvijalec</v>
      </c>
      <c r="L114" s="29" t="str">
        <f>IFERROR(__xludf.DUMMYFUNCTION("""COMPUTED_VALUE"""),"gospodinja")</f>
        <v>gospodinja</v>
      </c>
      <c r="O114" s="42" t="str">
        <f>IFERROR(__xludf.DUMMYFUNCTION("""COMPUTED_VALUE"""),"razvijalec")</f>
        <v>razvijalec</v>
      </c>
      <c r="P114" s="43">
        <f t="shared" si="4"/>
        <v>6</v>
      </c>
      <c r="Q114" s="48" t="str">
        <f>IFERROR(__xludf.DUMMYFUNCTION("""COMPUTED_VALUE"""),"gospodinja")</f>
        <v>gospodinja</v>
      </c>
      <c r="R114" s="43">
        <f t="shared" si="5"/>
        <v>1</v>
      </c>
    </row>
    <row r="115">
      <c r="J115" s="29" t="str">
        <f>IFERROR(__xludf.DUMMYFUNCTION("""COMPUTED_VALUE"""),"mehanik")</f>
        <v>mehanik</v>
      </c>
      <c r="L115" s="29" t="str">
        <f>IFERROR(__xludf.DUMMYFUNCTION("""COMPUTED_VALUE"""),"frizerka")</f>
        <v>frizerka</v>
      </c>
      <c r="O115" s="42" t="str">
        <f>IFERROR(__xludf.DUMMYFUNCTION("""COMPUTED_VALUE"""),"mehanik")</f>
        <v>mehanik</v>
      </c>
      <c r="P115" s="43">
        <f t="shared" si="4"/>
        <v>4</v>
      </c>
      <c r="Q115" s="48" t="str">
        <f>IFERROR(__xludf.DUMMYFUNCTION("""COMPUTED_VALUE"""),"frizerka")</f>
        <v>frizerka</v>
      </c>
      <c r="R115" s="43">
        <f t="shared" si="5"/>
        <v>5</v>
      </c>
    </row>
    <row r="116">
      <c r="J116" s="29" t="str">
        <f>IFERROR(__xludf.DUMMYFUNCTION("""COMPUTED_VALUE"""),"uradnik")</f>
        <v>uradnik</v>
      </c>
      <c r="L116" s="29" t="str">
        <f>IFERROR(__xludf.DUMMYFUNCTION("""COMPUTED_VALUE"""),"frizerka")</f>
        <v>frizerka</v>
      </c>
      <c r="O116" s="42" t="str">
        <f>IFERROR(__xludf.DUMMYFUNCTION("""COMPUTED_VALUE"""),"uradnik")</f>
        <v>uradnik</v>
      </c>
      <c r="P116" s="43">
        <f t="shared" si="4"/>
        <v>3</v>
      </c>
      <c r="Q116" s="48" t="str">
        <f>IFERROR(__xludf.DUMMYFUNCTION("""COMPUTED_VALUE"""),"recepcionarka")</f>
        <v>recepcionarka</v>
      </c>
      <c r="R116" s="43">
        <f t="shared" si="5"/>
        <v>4</v>
      </c>
    </row>
    <row r="117">
      <c r="J117" s="29" t="str">
        <f>IFERROR(__xludf.DUMMYFUNCTION("""COMPUTED_VALUE"""),"selilec")</f>
        <v>selilec</v>
      </c>
      <c r="L117" s="29" t="str">
        <f>IFERROR(__xludf.DUMMYFUNCTION("""COMPUTED_VALUE"""),"frizerka")</f>
        <v>frizerka</v>
      </c>
      <c r="O117" s="42" t="str">
        <f>IFERROR(__xludf.DUMMYFUNCTION("""COMPUTED_VALUE"""),"selilec")</f>
        <v>selilec</v>
      </c>
      <c r="P117" s="43">
        <f t="shared" si="4"/>
        <v>3</v>
      </c>
      <c r="Q117" s="48" t="str">
        <f>IFERROR(__xludf.DUMMYFUNCTION("""COMPUTED_VALUE"""),"oblikovalka")</f>
        <v>oblikovalka</v>
      </c>
      <c r="R117" s="43">
        <f t="shared" si="5"/>
        <v>5</v>
      </c>
    </row>
    <row r="118">
      <c r="J118" s="29" t="str">
        <f>IFERROR(__xludf.DUMMYFUNCTION("""COMPUTED_VALUE"""),"poglavar")</f>
        <v>poglavar</v>
      </c>
      <c r="L118" s="29" t="str">
        <f>IFERROR(__xludf.DUMMYFUNCTION("""COMPUTED_VALUE"""),"recepcionarka")</f>
        <v>recepcionarka</v>
      </c>
      <c r="O118" s="42" t="str">
        <f>IFERROR(__xludf.DUMMYFUNCTION("""COMPUTED_VALUE"""),"poglavar")</f>
        <v>poglavar</v>
      </c>
      <c r="P118" s="43">
        <f t="shared" si="4"/>
        <v>1</v>
      </c>
      <c r="Q118" s="48" t="str">
        <f>IFERROR(__xludf.DUMMYFUNCTION("""COMPUTED_VALUE"""),"tajnica")</f>
        <v>tajnica</v>
      </c>
      <c r="R118" s="43">
        <f t="shared" si="5"/>
        <v>3</v>
      </c>
    </row>
    <row r="119">
      <c r="J119" s="29" t="str">
        <f>IFERROR(__xludf.DUMMYFUNCTION("""COMPUTED_VALUE"""),"odvetnik")</f>
        <v>odvetnik</v>
      </c>
      <c r="L119" s="29" t="str">
        <f>IFERROR(__xludf.DUMMYFUNCTION("""COMPUTED_VALUE"""),"oblikovalka")</f>
        <v>oblikovalka</v>
      </c>
      <c r="O119" s="42" t="str">
        <f>IFERROR(__xludf.DUMMYFUNCTION("""COMPUTED_VALUE"""),"odvetnik")</f>
        <v>odvetnik</v>
      </c>
      <c r="P119" s="43">
        <f t="shared" si="4"/>
        <v>2</v>
      </c>
      <c r="Q119" s="48" t="str">
        <f>IFERROR(__xludf.DUMMYFUNCTION("""COMPUTED_VALUE"""),"knjižnica")</f>
        <v>knjižnica</v>
      </c>
      <c r="R119" s="43">
        <f t="shared" si="5"/>
        <v>1</v>
      </c>
    </row>
    <row r="120">
      <c r="J120" s="29" t="str">
        <f>IFERROR(__xludf.DUMMYFUNCTION("""COMPUTED_VALUE"""),"kuhar")</f>
        <v>kuhar</v>
      </c>
      <c r="L120" s="29" t="str">
        <f>IFERROR(__xludf.DUMMYFUNCTION("""COMPUTED_VALUE"""),"tajnica")</f>
        <v>tajnica</v>
      </c>
      <c r="O120" s="42" t="str">
        <f>IFERROR(__xludf.DUMMYFUNCTION("""COMPUTED_VALUE"""),"kuhar")</f>
        <v>kuhar</v>
      </c>
      <c r="P120" s="43">
        <f t="shared" si="4"/>
        <v>3</v>
      </c>
      <c r="Q120" s="48" t="str">
        <f>IFERROR(__xludf.DUMMYFUNCTION("""COMPUTED_VALUE"""),"pomočnica")</f>
        <v>pomočnica</v>
      </c>
      <c r="R120" s="43">
        <f t="shared" si="5"/>
        <v>1</v>
      </c>
    </row>
    <row r="121">
      <c r="J121" s="29" t="str">
        <f>IFERROR(__xludf.DUMMYFUNCTION("""COMPUTED_VALUE"""),"razvijalec")</f>
        <v>razvijalec</v>
      </c>
      <c r="L121" s="29" t="str">
        <f>IFERROR(__xludf.DUMMYFUNCTION("""COMPUTED_VALUE"""),"frizerka")</f>
        <v>frizerka</v>
      </c>
      <c r="O121" s="42" t="str">
        <f>IFERROR(__xludf.DUMMYFUNCTION("""COMPUTED_VALUE"""),"frizer")</f>
        <v>frizer</v>
      </c>
      <c r="P121" s="43">
        <f t="shared" si="4"/>
        <v>2</v>
      </c>
      <c r="Q121" s="48" t="str">
        <f>IFERROR(__xludf.DUMMYFUNCTION("""COMPUTED_VALUE"""),"medicinska sestra")</f>
        <v>medicinska sestra</v>
      </c>
      <c r="R121" s="43">
        <f t="shared" si="5"/>
        <v>1</v>
      </c>
    </row>
    <row r="122">
      <c r="J122" s="29" t="str">
        <f>IFERROR(__xludf.DUMMYFUNCTION("""COMPUTED_VALUE"""),"frizer")</f>
        <v>frizer</v>
      </c>
      <c r="L122" s="29" t="str">
        <f>IFERROR(__xludf.DUMMYFUNCTION("""COMPUTED_VALUE"""),"knjižnica")</f>
        <v>knjižnica</v>
      </c>
      <c r="O122" s="42" t="str">
        <f>IFERROR(__xludf.DUMMYFUNCTION("""COMPUTED_VALUE"""),"vodja")</f>
        <v>vodja</v>
      </c>
      <c r="P122" s="43">
        <f t="shared" si="4"/>
        <v>1</v>
      </c>
      <c r="Q122" s="48" t="str">
        <f>IFERROR(__xludf.DUMMYFUNCTION("""COMPUTED_VALUE"""),"svetovalka")</f>
        <v>svetovalka</v>
      </c>
      <c r="R122" s="43">
        <f t="shared" si="5"/>
        <v>1</v>
      </c>
    </row>
    <row r="123">
      <c r="J123" s="29" t="str">
        <f>IFERROR(__xludf.DUMMYFUNCTION("""COMPUTED_VALUE"""),"vodja")</f>
        <v>vodja</v>
      </c>
      <c r="L123" s="29" t="str">
        <f>IFERROR(__xludf.DUMMYFUNCTION("""COMPUTED_VALUE"""),"recepcionarka")</f>
        <v>recepcionarka</v>
      </c>
      <c r="O123" s="42" t="str">
        <f>IFERROR(__xludf.DUMMYFUNCTION("""COMPUTED_VALUE"""),"analitik")</f>
        <v>analitik</v>
      </c>
      <c r="P123" s="43">
        <f t="shared" si="4"/>
        <v>2</v>
      </c>
      <c r="Q123" s="51"/>
      <c r="R123" s="45"/>
    </row>
    <row r="124">
      <c r="J124" s="29" t="str">
        <f>IFERROR(__xludf.DUMMYFUNCTION("""COMPUTED_VALUE"""),"analitik")</f>
        <v>analitik</v>
      </c>
      <c r="L124" s="29" t="str">
        <f>IFERROR(__xludf.DUMMYFUNCTION("""COMPUTED_VALUE"""),"pomočnica")</f>
        <v>pomočnica</v>
      </c>
      <c r="O124" s="42" t="str">
        <f>IFERROR(__xludf.DUMMYFUNCTION("""COMPUTED_VALUE"""),"računovodja")</f>
        <v>računovodja</v>
      </c>
      <c r="P124" s="43">
        <f t="shared" si="4"/>
        <v>1</v>
      </c>
    </row>
    <row r="125">
      <c r="J125" s="29" t="str">
        <f>IFERROR(__xludf.DUMMYFUNCTION("""COMPUTED_VALUE"""),"računovodja")</f>
        <v>računovodja</v>
      </c>
      <c r="L125" s="29" t="str">
        <f>IFERROR(__xludf.DUMMYFUNCTION("""COMPUTED_VALUE"""),"tajnica")</f>
        <v>tajnica</v>
      </c>
      <c r="O125" s="42" t="str">
        <f>IFERROR(__xludf.DUMMYFUNCTION("""COMPUTED_VALUE"""),"nadzornik")</f>
        <v>nadzornik</v>
      </c>
      <c r="P125" s="43">
        <f t="shared" si="4"/>
        <v>1</v>
      </c>
    </row>
    <row r="126">
      <c r="J126" s="29" t="str">
        <f>IFERROR(__xludf.DUMMYFUNCTION("""COMPUTED_VALUE"""),"nadzornik")</f>
        <v>nadzornik</v>
      </c>
      <c r="L126" s="29" t="str">
        <f>IFERROR(__xludf.DUMMYFUNCTION("""COMPUTED_VALUE"""),"oblikovalka")</f>
        <v>oblikovalka</v>
      </c>
      <c r="O126" s="42" t="str">
        <f>IFERROR(__xludf.DUMMYFUNCTION("""COMPUTED_VALUE"""),"kmet")</f>
        <v>kmet</v>
      </c>
      <c r="P126" s="43">
        <f t="shared" si="4"/>
        <v>4</v>
      </c>
    </row>
    <row r="127">
      <c r="J127" s="29" t="str">
        <f>IFERROR(__xludf.DUMMYFUNCTION("""COMPUTED_VALUE"""),"kmet")</f>
        <v>kmet</v>
      </c>
      <c r="L127" s="29" t="str">
        <f>IFERROR(__xludf.DUMMYFUNCTION("""COMPUTED_VALUE"""),"oblikovalka")</f>
        <v>oblikovalka</v>
      </c>
      <c r="O127" s="42" t="str">
        <f>IFERROR(__xludf.DUMMYFUNCTION("""COMPUTED_VALUE"""),"krojač")</f>
        <v>krojač</v>
      </c>
      <c r="P127" s="43">
        <f t="shared" si="4"/>
        <v>3</v>
      </c>
    </row>
    <row r="128">
      <c r="J128" s="29" t="str">
        <f>IFERROR(__xludf.DUMMYFUNCTION("""COMPUTED_VALUE"""),"razvijalec")</f>
        <v>razvijalec</v>
      </c>
      <c r="L128" s="29" t="str">
        <f>IFERROR(__xludf.DUMMYFUNCTION("""COMPUTED_VALUE"""),"frizerka")</f>
        <v>frizerka</v>
      </c>
      <c r="O128" s="42" t="str">
        <f>IFERROR(__xludf.DUMMYFUNCTION("""COMPUTED_VALUE"""),"kasir")</f>
        <v>kasir</v>
      </c>
      <c r="P128" s="43">
        <f t="shared" si="4"/>
        <v>1</v>
      </c>
    </row>
    <row r="129">
      <c r="J129" s="29" t="str">
        <f>IFERROR(__xludf.DUMMYFUNCTION("""COMPUTED_VALUE"""),"krojač")</f>
        <v>krojač</v>
      </c>
      <c r="L129" s="29" t="str">
        <f>IFERROR(__xludf.DUMMYFUNCTION("""COMPUTED_VALUE"""),"recepcionarka")</f>
        <v>recepcionarka</v>
      </c>
      <c r="O129" s="42" t="str">
        <f>IFERROR(__xludf.DUMMYFUNCTION("""COMPUTED_VALUE"""),"voznik")</f>
        <v>voznik</v>
      </c>
      <c r="P129" s="43">
        <f t="shared" si="4"/>
        <v>2</v>
      </c>
    </row>
    <row r="130">
      <c r="J130" s="29" t="str">
        <f>IFERROR(__xludf.DUMMYFUNCTION("""COMPUTED_VALUE"""),"selilec")</f>
        <v>selilec</v>
      </c>
      <c r="L130" s="29" t="str">
        <f>IFERROR(__xludf.DUMMYFUNCTION("""COMPUTED_VALUE"""),"medicinska sestra")</f>
        <v>medicinska sestra</v>
      </c>
      <c r="O130" s="42" t="str">
        <f>IFERROR(__xludf.DUMMYFUNCTION("""COMPUTED_VALUE"""),"prodajalec")</f>
        <v>prodajalec</v>
      </c>
      <c r="P130" s="43">
        <f t="shared" si="4"/>
        <v>4</v>
      </c>
    </row>
    <row r="131">
      <c r="J131" s="29" t="str">
        <f>IFERROR(__xludf.DUMMYFUNCTION("""COMPUTED_VALUE"""),"kmet")</f>
        <v>kmet</v>
      </c>
      <c r="L131" s="29" t="str">
        <f>IFERROR(__xludf.DUMMYFUNCTION("""COMPUTED_VALUE"""),"svetovalka")</f>
        <v>svetovalka</v>
      </c>
      <c r="O131" s="42" t="str">
        <f>IFERROR(__xludf.DUMMYFUNCTION("""COMPUTED_VALUE"""),"generalni direktor")</f>
        <v>generalni direktor</v>
      </c>
      <c r="P131" s="43">
        <f t="shared" si="4"/>
        <v>1</v>
      </c>
    </row>
    <row r="132">
      <c r="J132" s="29" t="str">
        <f>IFERROR(__xludf.DUMMYFUNCTION("""COMPUTED_VALUE"""),"razvijalec")</f>
        <v>razvijalec</v>
      </c>
      <c r="L132" s="29" t="str">
        <f>IFERROR(__xludf.DUMMYFUNCTION("""COMPUTED_VALUE"""),"tajnica")</f>
        <v>tajnica</v>
      </c>
      <c r="O132" s="42" t="str">
        <f>IFERROR(__xludf.DUMMYFUNCTION("""COMPUTED_VALUE"""),"varnostnik")</f>
        <v>varnostnik</v>
      </c>
      <c r="P132" s="43">
        <f t="shared" si="4"/>
        <v>2</v>
      </c>
    </row>
    <row r="133">
      <c r="J133" s="29" t="str">
        <f>IFERROR(__xludf.DUMMYFUNCTION("""COMPUTED_VALUE"""),"kasir")</f>
        <v>kasir</v>
      </c>
      <c r="L133" s="29" t="str">
        <f>IFERROR(__xludf.DUMMYFUNCTION("""COMPUTED_VALUE"""),"oblikovalka")</f>
        <v>oblikovalka</v>
      </c>
      <c r="O133" s="42" t="str">
        <f>IFERROR(__xludf.DUMMYFUNCTION("""COMPUTED_VALUE"""),"urednik")</f>
        <v>urednik</v>
      </c>
      <c r="P133" s="43">
        <f t="shared" si="4"/>
        <v>3</v>
      </c>
    </row>
    <row r="134">
      <c r="J134" s="29" t="str">
        <f>IFERROR(__xludf.DUMMYFUNCTION("""COMPUTED_VALUE"""),"voznik")</f>
        <v>voznik</v>
      </c>
      <c r="L134" s="29" t="str">
        <f>IFERROR(__xludf.DUMMYFUNCTION("""COMPUTED_VALUE"""),"oblikovalka")</f>
        <v>oblikovalka</v>
      </c>
      <c r="O134" s="42" t="str">
        <f>IFERROR(__xludf.DUMMYFUNCTION("""COMPUTED_VALUE"""),"revizor")</f>
        <v>revizor</v>
      </c>
      <c r="P134" s="43">
        <f t="shared" si="4"/>
        <v>2</v>
      </c>
    </row>
    <row r="135">
      <c r="J135" s="29" t="str">
        <f>IFERROR(__xludf.DUMMYFUNCTION("""COMPUTED_VALUE"""),"uradnik")</f>
        <v>uradnik</v>
      </c>
      <c r="L135" s="29" t="str">
        <f>IFERROR(__xludf.DUMMYFUNCTION("""COMPUTED_VALUE"""),"recepcionarka")</f>
        <v>recepcionarka</v>
      </c>
      <c r="O135" s="42" t="str">
        <f>IFERROR(__xludf.DUMMYFUNCTION("""COMPUTED_VALUE"""),"stražar")</f>
        <v>stražar</v>
      </c>
      <c r="P135" s="43">
        <f t="shared" si="4"/>
        <v>1</v>
      </c>
    </row>
    <row r="136">
      <c r="J136" s="29" t="str">
        <f>IFERROR(__xludf.DUMMYFUNCTION("""COMPUTED_VALUE"""),"prodajalec")</f>
        <v>prodajalec</v>
      </c>
      <c r="O136" s="42" t="str">
        <f>IFERROR(__xludf.DUMMYFUNCTION("""COMPUTED_VALUE"""),"čistilec")</f>
        <v>čistilec</v>
      </c>
      <c r="P136" s="43">
        <f t="shared" si="4"/>
        <v>4</v>
      </c>
    </row>
    <row r="137">
      <c r="J137" s="29" t="str">
        <f>IFERROR(__xludf.DUMMYFUNCTION("""COMPUTED_VALUE"""),"generalni direktor")</f>
        <v>generalni direktor</v>
      </c>
      <c r="O137" s="42" t="str">
        <f>IFERROR(__xludf.DUMMYFUNCTION("""COMPUTED_VALUE"""),"upravitelj")</f>
        <v>upravitelj</v>
      </c>
      <c r="P137" s="43">
        <f t="shared" si="4"/>
        <v>2</v>
      </c>
    </row>
    <row r="138">
      <c r="J138" s="29" t="str">
        <f>IFERROR(__xludf.DUMMYFUNCTION("""COMPUTED_VALUE"""),"varnostnik")</f>
        <v>varnostnik</v>
      </c>
      <c r="O138" s="42" t="str">
        <f>IFERROR(__xludf.DUMMYFUNCTION("""COMPUTED_VALUE"""),"pekar")</f>
        <v>pekar</v>
      </c>
      <c r="P138" s="43">
        <f t="shared" si="4"/>
        <v>2</v>
      </c>
    </row>
    <row r="139">
      <c r="J139" s="29" t="str">
        <f>IFERROR(__xludf.DUMMYFUNCTION("""COMPUTED_VALUE"""),"urednik")</f>
        <v>urednik</v>
      </c>
      <c r="O139" s="42" t="str">
        <f>IFERROR(__xludf.DUMMYFUNCTION("""COMPUTED_VALUE"""),"zdravnik")</f>
        <v>zdravnik</v>
      </c>
      <c r="P139" s="43">
        <f t="shared" si="4"/>
        <v>3</v>
      </c>
    </row>
    <row r="140">
      <c r="J140" s="29" t="str">
        <f>IFERROR(__xludf.DUMMYFUNCTION("""COMPUTED_VALUE"""),"prodajalec")</f>
        <v>prodajalec</v>
      </c>
      <c r="O140" s="42" t="str">
        <f>IFERROR(__xludf.DUMMYFUNCTION("""COMPUTED_VALUE"""),"delavec")</f>
        <v>delavec</v>
      </c>
      <c r="P140" s="43">
        <f t="shared" si="4"/>
        <v>2</v>
      </c>
    </row>
    <row r="141">
      <c r="J141" s="29" t="str">
        <f>IFERROR(__xludf.DUMMYFUNCTION("""COMPUTED_VALUE"""),"revizor")</f>
        <v>revizor</v>
      </c>
      <c r="O141" s="42" t="str">
        <f>IFERROR(__xludf.DUMMYFUNCTION("""COMPUTED_VALUE"""),"poštar")</f>
        <v>poštar</v>
      </c>
      <c r="P141" s="43">
        <f t="shared" si="4"/>
        <v>1</v>
      </c>
    </row>
    <row r="142">
      <c r="J142" s="29" t="str">
        <f>IFERROR(__xludf.DUMMYFUNCTION("""COMPUTED_VALUE"""),"stražar")</f>
        <v>stražar</v>
      </c>
      <c r="O142" s="42" t="str">
        <f>IFERROR(__xludf.DUMMYFUNCTION("""COMPUTED_VALUE"""),"pomočnik")</f>
        <v>pomočnik</v>
      </c>
      <c r="P142" s="43">
        <f t="shared" si="4"/>
        <v>1</v>
      </c>
    </row>
    <row r="143">
      <c r="J143" s="29" t="str">
        <f>IFERROR(__xludf.DUMMYFUNCTION("""COMPUTED_VALUE"""),"selilec")</f>
        <v>selilec</v>
      </c>
      <c r="O143" s="42" t="str">
        <f>IFERROR(__xludf.DUMMYFUNCTION("""COMPUTED_VALUE"""),"pisatelj")</f>
        <v>pisatelj</v>
      </c>
      <c r="P143" s="43">
        <f t="shared" si="4"/>
        <v>2</v>
      </c>
    </row>
    <row r="144">
      <c r="J144" s="29" t="str">
        <f>IFERROR(__xludf.DUMMYFUNCTION("""COMPUTED_VALUE"""),"prodajalec")</f>
        <v>prodajalec</v>
      </c>
      <c r="O144" s="42" t="str">
        <f>IFERROR(__xludf.DUMMYFUNCTION("""COMPUTED_VALUE"""),"upravnik")</f>
        <v>upravnik</v>
      </c>
      <c r="P144" s="43">
        <f t="shared" si="4"/>
        <v>1</v>
      </c>
    </row>
    <row r="145">
      <c r="J145" s="29" t="str">
        <f>IFERROR(__xludf.DUMMYFUNCTION("""COMPUTED_VALUE"""),"čistilec")</f>
        <v>čistilec</v>
      </c>
      <c r="O145" s="42" t="str">
        <f>IFERROR(__xludf.DUMMYFUNCTION("""COMPUTED_VALUE"""),"gradbeni delavec")</f>
        <v>gradbeni delavec</v>
      </c>
      <c r="P145" s="43">
        <f t="shared" si="4"/>
        <v>2</v>
      </c>
    </row>
    <row r="146">
      <c r="J146" s="29" t="str">
        <f>IFERROR(__xludf.DUMMYFUNCTION("""COMPUTED_VALUE"""),"kmet")</f>
        <v>kmet</v>
      </c>
      <c r="O146" s="42" t="str">
        <f>IFERROR(__xludf.DUMMYFUNCTION("""COMPUTED_VALUE"""),"tesar")</f>
        <v>tesar</v>
      </c>
      <c r="P146" s="43">
        <f t="shared" si="4"/>
        <v>2</v>
      </c>
    </row>
    <row r="147">
      <c r="J147" s="29" t="str">
        <f>IFERROR(__xludf.DUMMYFUNCTION("""COMPUTED_VALUE"""),"mehanik")</f>
        <v>mehanik</v>
      </c>
      <c r="O147" s="42" t="str">
        <f>IFERROR(__xludf.DUMMYFUNCTION("""COMPUTED_VALUE"""),"poročevalec")</f>
        <v>poročevalec</v>
      </c>
      <c r="P147" s="43">
        <f t="shared" si="4"/>
        <v>1</v>
      </c>
    </row>
    <row r="148">
      <c r="J148" s="29" t="str">
        <f>IFERROR(__xludf.DUMMYFUNCTION("""COMPUTED_VALUE"""),"revizor")</f>
        <v>revizor</v>
      </c>
      <c r="O148" s="44" t="str">
        <f>IFERROR(__xludf.DUMMYFUNCTION("""COMPUTED_VALUE"""),"hišnik")</f>
        <v>hišnik</v>
      </c>
      <c r="P148" s="45">
        <f t="shared" si="4"/>
        <v>1</v>
      </c>
    </row>
    <row r="149">
      <c r="J149" s="29" t="str">
        <f>IFERROR(__xludf.DUMMYFUNCTION("""COMPUTED_VALUE"""),"upravitelj")</f>
        <v>upravitelj</v>
      </c>
      <c r="O149" s="29"/>
    </row>
    <row r="150">
      <c r="J150" s="29" t="str">
        <f>IFERROR(__xludf.DUMMYFUNCTION("""COMPUTED_VALUE"""),"pekar")</f>
        <v>pekar</v>
      </c>
    </row>
    <row r="151">
      <c r="J151" s="29" t="str">
        <f>IFERROR(__xludf.DUMMYFUNCTION("""COMPUTED_VALUE"""),"zdravnik")</f>
        <v>zdravnik</v>
      </c>
    </row>
    <row r="152">
      <c r="J152" s="29" t="str">
        <f>IFERROR(__xludf.DUMMYFUNCTION("""COMPUTED_VALUE"""),"delavec")</f>
        <v>delavec</v>
      </c>
    </row>
    <row r="153">
      <c r="J153" s="29" t="str">
        <f>IFERROR(__xludf.DUMMYFUNCTION("""COMPUTED_VALUE"""),"frizer")</f>
        <v>frizer</v>
      </c>
    </row>
    <row r="154">
      <c r="J154" s="29" t="str">
        <f>IFERROR(__xludf.DUMMYFUNCTION("""COMPUTED_VALUE"""),"zdravnik")</f>
        <v>zdravnik</v>
      </c>
    </row>
    <row r="155">
      <c r="J155" s="29" t="str">
        <f>IFERROR(__xludf.DUMMYFUNCTION("""COMPUTED_VALUE"""),"poštar")</f>
        <v>poštar</v>
      </c>
    </row>
    <row r="156">
      <c r="J156" s="29" t="str">
        <f>IFERROR(__xludf.DUMMYFUNCTION("""COMPUTED_VALUE"""),"voznik")</f>
        <v>voznik</v>
      </c>
    </row>
    <row r="157">
      <c r="J157" s="29" t="str">
        <f>IFERROR(__xludf.DUMMYFUNCTION("""COMPUTED_VALUE"""),"razvijalec")</f>
        <v>razvijalec</v>
      </c>
    </row>
    <row r="158">
      <c r="J158" s="29" t="str">
        <f>IFERROR(__xludf.DUMMYFUNCTION("""COMPUTED_VALUE"""),"krojač")</f>
        <v>krojač</v>
      </c>
    </row>
    <row r="159">
      <c r="J159" s="29" t="str">
        <f>IFERROR(__xludf.DUMMYFUNCTION("""COMPUTED_VALUE"""),"kmet")</f>
        <v>kmet</v>
      </c>
    </row>
    <row r="160">
      <c r="J160" s="29" t="str">
        <f>IFERROR(__xludf.DUMMYFUNCTION("""COMPUTED_VALUE"""),"krojač")</f>
        <v>krojač</v>
      </c>
    </row>
    <row r="161">
      <c r="J161" s="29" t="str">
        <f>IFERROR(__xludf.DUMMYFUNCTION("""COMPUTED_VALUE"""),"mehanik")</f>
        <v>mehanik</v>
      </c>
    </row>
    <row r="162">
      <c r="J162" s="29" t="str">
        <f>IFERROR(__xludf.DUMMYFUNCTION("""COMPUTED_VALUE"""),"urednik")</f>
        <v>urednik</v>
      </c>
    </row>
    <row r="163">
      <c r="J163" s="29" t="str">
        <f>IFERROR(__xludf.DUMMYFUNCTION("""COMPUTED_VALUE"""),"odvetnik")</f>
        <v>odvetnik</v>
      </c>
    </row>
    <row r="164">
      <c r="J164" s="29" t="str">
        <f>IFERROR(__xludf.DUMMYFUNCTION("""COMPUTED_VALUE"""),"upravitelj")</f>
        <v>upravitelj</v>
      </c>
    </row>
    <row r="165">
      <c r="J165" s="29" t="str">
        <f>IFERROR(__xludf.DUMMYFUNCTION("""COMPUTED_VALUE"""),"čistilec")</f>
        <v>čistilec</v>
      </c>
    </row>
    <row r="166">
      <c r="J166" s="29" t="str">
        <f>IFERROR(__xludf.DUMMYFUNCTION("""COMPUTED_VALUE"""),"čistilec")</f>
        <v>čistilec</v>
      </c>
    </row>
    <row r="167">
      <c r="J167" s="29" t="str">
        <f>IFERROR(__xludf.DUMMYFUNCTION("""COMPUTED_VALUE"""),"razvijalec")</f>
        <v>razvijalec</v>
      </c>
    </row>
    <row r="168">
      <c r="J168" s="29" t="str">
        <f>IFERROR(__xludf.DUMMYFUNCTION("""COMPUTED_VALUE"""),"mehanik")</f>
        <v>mehanik</v>
      </c>
    </row>
    <row r="169">
      <c r="J169" s="29" t="str">
        <f>IFERROR(__xludf.DUMMYFUNCTION("""COMPUTED_VALUE"""),"pomočnik")</f>
        <v>pomočnik</v>
      </c>
    </row>
    <row r="170">
      <c r="J170" s="29" t="str">
        <f>IFERROR(__xludf.DUMMYFUNCTION("""COMPUTED_VALUE"""),"pisatelj")</f>
        <v>pisatelj</v>
      </c>
    </row>
    <row r="171">
      <c r="J171" s="29" t="str">
        <f>IFERROR(__xludf.DUMMYFUNCTION("""COMPUTED_VALUE"""),"upravnik")</f>
        <v>upravnik</v>
      </c>
    </row>
    <row r="172">
      <c r="J172" s="29" t="str">
        <f>IFERROR(__xludf.DUMMYFUNCTION("""COMPUTED_VALUE"""),"zdravnik")</f>
        <v>zdravnik</v>
      </c>
    </row>
    <row r="173">
      <c r="J173" s="29" t="str">
        <f>IFERROR(__xludf.DUMMYFUNCTION("""COMPUTED_VALUE"""),"gradbeni delavec")</f>
        <v>gradbeni delavec</v>
      </c>
    </row>
    <row r="174">
      <c r="J174" s="29" t="str">
        <f>IFERROR(__xludf.DUMMYFUNCTION("""COMPUTED_VALUE"""),"urednik")</f>
        <v>urednik</v>
      </c>
    </row>
    <row r="175">
      <c r="J175" s="29" t="str">
        <f>IFERROR(__xludf.DUMMYFUNCTION("""COMPUTED_VALUE"""),"gradbeni delavec")</f>
        <v>gradbeni delavec</v>
      </c>
    </row>
    <row r="176">
      <c r="J176" s="29" t="str">
        <f>IFERROR(__xludf.DUMMYFUNCTION("""COMPUTED_VALUE"""),"analitik")</f>
        <v>analitik</v>
      </c>
    </row>
    <row r="177">
      <c r="J177" s="29" t="str">
        <f>IFERROR(__xludf.DUMMYFUNCTION("""COMPUTED_VALUE"""),"tesar")</f>
        <v>tesar</v>
      </c>
    </row>
    <row r="178">
      <c r="J178" s="29" t="str">
        <f>IFERROR(__xludf.DUMMYFUNCTION("""COMPUTED_VALUE"""),"prodajalec")</f>
        <v>prodajalec</v>
      </c>
    </row>
    <row r="179">
      <c r="J179" s="29" t="str">
        <f>IFERROR(__xludf.DUMMYFUNCTION("""COMPUTED_VALUE"""),"pisatelj")</f>
        <v>pisatelj</v>
      </c>
    </row>
    <row r="180">
      <c r="J180" s="29" t="str">
        <f>IFERROR(__xludf.DUMMYFUNCTION("""COMPUTED_VALUE"""),"pekar")</f>
        <v>pekar</v>
      </c>
    </row>
    <row r="181">
      <c r="J181" s="29" t="str">
        <f>IFERROR(__xludf.DUMMYFUNCTION("""COMPUTED_VALUE"""),"kuhar")</f>
        <v>kuhar</v>
      </c>
    </row>
    <row r="182">
      <c r="J182" s="29" t="str">
        <f>IFERROR(__xludf.DUMMYFUNCTION("""COMPUTED_VALUE"""),"tesar")</f>
        <v>tesar</v>
      </c>
    </row>
    <row r="183">
      <c r="J183" s="29" t="str">
        <f>IFERROR(__xludf.DUMMYFUNCTION("""COMPUTED_VALUE"""),"uradnik")</f>
        <v>uradnik</v>
      </c>
    </row>
    <row r="184">
      <c r="J184" s="29" t="str">
        <f>IFERROR(__xludf.DUMMYFUNCTION("""COMPUTED_VALUE"""),"kuhar")</f>
        <v>kuhar</v>
      </c>
    </row>
    <row r="185">
      <c r="J185" s="29" t="str">
        <f>IFERROR(__xludf.DUMMYFUNCTION("""COMPUTED_VALUE"""),"oblikovalec")</f>
        <v>oblikovalec</v>
      </c>
    </row>
    <row r="186">
      <c r="J186" s="29" t="str">
        <f>IFERROR(__xludf.DUMMYFUNCTION("""COMPUTED_VALUE"""),"čistilec")</f>
        <v>čistilec</v>
      </c>
    </row>
    <row r="187">
      <c r="J187" s="29" t="str">
        <f>IFERROR(__xludf.DUMMYFUNCTION("""COMPUTED_VALUE"""),"varnostnik")</f>
        <v>varnostnik</v>
      </c>
    </row>
    <row r="188">
      <c r="J188" s="29" t="str">
        <f>IFERROR(__xludf.DUMMYFUNCTION("""COMPUTED_VALUE"""),"delavec")</f>
        <v>delavec</v>
      </c>
    </row>
    <row r="189">
      <c r="J189" s="29" t="str">
        <f>IFERROR(__xludf.DUMMYFUNCTION("""COMPUTED_VALUE"""),"poročevalec")</f>
        <v>poročevalec</v>
      </c>
    </row>
    <row r="190">
      <c r="J190" s="29" t="str">
        <f>IFERROR(__xludf.DUMMYFUNCTION("""COMPUTED_VALUE"""),"hišnik")</f>
        <v>hišnik</v>
      </c>
    </row>
    <row r="191">
      <c r="J191" s="29" t="str">
        <f>IFERROR(__xludf.DUMMYFUNCTION("""COMPUTED_VALUE"""),"mehanik")</f>
        <v>mehanik</v>
      </c>
    </row>
  </sheetData>
  <mergeCells count="8">
    <mergeCell ref="B1:F1"/>
    <mergeCell ref="G1:G3"/>
    <mergeCell ref="H1:M1"/>
    <mergeCell ref="N1:N3"/>
    <mergeCell ref="O1:O3"/>
    <mergeCell ref="P1:P3"/>
    <mergeCell ref="D2:F2"/>
    <mergeCell ref="K2:M2"/>
  </mergeCells>
  <conditionalFormatting sqref="K2:M2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10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38"/>
    <col customWidth="1" min="4" max="4" width="17.13"/>
    <col customWidth="1" min="6" max="6" width="14.0"/>
    <col customWidth="1" min="7" max="7" width="14.63"/>
    <col customWidth="1" min="8" max="8" width="15.5"/>
    <col customWidth="1" min="10" max="10" width="15.63"/>
    <col customWidth="1" min="12" max="12" width="15.75"/>
  </cols>
  <sheetData>
    <row r="1">
      <c r="A1" s="52" t="s">
        <v>570</v>
      </c>
      <c r="B1" s="53"/>
      <c r="C1" s="53"/>
      <c r="D1" s="54"/>
      <c r="F1" s="40" t="s">
        <v>571</v>
      </c>
      <c r="G1" s="55"/>
      <c r="H1" s="55"/>
      <c r="I1" s="41"/>
      <c r="K1" s="56"/>
      <c r="L1" s="33" t="s">
        <v>4</v>
      </c>
      <c r="M1" s="55"/>
      <c r="N1" s="41"/>
      <c r="P1" s="56"/>
      <c r="Q1" s="33" t="s">
        <v>5</v>
      </c>
      <c r="R1" s="55"/>
      <c r="S1" s="41"/>
      <c r="U1" s="56"/>
      <c r="V1" s="33" t="s">
        <v>6</v>
      </c>
      <c r="W1" s="55"/>
      <c r="X1" s="41"/>
    </row>
    <row r="2">
      <c r="A2" s="57"/>
      <c r="B2" s="58" t="s">
        <v>572</v>
      </c>
      <c r="C2" s="58" t="s">
        <v>573</v>
      </c>
      <c r="D2" s="59" t="s">
        <v>574</v>
      </c>
      <c r="F2" s="42"/>
      <c r="G2" s="58" t="s">
        <v>572</v>
      </c>
      <c r="H2" s="58" t="s">
        <v>573</v>
      </c>
      <c r="I2" s="59" t="s">
        <v>574</v>
      </c>
      <c r="K2" s="42"/>
      <c r="L2" s="58" t="s">
        <v>572</v>
      </c>
      <c r="M2" s="58" t="s">
        <v>573</v>
      </c>
      <c r="N2" s="59" t="s">
        <v>574</v>
      </c>
      <c r="P2" s="42"/>
      <c r="Q2" s="58" t="s">
        <v>572</v>
      </c>
      <c r="R2" s="58" t="s">
        <v>573</v>
      </c>
      <c r="S2" s="59" t="s">
        <v>574</v>
      </c>
      <c r="U2" s="42"/>
      <c r="V2" s="58" t="s">
        <v>572</v>
      </c>
      <c r="W2" s="58" t="s">
        <v>573</v>
      </c>
      <c r="X2" s="59" t="s">
        <v>574</v>
      </c>
    </row>
    <row r="3">
      <c r="A3" s="60" t="s">
        <v>26</v>
      </c>
      <c r="B3" s="61">
        <v>78.0</v>
      </c>
      <c r="C3" s="62">
        <v>70.0</v>
      </c>
      <c r="D3" s="63">
        <v>79.0</v>
      </c>
      <c r="F3" s="26" t="s">
        <v>26</v>
      </c>
      <c r="G3" s="23">
        <v>49.0</v>
      </c>
      <c r="H3" s="23">
        <v>53.0</v>
      </c>
      <c r="I3" s="28">
        <v>51.0</v>
      </c>
      <c r="K3" s="26" t="s">
        <v>30</v>
      </c>
      <c r="L3" s="23">
        <v>99.0</v>
      </c>
      <c r="M3" s="23">
        <v>88.0</v>
      </c>
      <c r="N3" s="28">
        <v>44.0</v>
      </c>
      <c r="P3" s="26" t="s">
        <v>30</v>
      </c>
      <c r="Q3" s="23">
        <v>98.0</v>
      </c>
      <c r="R3" s="23">
        <v>96.0</v>
      </c>
      <c r="S3" s="28">
        <v>100.0</v>
      </c>
      <c r="U3" s="26" t="s">
        <v>30</v>
      </c>
      <c r="V3" s="23">
        <v>95.0</v>
      </c>
      <c r="W3" s="23">
        <v>82.0</v>
      </c>
      <c r="X3" s="28">
        <v>44.0</v>
      </c>
    </row>
    <row r="4">
      <c r="A4" s="64" t="s">
        <v>23</v>
      </c>
      <c r="B4" s="65">
        <v>24.0</v>
      </c>
      <c r="C4" s="65">
        <v>32.0</v>
      </c>
      <c r="D4" s="66">
        <v>23.0</v>
      </c>
      <c r="F4" s="26" t="s">
        <v>23</v>
      </c>
      <c r="G4" s="23">
        <v>53.0</v>
      </c>
      <c r="H4" s="23">
        <v>49.0</v>
      </c>
      <c r="I4" s="28">
        <v>49.0</v>
      </c>
      <c r="K4" s="26" t="s">
        <v>29</v>
      </c>
      <c r="L4" s="23">
        <v>3.0</v>
      </c>
      <c r="M4" s="23">
        <v>14.0</v>
      </c>
      <c r="N4" s="28">
        <v>54.0</v>
      </c>
      <c r="P4" s="26" t="s">
        <v>29</v>
      </c>
      <c r="Q4" s="23">
        <v>4.0</v>
      </c>
      <c r="R4" s="23">
        <v>6.0</v>
      </c>
      <c r="S4" s="28">
        <v>0.0</v>
      </c>
      <c r="U4" s="26" t="s">
        <v>29</v>
      </c>
      <c r="V4" s="23">
        <v>7.0</v>
      </c>
      <c r="W4" s="23">
        <v>20.0</v>
      </c>
      <c r="X4" s="28">
        <v>54.0</v>
      </c>
    </row>
    <row r="5">
      <c r="F5" s="35" t="s">
        <v>474</v>
      </c>
      <c r="G5" s="31">
        <v>0.0</v>
      </c>
      <c r="H5" s="31">
        <v>0.0</v>
      </c>
      <c r="I5" s="36">
        <v>2.0</v>
      </c>
      <c r="K5" s="35" t="s">
        <v>474</v>
      </c>
      <c r="L5" s="31">
        <v>0.0</v>
      </c>
      <c r="M5" s="31">
        <v>0.0</v>
      </c>
      <c r="N5" s="36">
        <v>4.0</v>
      </c>
      <c r="P5" s="35" t="s">
        <v>474</v>
      </c>
      <c r="Q5" s="31">
        <v>0.0</v>
      </c>
      <c r="R5" s="31">
        <v>0.0</v>
      </c>
      <c r="S5" s="36">
        <v>2.0</v>
      </c>
      <c r="U5" s="35" t="s">
        <v>474</v>
      </c>
      <c r="V5" s="31">
        <v>0.0</v>
      </c>
      <c r="W5" s="31">
        <v>0.0</v>
      </c>
      <c r="X5" s="36">
        <v>4.0</v>
      </c>
    </row>
    <row r="35">
      <c r="A35" s="23" t="s">
        <v>575</v>
      </c>
    </row>
    <row r="36">
      <c r="A36" s="67" t="s">
        <v>572</v>
      </c>
      <c r="B36" s="68"/>
      <c r="C36" s="68"/>
      <c r="D36" s="69"/>
      <c r="E36" s="70" t="s">
        <v>573</v>
      </c>
      <c r="F36" s="71"/>
      <c r="G36" s="71"/>
      <c r="H36" s="72"/>
      <c r="I36" s="70" t="s">
        <v>576</v>
      </c>
      <c r="J36" s="71"/>
      <c r="K36" s="71"/>
      <c r="L36" s="72"/>
    </row>
    <row r="37">
      <c r="A37" s="51" t="s">
        <v>341</v>
      </c>
      <c r="B37" s="73"/>
      <c r="C37" s="51" t="s">
        <v>342</v>
      </c>
      <c r="D37" s="74"/>
      <c r="E37" s="35" t="s">
        <v>446</v>
      </c>
      <c r="F37" s="37"/>
      <c r="G37" s="35" t="s">
        <v>447</v>
      </c>
      <c r="H37" s="45"/>
      <c r="I37" s="35" t="s">
        <v>446</v>
      </c>
      <c r="J37" s="37"/>
      <c r="K37" s="35" t="s">
        <v>447</v>
      </c>
      <c r="L37" s="45"/>
    </row>
    <row r="38">
      <c r="A38" s="75">
        <v>7.0</v>
      </c>
      <c r="B38" s="76" t="s">
        <v>25</v>
      </c>
      <c r="C38" s="75">
        <v>4.0</v>
      </c>
      <c r="D38" s="77" t="s">
        <v>73</v>
      </c>
      <c r="E38" s="78">
        <v>6.0</v>
      </c>
      <c r="F38" s="79" t="s">
        <v>27</v>
      </c>
      <c r="G38" s="78">
        <v>6.0</v>
      </c>
      <c r="H38" s="80" t="s">
        <v>347</v>
      </c>
      <c r="I38" s="78">
        <v>6.0</v>
      </c>
      <c r="J38" s="79" t="s">
        <v>27</v>
      </c>
      <c r="K38" s="78">
        <v>5.0</v>
      </c>
      <c r="L38" s="80" t="s">
        <v>73</v>
      </c>
    </row>
    <row r="39">
      <c r="A39" s="75">
        <v>5.0</v>
      </c>
      <c r="B39" s="76" t="s">
        <v>27</v>
      </c>
      <c r="C39" s="81">
        <v>3.0</v>
      </c>
      <c r="D39" s="82" t="s">
        <v>200</v>
      </c>
      <c r="E39" s="78">
        <v>5.0</v>
      </c>
      <c r="F39" s="79" t="s">
        <v>39</v>
      </c>
      <c r="G39" s="78">
        <v>6.0</v>
      </c>
      <c r="H39" s="80" t="s">
        <v>73</v>
      </c>
      <c r="I39" s="78">
        <v>4.0</v>
      </c>
      <c r="J39" s="79" t="s">
        <v>39</v>
      </c>
      <c r="K39" s="78">
        <v>5.0</v>
      </c>
      <c r="L39" s="80" t="s">
        <v>347</v>
      </c>
    </row>
    <row r="40">
      <c r="A40" s="75">
        <v>5.0</v>
      </c>
      <c r="B40" s="76" t="s">
        <v>39</v>
      </c>
      <c r="C40" s="81">
        <v>2.0</v>
      </c>
      <c r="D40" s="82" t="s">
        <v>50</v>
      </c>
      <c r="E40" s="48">
        <v>4.0</v>
      </c>
      <c r="F40" s="83" t="s">
        <v>150</v>
      </c>
      <c r="G40" s="42">
        <v>3.0</v>
      </c>
      <c r="H40" s="82" t="s">
        <v>293</v>
      </c>
      <c r="I40" s="42">
        <v>4.0</v>
      </c>
      <c r="J40" s="29" t="s">
        <v>116</v>
      </c>
      <c r="K40" s="42">
        <v>4.0</v>
      </c>
      <c r="L40" s="82" t="s">
        <v>473</v>
      </c>
    </row>
    <row r="41">
      <c r="A41" s="81">
        <v>4.0</v>
      </c>
      <c r="B41" s="83" t="s">
        <v>97</v>
      </c>
      <c r="C41" s="81">
        <v>2.0</v>
      </c>
      <c r="D41" s="82" t="s">
        <v>129</v>
      </c>
      <c r="E41" s="48">
        <v>3.0</v>
      </c>
      <c r="F41" s="29" t="s">
        <v>350</v>
      </c>
      <c r="G41" s="42">
        <v>3.0</v>
      </c>
      <c r="H41" s="82" t="s">
        <v>230</v>
      </c>
      <c r="I41" s="42">
        <v>4.0</v>
      </c>
      <c r="J41" s="29" t="s">
        <v>150</v>
      </c>
      <c r="K41" s="42">
        <v>3.0</v>
      </c>
      <c r="L41" s="82" t="s">
        <v>293</v>
      </c>
    </row>
    <row r="42">
      <c r="A42" s="81">
        <v>4.0</v>
      </c>
      <c r="B42" s="83" t="s">
        <v>116</v>
      </c>
      <c r="C42" s="81">
        <v>2.0</v>
      </c>
      <c r="D42" s="82" t="s">
        <v>177</v>
      </c>
      <c r="E42" s="48">
        <v>3.0</v>
      </c>
      <c r="F42" s="83" t="s">
        <v>133</v>
      </c>
      <c r="G42" s="42">
        <v>2.0</v>
      </c>
      <c r="H42" s="82" t="s">
        <v>50</v>
      </c>
      <c r="I42" s="42">
        <v>4.0</v>
      </c>
      <c r="J42" s="29" t="s">
        <v>197</v>
      </c>
      <c r="K42" s="42">
        <v>1.0</v>
      </c>
      <c r="L42" s="82" t="s">
        <v>456</v>
      </c>
    </row>
    <row r="43">
      <c r="A43" s="81">
        <v>4.0</v>
      </c>
      <c r="B43" s="83" t="s">
        <v>150</v>
      </c>
      <c r="C43" s="81">
        <v>2.0</v>
      </c>
      <c r="D43" s="82" t="s">
        <v>230</v>
      </c>
      <c r="E43" s="48">
        <v>3.0</v>
      </c>
      <c r="F43" s="83" t="s">
        <v>81</v>
      </c>
      <c r="G43" s="42">
        <v>2.0</v>
      </c>
      <c r="H43" s="82" t="s">
        <v>388</v>
      </c>
      <c r="I43" s="42">
        <v>3.0</v>
      </c>
      <c r="J43" s="29" t="s">
        <v>44</v>
      </c>
      <c r="K43" s="42">
        <v>1.0</v>
      </c>
      <c r="L43" s="82" t="s">
        <v>50</v>
      </c>
    </row>
    <row r="44">
      <c r="A44" s="81">
        <v>3.0</v>
      </c>
      <c r="B44" s="83" t="s">
        <v>44</v>
      </c>
      <c r="C44" s="81">
        <v>1.0</v>
      </c>
      <c r="D44" s="84" t="s">
        <v>106</v>
      </c>
      <c r="E44" s="48">
        <v>3.0</v>
      </c>
      <c r="F44" s="83" t="s">
        <v>116</v>
      </c>
      <c r="G44" s="42">
        <v>2.0</v>
      </c>
      <c r="H44" s="82" t="s">
        <v>200</v>
      </c>
      <c r="I44" s="42">
        <v>3.0</v>
      </c>
      <c r="J44" s="29" t="s">
        <v>49</v>
      </c>
      <c r="K44" s="42">
        <v>1.0</v>
      </c>
      <c r="L44" s="82" t="s">
        <v>493</v>
      </c>
    </row>
    <row r="45">
      <c r="A45" s="81">
        <v>3.0</v>
      </c>
      <c r="B45" s="83" t="s">
        <v>69</v>
      </c>
      <c r="C45" s="81">
        <v>1.0</v>
      </c>
      <c r="D45" s="82" t="s">
        <v>161</v>
      </c>
      <c r="E45" s="48">
        <v>3.0</v>
      </c>
      <c r="F45" s="83" t="s">
        <v>123</v>
      </c>
      <c r="G45" s="42">
        <v>1.0</v>
      </c>
      <c r="H45" s="82" t="s">
        <v>168</v>
      </c>
      <c r="I45" s="42">
        <v>3.0</v>
      </c>
      <c r="J45" s="29" t="s">
        <v>81</v>
      </c>
      <c r="K45" s="42">
        <v>1.0</v>
      </c>
      <c r="L45" s="82" t="s">
        <v>501</v>
      </c>
    </row>
    <row r="46">
      <c r="A46" s="81">
        <v>3.0</v>
      </c>
      <c r="B46" s="83" t="s">
        <v>81</v>
      </c>
      <c r="C46" s="81">
        <v>1.0</v>
      </c>
      <c r="D46" s="82" t="s">
        <v>189</v>
      </c>
      <c r="E46" s="48">
        <v>3.0</v>
      </c>
      <c r="F46" s="83" t="s">
        <v>97</v>
      </c>
      <c r="G46" s="42">
        <v>1.0</v>
      </c>
      <c r="H46" s="82" t="s">
        <v>364</v>
      </c>
      <c r="I46" s="42">
        <v>3.0</v>
      </c>
      <c r="J46" s="29" t="s">
        <v>123</v>
      </c>
      <c r="K46" s="42">
        <v>1.0</v>
      </c>
      <c r="L46" s="82" t="s">
        <v>273</v>
      </c>
    </row>
    <row r="47">
      <c r="A47" s="81">
        <v>3.0</v>
      </c>
      <c r="B47" s="83" t="s">
        <v>90</v>
      </c>
      <c r="C47" s="81">
        <v>1.0</v>
      </c>
      <c r="D47" s="82" t="s">
        <v>86</v>
      </c>
      <c r="E47" s="42">
        <v>3.0</v>
      </c>
      <c r="F47" s="29" t="s">
        <v>215</v>
      </c>
      <c r="G47" s="42">
        <v>1.0</v>
      </c>
      <c r="H47" s="82" t="s">
        <v>367</v>
      </c>
      <c r="I47" s="42">
        <v>3.0</v>
      </c>
      <c r="J47" s="29" t="s">
        <v>174</v>
      </c>
      <c r="K47" s="42">
        <v>1.0</v>
      </c>
      <c r="L47" s="82" t="s">
        <v>282</v>
      </c>
    </row>
    <row r="48">
      <c r="A48" s="81">
        <v>3.0</v>
      </c>
      <c r="B48" s="83" t="s">
        <v>123</v>
      </c>
      <c r="C48" s="81">
        <v>1.0</v>
      </c>
      <c r="D48" s="82" t="s">
        <v>90</v>
      </c>
      <c r="E48" s="48">
        <v>2.0</v>
      </c>
      <c r="F48" s="83" t="s">
        <v>90</v>
      </c>
      <c r="G48" s="42">
        <v>1.0</v>
      </c>
      <c r="H48" s="82" t="s">
        <v>119</v>
      </c>
      <c r="I48" s="42">
        <v>3.0</v>
      </c>
      <c r="J48" s="29" t="s">
        <v>215</v>
      </c>
      <c r="K48" s="42"/>
      <c r="L48" s="43"/>
    </row>
    <row r="49">
      <c r="A49" s="81">
        <v>3.0</v>
      </c>
      <c r="B49" s="83" t="s">
        <v>173</v>
      </c>
      <c r="C49" s="81">
        <v>1.0</v>
      </c>
      <c r="D49" s="82" t="s">
        <v>273</v>
      </c>
      <c r="E49" s="48">
        <v>2.0</v>
      </c>
      <c r="F49" s="83" t="s">
        <v>68</v>
      </c>
      <c r="G49" s="42">
        <v>1.0</v>
      </c>
      <c r="H49" s="82" t="s">
        <v>161</v>
      </c>
      <c r="I49" s="42">
        <v>2.0</v>
      </c>
      <c r="J49" s="29" t="s">
        <v>68</v>
      </c>
      <c r="K49" s="42"/>
      <c r="L49" s="43"/>
    </row>
    <row r="50">
      <c r="A50" s="81">
        <v>3.0</v>
      </c>
      <c r="B50" s="83" t="s">
        <v>215</v>
      </c>
      <c r="C50" s="81">
        <v>1.0</v>
      </c>
      <c r="D50" s="82" t="s">
        <v>282</v>
      </c>
      <c r="E50" s="48">
        <v>2.0</v>
      </c>
      <c r="F50" s="83" t="s">
        <v>101</v>
      </c>
      <c r="G50" s="42">
        <v>1.0</v>
      </c>
      <c r="H50" s="82" t="s">
        <v>273</v>
      </c>
      <c r="I50" s="42">
        <v>2.0</v>
      </c>
      <c r="J50" s="29" t="s">
        <v>69</v>
      </c>
      <c r="K50" s="42"/>
      <c r="L50" s="43"/>
    </row>
    <row r="51">
      <c r="A51" s="81">
        <v>2.0</v>
      </c>
      <c r="B51" s="83" t="s">
        <v>68</v>
      </c>
      <c r="C51" s="81">
        <v>1.0</v>
      </c>
      <c r="D51" s="82" t="s">
        <v>283</v>
      </c>
      <c r="E51" s="48">
        <v>2.0</v>
      </c>
      <c r="F51" s="83" t="s">
        <v>149</v>
      </c>
      <c r="G51" s="42">
        <v>1.0</v>
      </c>
      <c r="H51" s="82" t="s">
        <v>177</v>
      </c>
      <c r="I51" s="42">
        <v>2.0</v>
      </c>
      <c r="J51" s="29" t="s">
        <v>101</v>
      </c>
      <c r="K51" s="42"/>
      <c r="L51" s="43"/>
    </row>
    <row r="52">
      <c r="A52" s="81">
        <v>2.0</v>
      </c>
      <c r="B52" s="83" t="s">
        <v>101</v>
      </c>
      <c r="C52" s="81">
        <v>1.0</v>
      </c>
      <c r="D52" s="82" t="s">
        <v>293</v>
      </c>
      <c r="E52" s="48">
        <v>2.0</v>
      </c>
      <c r="F52" s="83" t="s">
        <v>383</v>
      </c>
      <c r="G52" s="42"/>
      <c r="H52" s="43"/>
      <c r="I52" s="42">
        <v>2.0</v>
      </c>
      <c r="J52" s="29" t="s">
        <v>149</v>
      </c>
      <c r="K52" s="42"/>
      <c r="L52" s="43"/>
    </row>
    <row r="53">
      <c r="A53" s="81">
        <v>2.0</v>
      </c>
      <c r="B53" s="83" t="s">
        <v>133</v>
      </c>
      <c r="C53" s="81"/>
      <c r="D53" s="82"/>
      <c r="E53" s="48">
        <v>2.0</v>
      </c>
      <c r="F53" s="83" t="s">
        <v>174</v>
      </c>
      <c r="G53" s="42"/>
      <c r="H53" s="43"/>
      <c r="I53" s="42">
        <v>2.0</v>
      </c>
      <c r="J53" s="29" t="s">
        <v>173</v>
      </c>
      <c r="K53" s="42"/>
      <c r="L53" s="43"/>
    </row>
    <row r="54">
      <c r="A54" s="81">
        <v>2.0</v>
      </c>
      <c r="B54" s="83" t="s">
        <v>149</v>
      </c>
      <c r="C54" s="48"/>
      <c r="D54" s="82"/>
      <c r="E54" s="42">
        <v>2.0</v>
      </c>
      <c r="F54" s="29" t="s">
        <v>192</v>
      </c>
      <c r="G54" s="42"/>
      <c r="H54" s="43"/>
      <c r="I54" s="42">
        <v>2.0</v>
      </c>
      <c r="J54" s="29" t="s">
        <v>192</v>
      </c>
      <c r="K54" s="42"/>
      <c r="L54" s="43"/>
    </row>
    <row r="55">
      <c r="A55" s="81">
        <v>2.0</v>
      </c>
      <c r="B55" s="83" t="s">
        <v>185</v>
      </c>
      <c r="C55" s="48"/>
      <c r="D55" s="82"/>
      <c r="E55" s="42">
        <v>2.0</v>
      </c>
      <c r="F55" s="29" t="s">
        <v>391</v>
      </c>
      <c r="G55" s="42"/>
      <c r="H55" s="43"/>
      <c r="I55" s="42">
        <v>2.0</v>
      </c>
      <c r="J55" s="29" t="s">
        <v>513</v>
      </c>
      <c r="K55" s="42"/>
      <c r="L55" s="43"/>
    </row>
    <row r="56">
      <c r="A56" s="81">
        <v>2.0</v>
      </c>
      <c r="B56" s="83" t="s">
        <v>209</v>
      </c>
      <c r="C56" s="48"/>
      <c r="D56" s="82"/>
      <c r="E56" s="42">
        <v>2.0</v>
      </c>
      <c r="F56" s="29" t="s">
        <v>209</v>
      </c>
      <c r="G56" s="42"/>
      <c r="H56" s="43"/>
      <c r="I56" s="42">
        <v>2.0</v>
      </c>
      <c r="J56" s="29" t="s">
        <v>514</v>
      </c>
      <c r="K56" s="42"/>
      <c r="L56" s="43"/>
    </row>
    <row r="57">
      <c r="A57" s="81">
        <v>2.0</v>
      </c>
      <c r="B57" s="83" t="s">
        <v>222</v>
      </c>
      <c r="C57" s="48"/>
      <c r="D57" s="82"/>
      <c r="E57" s="42">
        <v>2.0</v>
      </c>
      <c r="F57" s="29" t="s">
        <v>400</v>
      </c>
      <c r="G57" s="42"/>
      <c r="H57" s="43"/>
      <c r="I57" s="42">
        <v>2.0</v>
      </c>
      <c r="J57" s="29" t="s">
        <v>400</v>
      </c>
      <c r="K57" s="42"/>
      <c r="L57" s="43"/>
    </row>
    <row r="58">
      <c r="A58" s="81">
        <v>2.0</v>
      </c>
      <c r="B58" s="83" t="s">
        <v>264</v>
      </c>
      <c r="C58" s="48"/>
      <c r="D58" s="82"/>
      <c r="E58" s="42">
        <v>2.0</v>
      </c>
      <c r="F58" s="29" t="s">
        <v>197</v>
      </c>
      <c r="G58" s="42"/>
      <c r="H58" s="43"/>
      <c r="I58" s="42">
        <v>2.0</v>
      </c>
      <c r="J58" s="29" t="s">
        <v>264</v>
      </c>
      <c r="K58" s="42"/>
      <c r="L58" s="43"/>
    </row>
    <row r="59">
      <c r="A59" s="81">
        <v>2.0</v>
      </c>
      <c r="B59" s="83" t="s">
        <v>298</v>
      </c>
      <c r="C59" s="48"/>
      <c r="D59" s="82"/>
      <c r="E59" s="42">
        <v>2.0</v>
      </c>
      <c r="F59" s="29" t="s">
        <v>424</v>
      </c>
      <c r="G59" s="42"/>
      <c r="H59" s="43"/>
      <c r="I59" s="42">
        <v>2.0</v>
      </c>
      <c r="J59" s="29" t="s">
        <v>424</v>
      </c>
      <c r="K59" s="42"/>
      <c r="L59" s="43"/>
    </row>
    <row r="60">
      <c r="A60" s="81">
        <v>1.0</v>
      </c>
      <c r="B60" s="83" t="s">
        <v>49</v>
      </c>
      <c r="C60" s="48"/>
      <c r="D60" s="82"/>
      <c r="E60" s="42">
        <v>2.0</v>
      </c>
      <c r="F60" s="29" t="s">
        <v>298</v>
      </c>
      <c r="G60" s="42"/>
      <c r="H60" s="43"/>
      <c r="I60" s="42">
        <v>2.0</v>
      </c>
      <c r="J60" s="29" t="s">
        <v>550</v>
      </c>
      <c r="K60" s="42"/>
      <c r="L60" s="43"/>
    </row>
    <row r="61">
      <c r="A61" s="81">
        <v>1.0</v>
      </c>
      <c r="B61" s="83" t="s">
        <v>60</v>
      </c>
      <c r="C61" s="48"/>
      <c r="D61" s="82"/>
      <c r="E61" s="48">
        <v>1.0</v>
      </c>
      <c r="F61" s="83" t="s">
        <v>107</v>
      </c>
      <c r="G61" s="42"/>
      <c r="H61" s="43"/>
      <c r="I61" s="42">
        <v>1.0</v>
      </c>
      <c r="J61" s="29" t="s">
        <v>25</v>
      </c>
      <c r="K61" s="42"/>
      <c r="L61" s="43"/>
    </row>
    <row r="62">
      <c r="A62" s="81">
        <v>1.0</v>
      </c>
      <c r="B62" s="83" t="s">
        <v>107</v>
      </c>
      <c r="C62" s="48"/>
      <c r="D62" s="82"/>
      <c r="E62" s="85">
        <v>1.0</v>
      </c>
      <c r="F62" s="86" t="s">
        <v>69</v>
      </c>
      <c r="G62" s="42"/>
      <c r="H62" s="43"/>
      <c r="I62" s="42">
        <v>1.0</v>
      </c>
      <c r="J62" s="29" t="s">
        <v>459</v>
      </c>
      <c r="K62" s="42"/>
      <c r="L62" s="43"/>
    </row>
    <row r="63">
      <c r="A63" s="81">
        <v>1.0</v>
      </c>
      <c r="B63" s="83" t="s">
        <v>143</v>
      </c>
      <c r="C63" s="48"/>
      <c r="D63" s="82"/>
      <c r="E63" s="48">
        <v>1.0</v>
      </c>
      <c r="F63" s="83" t="s">
        <v>173</v>
      </c>
      <c r="G63" s="42"/>
      <c r="H63" s="43"/>
      <c r="I63" s="42">
        <v>1.0</v>
      </c>
      <c r="J63" s="29" t="s">
        <v>90</v>
      </c>
      <c r="K63" s="42"/>
      <c r="L63" s="43"/>
    </row>
    <row r="64">
      <c r="A64" s="81">
        <v>1.0</v>
      </c>
      <c r="B64" s="83" t="s">
        <v>165</v>
      </c>
      <c r="C64" s="48"/>
      <c r="D64" s="82"/>
      <c r="E64" s="42">
        <v>1.0</v>
      </c>
      <c r="F64" s="29" t="s">
        <v>264</v>
      </c>
      <c r="G64" s="42"/>
      <c r="H64" s="43"/>
      <c r="I64" s="42">
        <v>1.0</v>
      </c>
      <c r="J64" s="29" t="s">
        <v>112</v>
      </c>
      <c r="K64" s="42"/>
      <c r="L64" s="43"/>
    </row>
    <row r="65">
      <c r="A65" s="81">
        <v>1.0</v>
      </c>
      <c r="B65" s="83" t="s">
        <v>192</v>
      </c>
      <c r="C65" s="48"/>
      <c r="D65" s="82"/>
      <c r="E65" s="42">
        <v>1.0</v>
      </c>
      <c r="F65" s="29" t="s">
        <v>419</v>
      </c>
      <c r="G65" s="42"/>
      <c r="H65" s="43"/>
      <c r="I65" s="42">
        <v>1.0</v>
      </c>
      <c r="J65" s="29" t="s">
        <v>107</v>
      </c>
      <c r="K65" s="42"/>
      <c r="L65" s="43"/>
    </row>
    <row r="66">
      <c r="A66" s="81">
        <v>1.0</v>
      </c>
      <c r="B66" s="83" t="s">
        <v>197</v>
      </c>
      <c r="C66" s="48"/>
      <c r="D66" s="82"/>
      <c r="E66" s="42">
        <v>1.0</v>
      </c>
      <c r="F66" s="29" t="s">
        <v>279</v>
      </c>
      <c r="G66" s="42"/>
      <c r="H66" s="43"/>
      <c r="I66" s="42">
        <v>1.0</v>
      </c>
      <c r="J66" s="29" t="s">
        <v>489</v>
      </c>
      <c r="K66" s="42"/>
      <c r="L66" s="43"/>
    </row>
    <row r="67">
      <c r="A67" s="81">
        <v>1.0</v>
      </c>
      <c r="B67" s="83" t="s">
        <v>278</v>
      </c>
      <c r="C67" s="48"/>
      <c r="D67" s="82"/>
      <c r="E67" s="42">
        <v>1.0</v>
      </c>
      <c r="F67" s="29" t="s">
        <v>420</v>
      </c>
      <c r="G67" s="42"/>
      <c r="H67" s="43"/>
      <c r="I67" s="42">
        <v>1.0</v>
      </c>
      <c r="J67" s="29" t="s">
        <v>165</v>
      </c>
      <c r="K67" s="42"/>
      <c r="L67" s="43"/>
    </row>
    <row r="68">
      <c r="A68" s="81">
        <v>1.0</v>
      </c>
      <c r="B68" s="83" t="s">
        <v>174</v>
      </c>
      <c r="C68" s="48"/>
      <c r="D68" s="82"/>
      <c r="E68" s="42">
        <v>1.0</v>
      </c>
      <c r="F68" s="29" t="s">
        <v>330</v>
      </c>
      <c r="G68" s="42"/>
      <c r="H68" s="43"/>
      <c r="I68" s="42">
        <v>1.0</v>
      </c>
      <c r="J68" s="29" t="s">
        <v>503</v>
      </c>
      <c r="K68" s="42"/>
      <c r="L68" s="43"/>
    </row>
    <row r="69">
      <c r="A69" s="87">
        <v>1.0</v>
      </c>
      <c r="B69" s="83" t="s">
        <v>330</v>
      </c>
      <c r="C69" s="48"/>
      <c r="D69" s="83"/>
      <c r="E69" s="48"/>
      <c r="G69" s="42"/>
      <c r="H69" s="43"/>
      <c r="I69" s="29">
        <v>1.0</v>
      </c>
      <c r="J69" s="29" t="s">
        <v>523</v>
      </c>
      <c r="K69" s="42"/>
      <c r="L69" s="43"/>
    </row>
    <row r="70">
      <c r="C70" s="42"/>
      <c r="E70" s="48"/>
      <c r="G70" s="42"/>
      <c r="H70" s="43"/>
      <c r="I70" s="29">
        <v>1.0</v>
      </c>
      <c r="J70" s="29" t="s">
        <v>185</v>
      </c>
      <c r="K70" s="42"/>
      <c r="L70" s="43"/>
    </row>
    <row r="71">
      <c r="C71" s="42"/>
      <c r="E71" s="42"/>
      <c r="G71" s="42"/>
      <c r="H71" s="43"/>
      <c r="I71" s="29">
        <v>1.0</v>
      </c>
      <c r="J71" s="29" t="s">
        <v>516</v>
      </c>
      <c r="K71" s="42"/>
      <c r="L71" s="43"/>
    </row>
    <row r="72">
      <c r="A72" s="42"/>
      <c r="C72" s="42"/>
      <c r="E72" s="42"/>
      <c r="G72" s="42"/>
      <c r="I72" s="42">
        <v>1.0</v>
      </c>
      <c r="J72" s="29" t="s">
        <v>563</v>
      </c>
      <c r="K72" s="42"/>
      <c r="L72" s="43"/>
    </row>
    <row r="73">
      <c r="A73" s="44"/>
      <c r="B73" s="37"/>
      <c r="C73" s="44"/>
      <c r="D73" s="37"/>
      <c r="E73" s="44"/>
      <c r="F73" s="37"/>
      <c r="G73" s="44"/>
      <c r="H73" s="37"/>
      <c r="I73" s="44">
        <v>1.0</v>
      </c>
      <c r="J73" s="37" t="s">
        <v>330</v>
      </c>
      <c r="K73" s="44"/>
      <c r="L73" s="45"/>
    </row>
    <row r="75">
      <c r="C75" s="88" t="s">
        <v>577</v>
      </c>
      <c r="D75" s="89"/>
      <c r="E75" s="89"/>
      <c r="F75" s="90"/>
      <c r="H75" s="88" t="s">
        <v>578</v>
      </c>
      <c r="I75" s="89"/>
      <c r="J75" s="89"/>
      <c r="K75" s="90"/>
    </row>
    <row r="76">
      <c r="C76" s="91"/>
      <c r="D76" s="92" t="s">
        <v>579</v>
      </c>
      <c r="E76" s="92" t="s">
        <v>573</v>
      </c>
      <c r="F76" s="92" t="s">
        <v>574</v>
      </c>
      <c r="H76" s="91"/>
      <c r="I76" s="92" t="s">
        <v>579</v>
      </c>
      <c r="J76" s="92" t="s">
        <v>573</v>
      </c>
      <c r="K76" s="92" t="s">
        <v>574</v>
      </c>
    </row>
    <row r="77">
      <c r="C77" s="93" t="s">
        <v>25</v>
      </c>
      <c r="D77" s="94">
        <v>7.0</v>
      </c>
      <c r="E77" s="94" t="s">
        <v>580</v>
      </c>
      <c r="F77" s="95">
        <v>1.0</v>
      </c>
      <c r="H77" s="92" t="s">
        <v>388</v>
      </c>
      <c r="I77" s="94" t="s">
        <v>580</v>
      </c>
      <c r="J77" s="94">
        <v>2.0</v>
      </c>
      <c r="K77" s="95" t="s">
        <v>580</v>
      </c>
    </row>
    <row r="78">
      <c r="C78" s="96" t="s">
        <v>101</v>
      </c>
      <c r="D78" s="97">
        <v>2.0</v>
      </c>
      <c r="E78" s="97">
        <v>2.0</v>
      </c>
      <c r="F78" s="98">
        <v>2.0</v>
      </c>
      <c r="H78" s="99" t="s">
        <v>73</v>
      </c>
      <c r="I78" s="100">
        <v>4.0</v>
      </c>
      <c r="J78" s="100">
        <v>6.0</v>
      </c>
      <c r="K78" s="101">
        <v>5.0</v>
      </c>
    </row>
    <row r="79">
      <c r="C79" s="102" t="s">
        <v>143</v>
      </c>
      <c r="D79" s="94">
        <v>1.0</v>
      </c>
      <c r="E79" s="94" t="s">
        <v>580</v>
      </c>
      <c r="F79" s="95" t="s">
        <v>580</v>
      </c>
      <c r="H79" s="102" t="s">
        <v>230</v>
      </c>
      <c r="I79" s="94">
        <v>2.0</v>
      </c>
      <c r="J79" s="94">
        <v>3.0</v>
      </c>
      <c r="K79" s="95" t="s">
        <v>580</v>
      </c>
    </row>
    <row r="80">
      <c r="C80" s="96" t="s">
        <v>197</v>
      </c>
      <c r="D80" s="97">
        <v>1.0</v>
      </c>
      <c r="E80" s="97">
        <v>2.0</v>
      </c>
      <c r="F80" s="98">
        <v>4.0</v>
      </c>
      <c r="H80" s="102" t="s">
        <v>200</v>
      </c>
      <c r="I80" s="94">
        <v>3.0</v>
      </c>
      <c r="J80" s="94">
        <v>2.0</v>
      </c>
      <c r="K80" s="95" t="s">
        <v>580</v>
      </c>
    </row>
    <row r="81">
      <c r="C81" s="102" t="s">
        <v>400</v>
      </c>
      <c r="D81" s="94" t="s">
        <v>580</v>
      </c>
      <c r="E81" s="94">
        <v>2.0</v>
      </c>
      <c r="F81" s="95">
        <v>2.0</v>
      </c>
      <c r="H81" s="102" t="s">
        <v>168</v>
      </c>
      <c r="I81" s="94" t="s">
        <v>580</v>
      </c>
      <c r="J81" s="94">
        <v>1.0</v>
      </c>
      <c r="K81" s="95" t="s">
        <v>580</v>
      </c>
    </row>
    <row r="82">
      <c r="C82" s="102" t="s">
        <v>222</v>
      </c>
      <c r="D82" s="94">
        <v>2.0</v>
      </c>
      <c r="E82" s="94" t="s">
        <v>580</v>
      </c>
      <c r="F82" s="95" t="s">
        <v>580</v>
      </c>
      <c r="H82" s="103" t="s">
        <v>50</v>
      </c>
      <c r="I82" s="100">
        <v>2.0</v>
      </c>
      <c r="J82" s="100">
        <v>2.0</v>
      </c>
      <c r="K82" s="101">
        <v>1.0</v>
      </c>
    </row>
    <row r="83">
      <c r="C83" s="102" t="s">
        <v>383</v>
      </c>
      <c r="D83" s="94" t="s">
        <v>580</v>
      </c>
      <c r="E83" s="94">
        <v>2.0</v>
      </c>
      <c r="F83" s="95" t="s">
        <v>580</v>
      </c>
      <c r="H83" s="102" t="s">
        <v>283</v>
      </c>
      <c r="I83" s="94">
        <v>1.0</v>
      </c>
      <c r="J83" s="94" t="s">
        <v>580</v>
      </c>
      <c r="K83" s="95" t="s">
        <v>580</v>
      </c>
    </row>
    <row r="84">
      <c r="A84" s="23" t="s">
        <v>581</v>
      </c>
      <c r="C84" s="96" t="s">
        <v>69</v>
      </c>
      <c r="D84" s="97">
        <v>3.0</v>
      </c>
      <c r="E84" s="104">
        <v>1.0</v>
      </c>
      <c r="F84" s="98">
        <v>2.0</v>
      </c>
      <c r="H84" s="102" t="s">
        <v>456</v>
      </c>
      <c r="I84" s="94" t="s">
        <v>580</v>
      </c>
      <c r="J84" s="94" t="s">
        <v>580</v>
      </c>
      <c r="K84" s="95">
        <v>1.0</v>
      </c>
    </row>
    <row r="85">
      <c r="A85" s="23" t="s">
        <v>582</v>
      </c>
      <c r="C85" s="102" t="s">
        <v>165</v>
      </c>
      <c r="D85" s="94">
        <v>1.0</v>
      </c>
      <c r="E85" s="94" t="s">
        <v>580</v>
      </c>
      <c r="F85" s="95">
        <v>1.0</v>
      </c>
      <c r="H85" s="102" t="s">
        <v>119</v>
      </c>
      <c r="I85" s="94" t="s">
        <v>580</v>
      </c>
      <c r="J85" s="94">
        <v>1.0</v>
      </c>
      <c r="K85" s="95" t="s">
        <v>580</v>
      </c>
    </row>
    <row r="86">
      <c r="C86" s="102" t="s">
        <v>424</v>
      </c>
      <c r="D86" s="94" t="s">
        <v>580</v>
      </c>
      <c r="E86" s="94">
        <v>2.0</v>
      </c>
      <c r="F86" s="95">
        <v>2.0</v>
      </c>
      <c r="H86" s="102" t="s">
        <v>493</v>
      </c>
      <c r="I86" s="94" t="s">
        <v>580</v>
      </c>
      <c r="J86" s="94" t="s">
        <v>580</v>
      </c>
      <c r="K86" s="95">
        <v>1.0</v>
      </c>
    </row>
    <row r="87">
      <c r="C87" s="102" t="s">
        <v>278</v>
      </c>
      <c r="D87" s="94">
        <v>1.0</v>
      </c>
      <c r="E87" s="94" t="s">
        <v>580</v>
      </c>
      <c r="F87" s="95" t="s">
        <v>580</v>
      </c>
      <c r="H87" s="102" t="s">
        <v>161</v>
      </c>
      <c r="I87" s="94">
        <v>1.0</v>
      </c>
      <c r="J87" s="94">
        <v>1.0</v>
      </c>
      <c r="K87" s="95" t="s">
        <v>580</v>
      </c>
    </row>
    <row r="88">
      <c r="C88" s="102" t="s">
        <v>330</v>
      </c>
      <c r="D88" s="94">
        <v>1.0</v>
      </c>
      <c r="E88" s="94">
        <v>1.0</v>
      </c>
      <c r="F88" s="95">
        <v>1.0</v>
      </c>
      <c r="H88" s="103" t="s">
        <v>273</v>
      </c>
      <c r="I88" s="100">
        <v>1.0</v>
      </c>
      <c r="J88" s="100">
        <v>1.0</v>
      </c>
      <c r="K88" s="101">
        <v>1.0</v>
      </c>
    </row>
    <row r="89">
      <c r="C89" s="102" t="s">
        <v>489</v>
      </c>
      <c r="D89" s="94" t="s">
        <v>580</v>
      </c>
      <c r="E89" s="94" t="s">
        <v>580</v>
      </c>
      <c r="F89" s="95">
        <v>1.0</v>
      </c>
      <c r="H89" s="102" t="s">
        <v>347</v>
      </c>
      <c r="I89" s="94" t="s">
        <v>580</v>
      </c>
      <c r="J89" s="94">
        <v>6.0</v>
      </c>
      <c r="K89" s="95">
        <v>5.0</v>
      </c>
    </row>
    <row r="90">
      <c r="C90" s="96" t="s">
        <v>116</v>
      </c>
      <c r="D90" s="97">
        <v>4.0</v>
      </c>
      <c r="E90" s="97">
        <v>3.0</v>
      </c>
      <c r="F90" s="98">
        <v>4.0</v>
      </c>
      <c r="H90" s="102" t="s">
        <v>501</v>
      </c>
      <c r="I90" s="94" t="s">
        <v>580</v>
      </c>
      <c r="J90" s="94" t="s">
        <v>580</v>
      </c>
      <c r="K90" s="95">
        <v>1.0</v>
      </c>
    </row>
    <row r="91">
      <c r="C91" s="96" t="s">
        <v>123</v>
      </c>
      <c r="D91" s="97">
        <v>3.0</v>
      </c>
      <c r="E91" s="97">
        <v>3.0</v>
      </c>
      <c r="F91" s="98">
        <v>3.0</v>
      </c>
      <c r="H91" s="102" t="s">
        <v>106</v>
      </c>
      <c r="I91" s="94">
        <v>1.0</v>
      </c>
      <c r="J91" s="94" t="s">
        <v>580</v>
      </c>
      <c r="K91" s="95" t="s">
        <v>580</v>
      </c>
    </row>
    <row r="92">
      <c r="C92" s="96" t="s">
        <v>81</v>
      </c>
      <c r="D92" s="97">
        <v>3.0</v>
      </c>
      <c r="E92" s="97">
        <v>3.0</v>
      </c>
      <c r="F92" s="98">
        <v>3.0</v>
      </c>
      <c r="H92" s="102" t="s">
        <v>367</v>
      </c>
      <c r="I92" s="94" t="s">
        <v>580</v>
      </c>
      <c r="J92" s="94">
        <v>1.0</v>
      </c>
      <c r="K92" s="95" t="s">
        <v>580</v>
      </c>
    </row>
    <row r="93">
      <c r="C93" s="96" t="s">
        <v>39</v>
      </c>
      <c r="D93" s="97">
        <v>5.0</v>
      </c>
      <c r="E93" s="97">
        <v>5.0</v>
      </c>
      <c r="F93" s="98">
        <v>4.0</v>
      </c>
      <c r="H93" s="102" t="s">
        <v>86</v>
      </c>
      <c r="I93" s="94">
        <v>1.0</v>
      </c>
      <c r="J93" s="94" t="s">
        <v>580</v>
      </c>
      <c r="K93" s="95" t="s">
        <v>580</v>
      </c>
    </row>
    <row r="94">
      <c r="C94" s="105" t="s">
        <v>419</v>
      </c>
      <c r="D94" s="94" t="s">
        <v>580</v>
      </c>
      <c r="E94" s="94">
        <v>1.0</v>
      </c>
      <c r="F94" s="95" t="s">
        <v>580</v>
      </c>
      <c r="H94" s="102" t="s">
        <v>473</v>
      </c>
      <c r="I94" s="94" t="s">
        <v>580</v>
      </c>
      <c r="J94" s="94" t="s">
        <v>580</v>
      </c>
      <c r="K94" s="95">
        <v>4.0</v>
      </c>
    </row>
    <row r="95">
      <c r="C95" s="102" t="s">
        <v>298</v>
      </c>
      <c r="D95" s="94">
        <v>2.0</v>
      </c>
      <c r="E95" s="94">
        <v>2.0</v>
      </c>
      <c r="F95" s="95" t="s">
        <v>580</v>
      </c>
      <c r="H95" s="102" t="s">
        <v>364</v>
      </c>
      <c r="I95" s="94" t="s">
        <v>580</v>
      </c>
      <c r="J95" s="94">
        <v>1.0</v>
      </c>
      <c r="K95" s="95" t="s">
        <v>580</v>
      </c>
    </row>
    <row r="96">
      <c r="C96" s="102" t="s">
        <v>107</v>
      </c>
      <c r="D96" s="94">
        <v>1.0</v>
      </c>
      <c r="E96" s="94">
        <v>1.0</v>
      </c>
      <c r="F96" s="95">
        <v>1.0</v>
      </c>
      <c r="H96" s="102" t="s">
        <v>189</v>
      </c>
      <c r="I96" s="94">
        <v>1.0</v>
      </c>
      <c r="J96" s="94" t="s">
        <v>580</v>
      </c>
      <c r="K96" s="95" t="s">
        <v>580</v>
      </c>
    </row>
    <row r="97">
      <c r="C97" s="102" t="s">
        <v>68</v>
      </c>
      <c r="D97" s="94">
        <v>2.0</v>
      </c>
      <c r="E97" s="94">
        <v>2.0</v>
      </c>
      <c r="F97" s="95" t="s">
        <v>580</v>
      </c>
      <c r="H97" s="102" t="s">
        <v>129</v>
      </c>
      <c r="I97" s="94">
        <v>2.0</v>
      </c>
      <c r="J97" s="94" t="s">
        <v>580</v>
      </c>
      <c r="K97" s="95" t="s">
        <v>580</v>
      </c>
    </row>
    <row r="98">
      <c r="C98" s="102" t="s">
        <v>391</v>
      </c>
      <c r="D98" s="94" t="s">
        <v>580</v>
      </c>
      <c r="E98" s="94">
        <v>2.0</v>
      </c>
      <c r="F98" s="95" t="s">
        <v>580</v>
      </c>
      <c r="H98" s="102" t="s">
        <v>282</v>
      </c>
      <c r="I98" s="94">
        <v>1.0</v>
      </c>
      <c r="J98" s="94" t="s">
        <v>580</v>
      </c>
      <c r="K98" s="95">
        <v>1.0</v>
      </c>
    </row>
    <row r="99">
      <c r="C99" s="102" t="s">
        <v>209</v>
      </c>
      <c r="D99" s="94">
        <v>2.0</v>
      </c>
      <c r="E99" s="94">
        <v>2.0</v>
      </c>
      <c r="F99" s="95" t="s">
        <v>580</v>
      </c>
      <c r="H99" s="103" t="s">
        <v>293</v>
      </c>
      <c r="I99" s="100">
        <v>1.0</v>
      </c>
      <c r="J99" s="100">
        <v>3.0</v>
      </c>
      <c r="K99" s="101">
        <v>3.0</v>
      </c>
    </row>
    <row r="100">
      <c r="C100" s="102" t="s">
        <v>514</v>
      </c>
      <c r="D100" s="94" t="s">
        <v>580</v>
      </c>
      <c r="E100" s="94" t="s">
        <v>580</v>
      </c>
      <c r="F100" s="95">
        <v>2.0</v>
      </c>
      <c r="H100" s="102" t="s">
        <v>177</v>
      </c>
      <c r="I100" s="94">
        <v>2.0</v>
      </c>
      <c r="J100" s="94">
        <v>1.0</v>
      </c>
      <c r="K100" s="95" t="s">
        <v>580</v>
      </c>
    </row>
    <row r="101">
      <c r="C101" s="96" t="s">
        <v>264</v>
      </c>
      <c r="D101" s="97">
        <v>2.0</v>
      </c>
      <c r="E101" s="97">
        <v>1.0</v>
      </c>
      <c r="F101" s="98">
        <v>2.0</v>
      </c>
      <c r="H101" s="106" t="s">
        <v>90</v>
      </c>
      <c r="I101" s="107">
        <v>1.0</v>
      </c>
      <c r="J101" s="107" t="s">
        <v>580</v>
      </c>
      <c r="K101" s="108" t="s">
        <v>580</v>
      </c>
    </row>
    <row r="102">
      <c r="C102" s="102" t="s">
        <v>420</v>
      </c>
      <c r="D102" s="94" t="s">
        <v>580</v>
      </c>
      <c r="E102" s="94">
        <v>1.0</v>
      </c>
      <c r="F102" s="95" t="s">
        <v>580</v>
      </c>
      <c r="H102" s="109">
        <v>24.0</v>
      </c>
      <c r="I102" s="110">
        <f t="shared" ref="I102:K102" si="1">SUM(I77:I101)</f>
        <v>24</v>
      </c>
      <c r="J102" s="110">
        <f t="shared" si="1"/>
        <v>31</v>
      </c>
      <c r="K102" s="110">
        <f t="shared" si="1"/>
        <v>23</v>
      </c>
    </row>
    <row r="103">
      <c r="C103" s="102" t="s">
        <v>459</v>
      </c>
      <c r="D103" s="94" t="s">
        <v>580</v>
      </c>
      <c r="E103" s="94" t="s">
        <v>580</v>
      </c>
      <c r="F103" s="95">
        <v>1.0</v>
      </c>
    </row>
    <row r="104">
      <c r="C104" s="102" t="s">
        <v>185</v>
      </c>
      <c r="D104" s="94">
        <v>2.0</v>
      </c>
      <c r="E104" s="94" t="s">
        <v>580</v>
      </c>
      <c r="F104" s="95">
        <v>1.0</v>
      </c>
    </row>
    <row r="105">
      <c r="C105" s="102" t="s">
        <v>563</v>
      </c>
      <c r="D105" s="94" t="s">
        <v>580</v>
      </c>
      <c r="E105" s="94" t="s">
        <v>580</v>
      </c>
      <c r="F105" s="95">
        <v>1.0</v>
      </c>
    </row>
    <row r="106">
      <c r="C106" s="102" t="s">
        <v>150</v>
      </c>
      <c r="D106" s="94">
        <v>4.0</v>
      </c>
      <c r="E106" s="94" t="s">
        <v>580</v>
      </c>
      <c r="F106" s="95">
        <v>4.0</v>
      </c>
    </row>
    <row r="107">
      <c r="C107" s="102" t="s">
        <v>112</v>
      </c>
      <c r="D107" s="94" t="s">
        <v>580</v>
      </c>
      <c r="E107" s="94" t="s">
        <v>580</v>
      </c>
      <c r="F107" s="95">
        <v>1.0</v>
      </c>
    </row>
    <row r="108">
      <c r="C108" s="96" t="s">
        <v>27</v>
      </c>
      <c r="D108" s="97">
        <v>5.0</v>
      </c>
      <c r="E108" s="97">
        <v>6.0</v>
      </c>
      <c r="F108" s="98">
        <v>6.0</v>
      </c>
    </row>
    <row r="109">
      <c r="C109" s="102" t="s">
        <v>97</v>
      </c>
      <c r="D109" s="94">
        <v>4.0</v>
      </c>
      <c r="E109" s="94">
        <v>3.0</v>
      </c>
      <c r="F109" s="95" t="s">
        <v>580</v>
      </c>
    </row>
    <row r="110">
      <c r="C110" s="96" t="s">
        <v>192</v>
      </c>
      <c r="D110" s="97">
        <v>1.0</v>
      </c>
      <c r="E110" s="97">
        <v>2.0</v>
      </c>
      <c r="F110" s="98">
        <v>2.0</v>
      </c>
    </row>
    <row r="111">
      <c r="C111" s="96" t="s">
        <v>49</v>
      </c>
      <c r="D111" s="97">
        <v>1.0</v>
      </c>
      <c r="E111" s="97">
        <v>3.0</v>
      </c>
      <c r="F111" s="98">
        <v>3.0</v>
      </c>
    </row>
    <row r="112">
      <c r="C112" s="102" t="s">
        <v>133</v>
      </c>
      <c r="D112" s="94">
        <v>2.0</v>
      </c>
      <c r="E112" s="94" t="s">
        <v>580</v>
      </c>
      <c r="F112" s="95" t="s">
        <v>580</v>
      </c>
    </row>
    <row r="113">
      <c r="C113" s="102" t="s">
        <v>503</v>
      </c>
      <c r="D113" s="94" t="s">
        <v>580</v>
      </c>
      <c r="E113" s="94" t="s">
        <v>580</v>
      </c>
      <c r="F113" s="95">
        <v>1.0</v>
      </c>
    </row>
    <row r="114">
      <c r="C114" s="102" t="s">
        <v>279</v>
      </c>
      <c r="D114" s="94" t="s">
        <v>580</v>
      </c>
      <c r="E114" s="94">
        <v>1.0</v>
      </c>
      <c r="F114" s="95" t="s">
        <v>580</v>
      </c>
    </row>
    <row r="115">
      <c r="C115" s="102" t="s">
        <v>60</v>
      </c>
      <c r="D115" s="94">
        <v>1.0</v>
      </c>
      <c r="E115" s="94" t="s">
        <v>580</v>
      </c>
      <c r="F115" s="95" t="s">
        <v>580</v>
      </c>
    </row>
    <row r="116">
      <c r="C116" s="102" t="s">
        <v>550</v>
      </c>
      <c r="D116" s="94" t="s">
        <v>580</v>
      </c>
      <c r="E116" s="94" t="s">
        <v>580</v>
      </c>
      <c r="F116" s="95">
        <v>2.0</v>
      </c>
    </row>
    <row r="117">
      <c r="C117" s="102" t="s">
        <v>513</v>
      </c>
      <c r="D117" s="94" t="s">
        <v>580</v>
      </c>
      <c r="E117" s="94" t="s">
        <v>580</v>
      </c>
      <c r="F117" s="95">
        <v>2.0</v>
      </c>
    </row>
    <row r="118">
      <c r="C118" s="102" t="s">
        <v>516</v>
      </c>
      <c r="D118" s="94" t="s">
        <v>580</v>
      </c>
      <c r="E118" s="94" t="s">
        <v>580</v>
      </c>
      <c r="F118" s="95">
        <v>1.0</v>
      </c>
    </row>
    <row r="119">
      <c r="C119" s="102" t="s">
        <v>44</v>
      </c>
      <c r="D119" s="94">
        <v>3.0</v>
      </c>
      <c r="E119" s="94" t="s">
        <v>580</v>
      </c>
      <c r="F119" s="95">
        <v>3.0</v>
      </c>
    </row>
    <row r="120">
      <c r="C120" s="96" t="s">
        <v>174</v>
      </c>
      <c r="D120" s="97">
        <v>1.0</v>
      </c>
      <c r="E120" s="97">
        <v>2.0</v>
      </c>
      <c r="F120" s="98">
        <v>3.0</v>
      </c>
    </row>
    <row r="121">
      <c r="C121" s="102" t="s">
        <v>350</v>
      </c>
      <c r="D121" s="94" t="s">
        <v>580</v>
      </c>
      <c r="E121" s="94" t="s">
        <v>580</v>
      </c>
      <c r="F121" s="95" t="s">
        <v>580</v>
      </c>
    </row>
    <row r="122">
      <c r="C122" s="96" t="s">
        <v>173</v>
      </c>
      <c r="D122" s="97">
        <v>3.0</v>
      </c>
      <c r="E122" s="97">
        <v>1.0</v>
      </c>
      <c r="F122" s="98">
        <v>2.0</v>
      </c>
    </row>
    <row r="123">
      <c r="C123" s="96" t="s">
        <v>90</v>
      </c>
      <c r="D123" s="97">
        <v>3.0</v>
      </c>
      <c r="E123" s="97">
        <v>2.0</v>
      </c>
      <c r="F123" s="98">
        <v>1.0</v>
      </c>
    </row>
    <row r="124">
      <c r="C124" s="96" t="s">
        <v>149</v>
      </c>
      <c r="D124" s="97">
        <v>2.0</v>
      </c>
      <c r="E124" s="97">
        <v>2.0</v>
      </c>
      <c r="F124" s="98">
        <v>2.0</v>
      </c>
    </row>
    <row r="125">
      <c r="C125" s="106" t="s">
        <v>215</v>
      </c>
      <c r="D125" s="107">
        <v>2.0</v>
      </c>
      <c r="E125" s="107">
        <v>3.0</v>
      </c>
      <c r="F125" s="108" t="s">
        <v>580</v>
      </c>
    </row>
    <row r="126">
      <c r="C126" s="111">
        <v>48.0</v>
      </c>
      <c r="D126" s="110">
        <f t="shared" ref="D126:F126" si="2">SUM(D77:D125)</f>
        <v>77</v>
      </c>
      <c r="E126" s="110">
        <f t="shared" si="2"/>
        <v>63</v>
      </c>
      <c r="F126" s="110">
        <f t="shared" si="2"/>
        <v>71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13"/>
    <col customWidth="1" min="2" max="2" width="14.13"/>
    <col customWidth="1" min="3" max="3" width="20.13"/>
    <col customWidth="1" min="4" max="4" width="19.25"/>
    <col customWidth="1" min="5" max="5" width="24.5"/>
    <col customWidth="1" min="6" max="6" width="24.38"/>
    <col customWidth="1" min="7" max="7" width="23.75"/>
    <col customWidth="1" min="8" max="8" width="23.5"/>
  </cols>
  <sheetData>
    <row r="1">
      <c r="A1" s="112" t="s">
        <v>583</v>
      </c>
      <c r="B1" s="113" t="s">
        <v>584</v>
      </c>
      <c r="C1" s="113" t="s">
        <v>585</v>
      </c>
      <c r="D1" s="113" t="s">
        <v>586</v>
      </c>
      <c r="E1" s="113" t="s">
        <v>587</v>
      </c>
      <c r="F1" s="113" t="s">
        <v>588</v>
      </c>
      <c r="G1" s="113" t="s">
        <v>589</v>
      </c>
      <c r="H1" s="114" t="s">
        <v>590</v>
      </c>
      <c r="I1" s="115"/>
    </row>
    <row r="2">
      <c r="A2" s="116" t="s">
        <v>347</v>
      </c>
      <c r="B2" s="117" t="s">
        <v>23</v>
      </c>
      <c r="C2" s="118" t="str">
        <f>IFERROR(__xludf.DUMMYFUNCTION("FILTER(A2:A103, B2:B103 = ""m"")"),"razvijalec")</f>
        <v>razvijalec</v>
      </c>
      <c r="D2" s="118" t="str">
        <f>IFERROR(__xludf.DUMMYFUNCTION("FILTER(A2:A103, B2:B103 = ""f"")"),"oblikovalka")</f>
        <v>oblikovalka</v>
      </c>
      <c r="E2" s="118" t="str">
        <f>IFERROR(__xludf.DUMMYFUNCTION("UNIQUE(C2:C79)"),"razvijalec")</f>
        <v>razvijalec</v>
      </c>
      <c r="F2" s="119">
        <f t="shared" ref="F2:F36" si="1">COUNTIF(C2:C79, E2)</f>
        <v>4</v>
      </c>
      <c r="G2" s="118" t="str">
        <f>IFERROR(__xludf.DUMMYFUNCTION("UNIQUE(D2:D79)"),"oblikovalka")</f>
        <v>oblikovalka</v>
      </c>
      <c r="H2" s="120">
        <f t="shared" ref="H2:H18" si="2">COUNTIF(D2:D24, G2)</f>
        <v>1</v>
      </c>
    </row>
    <row r="3">
      <c r="A3" s="121" t="s">
        <v>27</v>
      </c>
      <c r="B3" s="122" t="s">
        <v>26</v>
      </c>
      <c r="C3" s="123" t="str">
        <f>IFERROR(__xludf.DUMMYFUNCTION("""COMPUTED_VALUE"""),"mehanik")</f>
        <v>mehanik</v>
      </c>
      <c r="D3" s="123" t="str">
        <f>IFERROR(__xludf.DUMMYFUNCTION("""COMPUTED_VALUE"""),"gospodinja")</f>
        <v>gospodinja</v>
      </c>
      <c r="E3" s="123" t="str">
        <f>IFERROR(__xludf.DUMMYFUNCTION("""COMPUTED_VALUE"""),"mehanik")</f>
        <v>mehanik</v>
      </c>
      <c r="F3" s="124">
        <f t="shared" si="1"/>
        <v>5</v>
      </c>
      <c r="G3" s="123" t="str">
        <f>IFERROR(__xludf.DUMMYFUNCTION("""COMPUTED_VALUE"""),"gospodinja")</f>
        <v>gospodinja</v>
      </c>
      <c r="H3" s="125">
        <f t="shared" si="2"/>
        <v>2</v>
      </c>
    </row>
    <row r="4">
      <c r="A4" s="116" t="s">
        <v>39</v>
      </c>
      <c r="B4" s="117" t="s">
        <v>26</v>
      </c>
      <c r="C4" s="118" t="str">
        <f>IFERROR(__xludf.DUMMYFUNCTION("""COMPUTED_VALUE"""),"prodajalec")</f>
        <v>prodajalec</v>
      </c>
      <c r="D4" s="118" t="str">
        <f>IFERROR(__xludf.DUMMYFUNCTION("""COMPUTED_VALUE"""),"gospodinja")</f>
        <v>gospodinja</v>
      </c>
      <c r="E4" s="118" t="str">
        <f>IFERROR(__xludf.DUMMYFUNCTION("""COMPUTED_VALUE"""),"prodajalec")</f>
        <v>prodajalec</v>
      </c>
      <c r="F4" s="119">
        <f t="shared" si="1"/>
        <v>8</v>
      </c>
      <c r="G4" s="118" t="str">
        <f>IFERROR(__xludf.DUMMYFUNCTION("""COMPUTED_VALUE"""),"kuharica")</f>
        <v>kuharica</v>
      </c>
      <c r="H4" s="120">
        <f t="shared" si="2"/>
        <v>1</v>
      </c>
    </row>
    <row r="5">
      <c r="A5" s="121" t="s">
        <v>150</v>
      </c>
      <c r="B5" s="122" t="s">
        <v>26</v>
      </c>
      <c r="C5" s="123" t="str">
        <f>IFERROR(__xludf.DUMMYFUNCTION("""COMPUTED_VALUE"""),"selilec")</f>
        <v>selilec</v>
      </c>
      <c r="D5" s="123" t="str">
        <f>IFERROR(__xludf.DUMMYFUNCTION("""COMPUTED_VALUE"""),"kuharica")</f>
        <v>kuharica</v>
      </c>
      <c r="E5" s="123" t="str">
        <f>IFERROR(__xludf.DUMMYFUNCTION("""COMPUTED_VALUE"""),"selilec")</f>
        <v>selilec</v>
      </c>
      <c r="F5" s="124">
        <f t="shared" si="1"/>
        <v>1</v>
      </c>
      <c r="G5" s="123" t="str">
        <f>IFERROR(__xludf.DUMMYFUNCTION("""COMPUTED_VALUE"""),"tajnica")</f>
        <v>tajnica</v>
      </c>
      <c r="H5" s="125">
        <f t="shared" si="2"/>
        <v>2</v>
      </c>
    </row>
    <row r="6">
      <c r="A6" s="116" t="s">
        <v>49</v>
      </c>
      <c r="B6" s="117" t="s">
        <v>26</v>
      </c>
      <c r="C6" s="118" t="str">
        <f>IFERROR(__xludf.DUMMYFUNCTION("""COMPUTED_VALUE"""),"šef")</f>
        <v>šef</v>
      </c>
      <c r="D6" s="118" t="str">
        <f>IFERROR(__xludf.DUMMYFUNCTION("""COMPUTED_VALUE"""),"tajnica")</f>
        <v>tajnica</v>
      </c>
      <c r="E6" s="118" t="str">
        <f>IFERROR(__xludf.DUMMYFUNCTION("""COMPUTED_VALUE"""),"šef")</f>
        <v>šef</v>
      </c>
      <c r="F6" s="119">
        <f t="shared" si="1"/>
        <v>1</v>
      </c>
      <c r="G6" s="118" t="str">
        <f>IFERROR(__xludf.DUMMYFUNCTION("""COMPUTED_VALUE"""),"selilka")</f>
        <v>selilka</v>
      </c>
      <c r="H6" s="120">
        <f t="shared" si="2"/>
        <v>1</v>
      </c>
    </row>
    <row r="7">
      <c r="A7" s="121" t="s">
        <v>50</v>
      </c>
      <c r="B7" s="122" t="s">
        <v>23</v>
      </c>
      <c r="C7" s="123" t="str">
        <f>IFERROR(__xludf.DUMMYFUNCTION("""COMPUTED_VALUE"""),"odvetnik")</f>
        <v>odvetnik</v>
      </c>
      <c r="D7" s="123" t="str">
        <f>IFERROR(__xludf.DUMMYFUNCTION("""COMPUTED_VALUE"""),"selilka")</f>
        <v>selilka</v>
      </c>
      <c r="E7" s="123" t="str">
        <f>IFERROR(__xludf.DUMMYFUNCTION("""COMPUTED_VALUE"""),"odvetnik")</f>
        <v>odvetnik</v>
      </c>
      <c r="F7" s="124">
        <f t="shared" si="1"/>
        <v>1</v>
      </c>
      <c r="G7" s="123" t="str">
        <f>IFERROR(__xludf.DUMMYFUNCTION("""COMPUTED_VALUE"""),"direktorica")</f>
        <v>direktorica</v>
      </c>
      <c r="H7" s="125">
        <f t="shared" si="2"/>
        <v>1</v>
      </c>
    </row>
    <row r="8">
      <c r="A8" s="116" t="s">
        <v>60</v>
      </c>
      <c r="B8" s="117" t="s">
        <v>26</v>
      </c>
      <c r="C8" s="118" t="str">
        <f>IFERROR(__xludf.DUMMYFUNCTION("""COMPUTED_VALUE"""),"frizer")</f>
        <v>frizer</v>
      </c>
      <c r="D8" s="118" t="str">
        <f>IFERROR(__xludf.DUMMYFUNCTION("""COMPUTED_VALUE"""),"direktorica")</f>
        <v>direktorica</v>
      </c>
      <c r="E8" s="118" t="str">
        <f>IFERROR(__xludf.DUMMYFUNCTION("""COMPUTED_VALUE"""),"frizer")</f>
        <v>frizer</v>
      </c>
      <c r="F8" s="119">
        <f t="shared" si="1"/>
        <v>4</v>
      </c>
      <c r="G8" s="118" t="str">
        <f>IFERROR(__xludf.DUMMYFUNCTION("""COMPUTED_VALUE"""),"varnarka")</f>
        <v>varnarka</v>
      </c>
      <c r="H8" s="120">
        <f t="shared" si="2"/>
        <v>2</v>
      </c>
    </row>
    <row r="9">
      <c r="A9" s="121" t="s">
        <v>50</v>
      </c>
      <c r="B9" s="122" t="s">
        <v>23</v>
      </c>
      <c r="C9" s="123" t="str">
        <f>IFERROR(__xludf.DUMMYFUNCTION("""COMPUTED_VALUE"""),"frizer")</f>
        <v>frizer</v>
      </c>
      <c r="D9" s="123" t="str">
        <f>IFERROR(__xludf.DUMMYFUNCTION("""COMPUTED_VALUE"""),"varnarka")</f>
        <v>varnarka</v>
      </c>
      <c r="E9" s="123" t="str">
        <f>IFERROR(__xludf.DUMMYFUNCTION("""COMPUTED_VALUE"""),"direktor")</f>
        <v>direktor</v>
      </c>
      <c r="F9" s="124">
        <f t="shared" si="1"/>
        <v>1</v>
      </c>
      <c r="G9" s="123" t="str">
        <f>IFERROR(__xludf.DUMMYFUNCTION("""COMPUTED_VALUE"""),"prodajalka")</f>
        <v>prodajalka</v>
      </c>
      <c r="H9" s="125">
        <f t="shared" si="2"/>
        <v>1</v>
      </c>
    </row>
    <row r="10">
      <c r="A10" s="116" t="s">
        <v>68</v>
      </c>
      <c r="B10" s="117" t="s">
        <v>26</v>
      </c>
      <c r="C10" s="118" t="str">
        <f>IFERROR(__xludf.DUMMYFUNCTION("""COMPUTED_VALUE"""),"razvijalec")</f>
        <v>razvijalec</v>
      </c>
      <c r="D10" s="118" t="str">
        <f>IFERROR(__xludf.DUMMYFUNCTION("""COMPUTED_VALUE"""),"prodajalka")</f>
        <v>prodajalka</v>
      </c>
      <c r="E10" s="118" t="str">
        <f>IFERROR(__xludf.DUMMYFUNCTION("""COMPUTED_VALUE"""),"varnostnik")</f>
        <v>varnostnik</v>
      </c>
      <c r="F10" s="119">
        <f t="shared" si="1"/>
        <v>1</v>
      </c>
      <c r="G10" s="118" t="str">
        <f>IFERROR(__xludf.DUMMYFUNCTION("""COMPUTED_VALUE"""),"revizorka")</f>
        <v>revizorka</v>
      </c>
      <c r="H10" s="120">
        <f t="shared" si="2"/>
        <v>1</v>
      </c>
    </row>
    <row r="11">
      <c r="A11" s="121" t="s">
        <v>69</v>
      </c>
      <c r="B11" s="122" t="s">
        <v>26</v>
      </c>
      <c r="C11" s="123" t="str">
        <f>IFERROR(__xludf.DUMMYFUNCTION("""COMPUTED_VALUE"""),"frizer")</f>
        <v>frizer</v>
      </c>
      <c r="D11" s="123" t="str">
        <f>IFERROR(__xludf.DUMMYFUNCTION("""COMPUTED_VALUE"""),"revizorka")</f>
        <v>revizorka</v>
      </c>
      <c r="E11" s="123" t="str">
        <f>IFERROR(__xludf.DUMMYFUNCTION("""COMPUTED_VALUE"""),"urednik")</f>
        <v>urednik</v>
      </c>
      <c r="F11" s="124">
        <f t="shared" si="1"/>
        <v>4</v>
      </c>
      <c r="G11" s="123" t="str">
        <f>IFERROR(__xludf.DUMMYFUNCTION("""COMPUTED_VALUE"""),"selivka")</f>
        <v>selivka</v>
      </c>
      <c r="H11" s="125">
        <f t="shared" si="2"/>
        <v>1</v>
      </c>
    </row>
    <row r="12">
      <c r="A12" s="116" t="s">
        <v>69</v>
      </c>
      <c r="B12" s="117" t="s">
        <v>26</v>
      </c>
      <c r="C12" s="118" t="str">
        <f>IFERROR(__xludf.DUMMYFUNCTION("""COMPUTED_VALUE"""),"direktor")</f>
        <v>direktor</v>
      </c>
      <c r="D12" s="118" t="str">
        <f>IFERROR(__xludf.DUMMYFUNCTION("""COMPUTED_VALUE"""),"varnarka")</f>
        <v>varnarka</v>
      </c>
      <c r="E12" s="118" t="str">
        <f>IFERROR(__xludf.DUMMYFUNCTION("""COMPUTED_VALUE"""),"pomočnik")</f>
        <v>pomočnik</v>
      </c>
      <c r="F12" s="119">
        <f t="shared" si="1"/>
        <v>3</v>
      </c>
      <c r="G12" s="118" t="str">
        <f>IFERROR(__xludf.DUMMYFUNCTION("""COMPUTED_VALUE"""),"zdravnica")</f>
        <v>zdravnica</v>
      </c>
      <c r="H12" s="120">
        <f t="shared" si="2"/>
        <v>3</v>
      </c>
    </row>
    <row r="13">
      <c r="A13" s="121" t="s">
        <v>78</v>
      </c>
      <c r="B13" s="122" t="s">
        <v>23</v>
      </c>
      <c r="C13" s="123" t="str">
        <f>IFERROR(__xludf.DUMMYFUNCTION("""COMPUTED_VALUE"""),"frizer")</f>
        <v>frizer</v>
      </c>
      <c r="D13" s="123" t="str">
        <f>IFERROR(__xludf.DUMMYFUNCTION("""COMPUTED_VALUE"""),"tajnica")</f>
        <v>tajnica</v>
      </c>
      <c r="E13" s="123" t="str">
        <f>IFERROR(__xludf.DUMMYFUNCTION("""COMPUTED_VALUE"""),"kmet")</f>
        <v>kmet</v>
      </c>
      <c r="F13" s="124">
        <f t="shared" si="1"/>
        <v>3</v>
      </c>
      <c r="G13" s="123" t="str">
        <f>IFERROR(__xludf.DUMMYFUNCTION("""COMPUTED_VALUE"""),"frizerka")</f>
        <v>frizerka</v>
      </c>
      <c r="H13" s="125">
        <f t="shared" si="2"/>
        <v>2</v>
      </c>
    </row>
    <row r="14">
      <c r="A14" s="116" t="s">
        <v>27</v>
      </c>
      <c r="B14" s="117" t="s">
        <v>26</v>
      </c>
      <c r="C14" s="118" t="str">
        <f>IFERROR(__xludf.DUMMYFUNCTION("""COMPUTED_VALUE"""),"varnostnik")</f>
        <v>varnostnik</v>
      </c>
      <c r="D14" s="118" t="str">
        <f>IFERROR(__xludf.DUMMYFUNCTION("""COMPUTED_VALUE"""),"selivka")</f>
        <v>selivka</v>
      </c>
      <c r="E14" s="118" t="str">
        <f>IFERROR(__xludf.DUMMYFUNCTION("""COMPUTED_VALUE"""),"oblikovalec")</f>
        <v>oblikovalec</v>
      </c>
      <c r="F14" s="119">
        <f t="shared" si="1"/>
        <v>6</v>
      </c>
      <c r="G14" s="118" t="str">
        <f>IFERROR(__xludf.DUMMYFUNCTION("""COMPUTED_VALUE"""),"voznica")</f>
        <v>voznica</v>
      </c>
      <c r="H14" s="120">
        <f t="shared" si="2"/>
        <v>1</v>
      </c>
    </row>
    <row r="15">
      <c r="A15" s="121" t="s">
        <v>69</v>
      </c>
      <c r="B15" s="122" t="s">
        <v>26</v>
      </c>
      <c r="C15" s="123" t="str">
        <f>IFERROR(__xludf.DUMMYFUNCTION("""COMPUTED_VALUE"""),"urednik")</f>
        <v>urednik</v>
      </c>
      <c r="D15" s="123" t="str">
        <f>IFERROR(__xludf.DUMMYFUNCTION("""COMPUTED_VALUE"""),"zdravnica")</f>
        <v>zdravnica</v>
      </c>
      <c r="E15" s="123" t="str">
        <f>IFERROR(__xludf.DUMMYFUNCTION("""COMPUTED_VALUE"""),"krojač")</f>
        <v>krojač</v>
      </c>
      <c r="F15" s="124">
        <f t="shared" si="1"/>
        <v>3</v>
      </c>
      <c r="G15" s="123" t="str">
        <f>IFERROR(__xludf.DUMMYFUNCTION("""COMPUTED_VALUE"""),"odvetnica")</f>
        <v>odvetnica</v>
      </c>
      <c r="H15" s="125">
        <f t="shared" si="2"/>
        <v>1</v>
      </c>
    </row>
    <row r="16">
      <c r="A16" s="116" t="s">
        <v>383</v>
      </c>
      <c r="B16" s="117" t="s">
        <v>26</v>
      </c>
      <c r="C16" s="118" t="str">
        <f>IFERROR(__xludf.DUMMYFUNCTION("""COMPUTED_VALUE"""),"prodajalec")</f>
        <v>prodajalec</v>
      </c>
      <c r="D16" s="118" t="str">
        <f>IFERROR(__xludf.DUMMYFUNCTION("""COMPUTED_VALUE"""),"frizerka")</f>
        <v>frizerka</v>
      </c>
      <c r="E16" s="118" t="str">
        <f>IFERROR(__xludf.DUMMYFUNCTION("""COMPUTED_VALUE"""),"generalni direktor")</f>
        <v>generalni direktor</v>
      </c>
      <c r="F16" s="119">
        <f t="shared" si="1"/>
        <v>1</v>
      </c>
      <c r="G16" s="118" t="str">
        <f>IFERROR(__xludf.DUMMYFUNCTION("""COMPUTED_VALUE"""),"programerka")</f>
        <v>programerka</v>
      </c>
      <c r="H16" s="120">
        <f t="shared" si="2"/>
        <v>1</v>
      </c>
    </row>
    <row r="17">
      <c r="A17" s="121" t="s">
        <v>69</v>
      </c>
      <c r="B17" s="122" t="s">
        <v>26</v>
      </c>
      <c r="C17" s="123" t="str">
        <f>IFERROR(__xludf.DUMMYFUNCTION("""COMPUTED_VALUE"""),"pomočnik")</f>
        <v>pomočnik</v>
      </c>
      <c r="D17" s="123" t="str">
        <f>IFERROR(__xludf.DUMMYFUNCTION("""COMPUTED_VALUE"""),"zdravnica")</f>
        <v>zdravnica</v>
      </c>
      <c r="E17" s="123" t="str">
        <f>IFERROR(__xludf.DUMMYFUNCTION("""COMPUTED_VALUE"""),"receptor")</f>
        <v>receptor</v>
      </c>
      <c r="F17" s="124">
        <f t="shared" si="1"/>
        <v>4</v>
      </c>
      <c r="G17" s="123" t="str">
        <f>IFERROR(__xludf.DUMMYFUNCTION("""COMPUTED_VALUE"""),"gradbenica")</f>
        <v>gradbenica</v>
      </c>
      <c r="H17" s="125">
        <f t="shared" si="2"/>
        <v>1</v>
      </c>
    </row>
    <row r="18">
      <c r="A18" s="116" t="s">
        <v>173</v>
      </c>
      <c r="B18" s="117" t="s">
        <v>26</v>
      </c>
      <c r="C18" s="118" t="str">
        <f>IFERROR(__xludf.DUMMYFUNCTION("""COMPUTED_VALUE"""),"kmet")</f>
        <v>kmet</v>
      </c>
      <c r="D18" s="118" t="str">
        <f>IFERROR(__xludf.DUMMYFUNCTION("""COMPUTED_VALUE"""),"frizerka")</f>
        <v>frizerka</v>
      </c>
      <c r="E18" s="118" t="str">
        <f>IFERROR(__xludf.DUMMYFUNCTION("""COMPUTED_VALUE"""),"voznik")</f>
        <v>voznik</v>
      </c>
      <c r="F18" s="119">
        <f t="shared" si="1"/>
        <v>1</v>
      </c>
      <c r="G18" s="118" t="str">
        <f>IFERROR(__xludf.DUMMYFUNCTION("""COMPUTED_VALUE"""),"varnostnica")</f>
        <v>varnostnica</v>
      </c>
      <c r="H18" s="120">
        <f t="shared" si="2"/>
        <v>1</v>
      </c>
    </row>
    <row r="19">
      <c r="A19" s="121" t="s">
        <v>174</v>
      </c>
      <c r="B19" s="122" t="s">
        <v>26</v>
      </c>
      <c r="C19" s="123" t="str">
        <f>IFERROR(__xludf.DUMMYFUNCTION("""COMPUTED_VALUE"""),"oblikovalec")</f>
        <v>oblikovalec</v>
      </c>
      <c r="D19" s="123" t="str">
        <f>IFERROR(__xludf.DUMMYFUNCTION("""COMPUTED_VALUE"""),"voznica")</f>
        <v>voznica</v>
      </c>
      <c r="E19" s="123" t="str">
        <f>IFERROR(__xludf.DUMMYFUNCTION("""COMPUTED_VALUE"""),"knjižničar")</f>
        <v>knjižničar</v>
      </c>
      <c r="F19" s="124">
        <f t="shared" si="1"/>
        <v>1</v>
      </c>
      <c r="G19" s="123"/>
      <c r="H19" s="125"/>
    </row>
    <row r="20">
      <c r="A20" s="116" t="s">
        <v>150</v>
      </c>
      <c r="B20" s="117" t="s">
        <v>26</v>
      </c>
      <c r="C20" s="118" t="str">
        <f>IFERROR(__xludf.DUMMYFUNCTION("""COMPUTED_VALUE"""),"razvijalec")</f>
        <v>razvijalec</v>
      </c>
      <c r="D20" s="118" t="str">
        <f>IFERROR(__xludf.DUMMYFUNCTION("""COMPUTED_VALUE"""),"odvetnica")</f>
        <v>odvetnica</v>
      </c>
      <c r="E20" s="118" t="str">
        <f>IFERROR(__xludf.DUMMYFUNCTION("""COMPUTED_VALUE"""),"asistent")</f>
        <v>asistent</v>
      </c>
      <c r="F20" s="119">
        <f t="shared" si="1"/>
        <v>1</v>
      </c>
      <c r="H20" s="120"/>
    </row>
    <row r="21">
      <c r="A21" s="121" t="s">
        <v>185</v>
      </c>
      <c r="B21" s="122" t="s">
        <v>26</v>
      </c>
      <c r="C21" s="123" t="str">
        <f>IFERROR(__xludf.DUMMYFUNCTION("""COMPUTED_VALUE"""),"krojač")</f>
        <v>krojač</v>
      </c>
      <c r="D21" s="123" t="str">
        <f>IFERROR(__xludf.DUMMYFUNCTION("""COMPUTED_VALUE"""),"programerka")</f>
        <v>programerka</v>
      </c>
      <c r="E21" s="123" t="str">
        <f>IFERROR(__xludf.DUMMYFUNCTION("""COMPUTED_VALUE"""),"čistilec")</f>
        <v>čistilec</v>
      </c>
      <c r="F21" s="124">
        <f t="shared" si="1"/>
        <v>4</v>
      </c>
      <c r="H21" s="125"/>
    </row>
    <row r="22">
      <c r="A22" s="116" t="s">
        <v>116</v>
      </c>
      <c r="B22" s="117" t="s">
        <v>26</v>
      </c>
      <c r="C22" s="118" t="str">
        <f>IFERROR(__xludf.DUMMYFUNCTION("""COMPUTED_VALUE"""),"prodajalec")</f>
        <v>prodajalec</v>
      </c>
      <c r="D22" s="118" t="str">
        <f>IFERROR(__xludf.DUMMYFUNCTION("""COMPUTED_VALUE"""),"zdravnica")</f>
        <v>zdravnica</v>
      </c>
      <c r="E22" s="118" t="str">
        <f>IFERROR(__xludf.DUMMYFUNCTION("""COMPUTED_VALUE"""),"revizorka")</f>
        <v>revizorka</v>
      </c>
      <c r="F22" s="119">
        <f t="shared" si="1"/>
        <v>1</v>
      </c>
      <c r="H22" s="120"/>
    </row>
    <row r="23">
      <c r="A23" s="121" t="s">
        <v>25</v>
      </c>
      <c r="B23" s="122" t="s">
        <v>26</v>
      </c>
      <c r="C23" s="123" t="str">
        <f>IFERROR(__xludf.DUMMYFUNCTION("""COMPUTED_VALUE"""),"pomočnik")</f>
        <v>pomočnik</v>
      </c>
      <c r="D23" s="123" t="str">
        <f>IFERROR(__xludf.DUMMYFUNCTION("""COMPUTED_VALUE"""),"gradbenica")</f>
        <v>gradbenica</v>
      </c>
      <c r="E23" s="123" t="str">
        <f>IFERROR(__xludf.DUMMYFUNCTION("""COMPUTED_VALUE"""),"vodja")</f>
        <v>vodja</v>
      </c>
      <c r="F23" s="124">
        <f t="shared" si="1"/>
        <v>2</v>
      </c>
      <c r="H23" s="125"/>
    </row>
    <row r="24">
      <c r="A24" s="116" t="s">
        <v>27</v>
      </c>
      <c r="B24" s="117" t="s">
        <v>26</v>
      </c>
      <c r="C24" s="118" t="str">
        <f>IFERROR(__xludf.DUMMYFUNCTION("""COMPUTED_VALUE"""),"generalni direktor")</f>
        <v>generalni direktor</v>
      </c>
      <c r="D24" s="118" t="str">
        <f>IFERROR(__xludf.DUMMYFUNCTION("""COMPUTED_VALUE"""),"varnostnica")</f>
        <v>varnostnica</v>
      </c>
      <c r="E24" s="118" t="str">
        <f>IFERROR(__xludf.DUMMYFUNCTION("""COMPUTED_VALUE"""),"pek")</f>
        <v>pek</v>
      </c>
      <c r="F24" s="119">
        <f t="shared" si="1"/>
        <v>1</v>
      </c>
      <c r="H24" s="120"/>
    </row>
    <row r="25">
      <c r="A25" s="121" t="s">
        <v>123</v>
      </c>
      <c r="B25" s="122" t="s">
        <v>26</v>
      </c>
      <c r="C25" s="123" t="str">
        <f>IFERROR(__xludf.DUMMYFUNCTION("""COMPUTED_VALUE"""),"receptor")</f>
        <v>receptor</v>
      </c>
      <c r="E25" s="123" t="str">
        <f>IFERROR(__xludf.DUMMYFUNCTION("""COMPUTED_VALUE"""),"deložer")</f>
        <v>deložer</v>
      </c>
      <c r="F25" s="124">
        <f t="shared" si="1"/>
        <v>1</v>
      </c>
      <c r="H25" s="125"/>
    </row>
    <row r="26">
      <c r="A26" s="116" t="s">
        <v>293</v>
      </c>
      <c r="B26" s="117" t="s">
        <v>23</v>
      </c>
      <c r="C26" s="118" t="str">
        <f>IFERROR(__xludf.DUMMYFUNCTION("""COMPUTED_VALUE"""),"voznik")</f>
        <v>voznik</v>
      </c>
      <c r="E26" s="118" t="str">
        <f>IFERROR(__xludf.DUMMYFUNCTION("""COMPUTED_VALUE"""),"blagajnik")</f>
        <v>blagajnik</v>
      </c>
      <c r="F26" s="119">
        <f t="shared" si="1"/>
        <v>2</v>
      </c>
      <c r="H26" s="120"/>
    </row>
    <row r="27">
      <c r="A27" s="121" t="s">
        <v>591</v>
      </c>
      <c r="B27" s="122" t="s">
        <v>23</v>
      </c>
      <c r="C27" s="123" t="str">
        <f>IFERROR(__xludf.DUMMYFUNCTION("""COMPUTED_VALUE"""),"prodajalec")</f>
        <v>prodajalec</v>
      </c>
      <c r="E27" s="123" t="str">
        <f>IFERROR(__xludf.DUMMYFUNCTION("""COMPUTED_VALUE"""),"pisatelj")</f>
        <v>pisatelj</v>
      </c>
      <c r="F27" s="124">
        <f t="shared" si="1"/>
        <v>2</v>
      </c>
      <c r="H27" s="125"/>
    </row>
    <row r="28">
      <c r="A28" s="116" t="s">
        <v>150</v>
      </c>
      <c r="B28" s="117" t="s">
        <v>26</v>
      </c>
      <c r="C28" s="118" t="str">
        <f>IFERROR(__xludf.DUMMYFUNCTION("""COMPUTED_VALUE"""),"prodajalec")</f>
        <v>prodajalec</v>
      </c>
      <c r="E28" s="118" t="str">
        <f>IFERROR(__xludf.DUMMYFUNCTION("""COMPUTED_VALUE"""),"medicinski tehnik")</f>
        <v>medicinski tehnik</v>
      </c>
      <c r="F28" s="119">
        <f t="shared" si="1"/>
        <v>1</v>
      </c>
      <c r="H28" s="120"/>
    </row>
    <row r="29">
      <c r="A29" s="121" t="s">
        <v>185</v>
      </c>
      <c r="B29" s="122" t="s">
        <v>26</v>
      </c>
      <c r="C29" s="123" t="str">
        <f>IFERROR(__xludf.DUMMYFUNCTION("""COMPUTED_VALUE"""),"knjižničar")</f>
        <v>knjižničar</v>
      </c>
      <c r="E29" s="123" t="str">
        <f>IFERROR(__xludf.DUMMYFUNCTION("""COMPUTED_VALUE"""),"gradbeni delavec")</f>
        <v>gradbeni delavec</v>
      </c>
      <c r="F29" s="124">
        <f t="shared" si="1"/>
        <v>1</v>
      </c>
      <c r="H29" s="125"/>
    </row>
    <row r="30">
      <c r="A30" s="116" t="s">
        <v>165</v>
      </c>
      <c r="B30" s="117" t="s">
        <v>26</v>
      </c>
      <c r="C30" s="118" t="str">
        <f>IFERROR(__xludf.DUMMYFUNCTION("""COMPUTED_VALUE"""),"receptor")</f>
        <v>receptor</v>
      </c>
      <c r="E30" s="118" t="str">
        <f>IFERROR(__xludf.DUMMYFUNCTION("""COMPUTED_VALUE"""),"svetovalec")</f>
        <v>svetovalec</v>
      </c>
      <c r="F30" s="119">
        <f t="shared" si="1"/>
        <v>1</v>
      </c>
      <c r="H30" s="120"/>
    </row>
    <row r="31">
      <c r="A31" s="121" t="s">
        <v>97</v>
      </c>
      <c r="B31" s="122" t="s">
        <v>26</v>
      </c>
      <c r="C31" s="123" t="str">
        <f>IFERROR(__xludf.DUMMYFUNCTION("""COMPUTED_VALUE"""),"urednik")</f>
        <v>urednik</v>
      </c>
      <c r="E31" s="123" t="str">
        <f>IFERROR(__xludf.DUMMYFUNCTION("""COMPUTED_VALUE"""),"analitik")</f>
        <v>analitik</v>
      </c>
      <c r="F31" s="124">
        <f t="shared" si="1"/>
        <v>1</v>
      </c>
      <c r="H31" s="125"/>
    </row>
    <row r="32">
      <c r="A32" s="116" t="s">
        <v>149</v>
      </c>
      <c r="B32" s="117" t="s">
        <v>26</v>
      </c>
      <c r="C32" s="118" t="str">
        <f>IFERROR(__xludf.DUMMYFUNCTION("""COMPUTED_VALUE"""),"asistent")</f>
        <v>asistent</v>
      </c>
      <c r="E32" s="118" t="str">
        <f>IFERROR(__xludf.DUMMYFUNCTION("""COMPUTED_VALUE"""),"tajnik")</f>
        <v>tajnik</v>
      </c>
      <c r="F32" s="119">
        <f t="shared" si="1"/>
        <v>1</v>
      </c>
      <c r="H32" s="120"/>
    </row>
    <row r="33">
      <c r="A33" s="121" t="s">
        <v>150</v>
      </c>
      <c r="B33" s="122" t="s">
        <v>26</v>
      </c>
      <c r="C33" s="123" t="str">
        <f>IFERROR(__xludf.DUMMYFUNCTION("""COMPUTED_VALUE"""),"prodajalec")</f>
        <v>prodajalec</v>
      </c>
      <c r="E33" s="123" t="str">
        <f>IFERROR(__xludf.DUMMYFUNCTION("""COMPUTED_VALUE"""),"tesar")</f>
        <v>tesar</v>
      </c>
      <c r="F33" s="124">
        <f t="shared" si="1"/>
        <v>2</v>
      </c>
      <c r="H33" s="125"/>
    </row>
    <row r="34">
      <c r="A34" s="116" t="s">
        <v>150</v>
      </c>
      <c r="B34" s="117" t="s">
        <v>26</v>
      </c>
      <c r="C34" s="118" t="str">
        <f>IFERROR(__xludf.DUMMYFUNCTION("""COMPUTED_VALUE"""),"čistilec")</f>
        <v>čistilec</v>
      </c>
      <c r="E34" s="118" t="str">
        <f>IFERROR(__xludf.DUMMYFUNCTION("""COMPUTED_VALUE"""),"kuhar")</f>
        <v>kuhar</v>
      </c>
      <c r="F34" s="119">
        <f t="shared" si="1"/>
        <v>2</v>
      </c>
      <c r="H34" s="120"/>
    </row>
    <row r="35">
      <c r="A35" s="126" t="s">
        <v>158</v>
      </c>
      <c r="B35" s="127" t="s">
        <v>26</v>
      </c>
      <c r="C35" s="123" t="str">
        <f>IFERROR(__xludf.DUMMYFUNCTION("""COMPUTED_VALUE"""),"kmet")</f>
        <v>kmet</v>
      </c>
      <c r="E35" s="123" t="str">
        <f>IFERROR(__xludf.DUMMYFUNCTION("""COMPUTED_VALUE"""),"hišnik")</f>
        <v>hišnik</v>
      </c>
      <c r="F35" s="124">
        <f t="shared" si="1"/>
        <v>2</v>
      </c>
      <c r="H35" s="125"/>
    </row>
    <row r="36">
      <c r="A36" s="116" t="s">
        <v>168</v>
      </c>
      <c r="B36" s="117" t="s">
        <v>23</v>
      </c>
      <c r="C36" s="118" t="str">
        <f>IFERROR(__xludf.DUMMYFUNCTION("""COMPUTED_VALUE"""),"oblikovalec")</f>
        <v>oblikovalec</v>
      </c>
      <c r="E36" s="118" t="str">
        <f>IFERROR(__xludf.DUMMYFUNCTION("""COMPUTED_VALUE"""),"delavec")</f>
        <v>delavec</v>
      </c>
      <c r="F36" s="119">
        <f t="shared" si="1"/>
        <v>1</v>
      </c>
      <c r="H36" s="120"/>
    </row>
    <row r="37">
      <c r="A37" s="121" t="s">
        <v>97</v>
      </c>
      <c r="B37" s="122" t="s">
        <v>26</v>
      </c>
      <c r="C37" s="123" t="str">
        <f>IFERROR(__xludf.DUMMYFUNCTION("""COMPUTED_VALUE"""),"mehanik")</f>
        <v>mehanik</v>
      </c>
      <c r="F37" s="124"/>
      <c r="H37" s="125"/>
    </row>
    <row r="38">
      <c r="A38" s="116" t="s">
        <v>592</v>
      </c>
      <c r="B38" s="117" t="s">
        <v>23</v>
      </c>
      <c r="C38" s="118" t="str">
        <f>IFERROR(__xludf.DUMMYFUNCTION("""COMPUTED_VALUE"""),"revizorka")</f>
        <v>revizorka</v>
      </c>
      <c r="F38" s="119"/>
      <c r="H38" s="120"/>
    </row>
    <row r="39">
      <c r="A39" s="121" t="s">
        <v>174</v>
      </c>
      <c r="B39" s="122" t="s">
        <v>26</v>
      </c>
      <c r="C39" s="123" t="str">
        <f>IFERROR(__xludf.DUMMYFUNCTION("""COMPUTED_VALUE"""),"vodja")</f>
        <v>vodja</v>
      </c>
      <c r="F39" s="124"/>
      <c r="H39" s="125"/>
    </row>
    <row r="40">
      <c r="A40" s="116" t="s">
        <v>40</v>
      </c>
      <c r="B40" s="117" t="s">
        <v>23</v>
      </c>
      <c r="C40" s="118" t="str">
        <f>IFERROR(__xludf.DUMMYFUNCTION("""COMPUTED_VALUE"""),"pek")</f>
        <v>pek</v>
      </c>
      <c r="F40" s="119"/>
      <c r="H40" s="120"/>
    </row>
    <row r="41">
      <c r="A41" s="121" t="s">
        <v>182</v>
      </c>
      <c r="B41" s="122" t="s">
        <v>26</v>
      </c>
      <c r="C41" s="123" t="str">
        <f>IFERROR(__xludf.DUMMYFUNCTION("""COMPUTED_VALUE"""),"oblikovalec")</f>
        <v>oblikovalec</v>
      </c>
      <c r="F41" s="124"/>
      <c r="H41" s="125"/>
    </row>
    <row r="42">
      <c r="A42" s="116" t="s">
        <v>189</v>
      </c>
      <c r="B42" s="117" t="s">
        <v>23</v>
      </c>
      <c r="C42" s="118" t="str">
        <f>IFERROR(__xludf.DUMMYFUNCTION("""COMPUTED_VALUE"""),"deložer")</f>
        <v>deložer</v>
      </c>
      <c r="F42" s="119"/>
      <c r="H42" s="120"/>
    </row>
    <row r="43">
      <c r="A43" s="121" t="s">
        <v>592</v>
      </c>
      <c r="B43" s="122" t="s">
        <v>23</v>
      </c>
      <c r="C43" s="123" t="str">
        <f>IFERROR(__xludf.DUMMYFUNCTION("""COMPUTED_VALUE"""),"blagajnik")</f>
        <v>blagajnik</v>
      </c>
      <c r="F43" s="124"/>
      <c r="H43" s="125"/>
    </row>
    <row r="44">
      <c r="A44" s="116" t="s">
        <v>293</v>
      </c>
      <c r="B44" s="117" t="s">
        <v>23</v>
      </c>
      <c r="C44" s="118" t="str">
        <f>IFERROR(__xludf.DUMMYFUNCTION("""COMPUTED_VALUE"""),"razvijalec")</f>
        <v>razvijalec</v>
      </c>
      <c r="F44" s="119"/>
      <c r="H44" s="120"/>
    </row>
    <row r="45">
      <c r="A45" s="121" t="s">
        <v>56</v>
      </c>
      <c r="B45" s="122" t="s">
        <v>23</v>
      </c>
      <c r="C45" s="123" t="str">
        <f>IFERROR(__xludf.DUMMYFUNCTION("""COMPUTED_VALUE"""),"krojač")</f>
        <v>krojač</v>
      </c>
      <c r="F45" s="124"/>
      <c r="H45" s="125"/>
    </row>
    <row r="46">
      <c r="A46" s="116" t="s">
        <v>150</v>
      </c>
      <c r="B46" s="117" t="s">
        <v>26</v>
      </c>
      <c r="C46" s="118" t="str">
        <f>IFERROR(__xludf.DUMMYFUNCTION("""COMPUTED_VALUE"""),"kmet")</f>
        <v>kmet</v>
      </c>
      <c r="F46" s="119"/>
      <c r="H46" s="120"/>
    </row>
    <row r="47">
      <c r="A47" s="121" t="s">
        <v>197</v>
      </c>
      <c r="B47" s="122" t="s">
        <v>26</v>
      </c>
      <c r="C47" s="123" t="str">
        <f>IFERROR(__xludf.DUMMYFUNCTION("""COMPUTED_VALUE"""),"krojač")</f>
        <v>krojač</v>
      </c>
      <c r="F47" s="124"/>
      <c r="H47" s="125"/>
    </row>
    <row r="48">
      <c r="A48" s="116" t="s">
        <v>116</v>
      </c>
      <c r="B48" s="117" t="s">
        <v>26</v>
      </c>
      <c r="C48" s="118" t="str">
        <f>IFERROR(__xludf.DUMMYFUNCTION("""COMPUTED_VALUE"""),"mehanik")</f>
        <v>mehanik</v>
      </c>
      <c r="F48" s="119"/>
      <c r="H48" s="120"/>
    </row>
    <row r="49">
      <c r="A49" s="121" t="s">
        <v>25</v>
      </c>
      <c r="B49" s="122" t="s">
        <v>26</v>
      </c>
      <c r="C49" s="123" t="str">
        <f>IFERROR(__xludf.DUMMYFUNCTION("""COMPUTED_VALUE"""),"urednik")</f>
        <v>urednik</v>
      </c>
      <c r="F49" s="124"/>
      <c r="H49" s="125"/>
    </row>
    <row r="50">
      <c r="A50" s="116" t="s">
        <v>39</v>
      </c>
      <c r="B50" s="117" t="s">
        <v>26</v>
      </c>
      <c r="C50" s="118" t="str">
        <f>IFERROR(__xludf.DUMMYFUNCTION("""COMPUTED_VALUE"""),"receptor")</f>
        <v>receptor</v>
      </c>
      <c r="F50" s="119"/>
      <c r="H50" s="120"/>
    </row>
    <row r="51">
      <c r="A51" s="121" t="s">
        <v>189</v>
      </c>
      <c r="B51" s="122" t="s">
        <v>26</v>
      </c>
      <c r="C51" s="123" t="str">
        <f>IFERROR(__xludf.DUMMYFUNCTION("""COMPUTED_VALUE"""),"vodja")</f>
        <v>vodja</v>
      </c>
      <c r="F51" s="124"/>
      <c r="H51" s="125"/>
    </row>
    <row r="52">
      <c r="A52" s="116" t="s">
        <v>90</v>
      </c>
      <c r="B52" s="117" t="s">
        <v>26</v>
      </c>
      <c r="C52" s="118" t="str">
        <f>IFERROR(__xludf.DUMMYFUNCTION("""COMPUTED_VALUE"""),"čistilec")</f>
        <v>čistilec</v>
      </c>
      <c r="F52" s="119"/>
      <c r="H52" s="120"/>
    </row>
    <row r="53">
      <c r="A53" s="121" t="s">
        <v>209</v>
      </c>
      <c r="B53" s="122" t="s">
        <v>26</v>
      </c>
      <c r="C53" s="123" t="str">
        <f>IFERROR(__xludf.DUMMYFUNCTION("""COMPUTED_VALUE"""),"čistilec")</f>
        <v>čistilec</v>
      </c>
      <c r="F53" s="124"/>
      <c r="H53" s="125"/>
    </row>
    <row r="54">
      <c r="A54" s="116" t="s">
        <v>218</v>
      </c>
      <c r="B54" s="117" t="s">
        <v>23</v>
      </c>
      <c r="C54" s="118" t="str">
        <f>IFERROR(__xludf.DUMMYFUNCTION("""COMPUTED_VALUE"""),"mehanik")</f>
        <v>mehanik</v>
      </c>
      <c r="F54" s="119"/>
      <c r="H54" s="120"/>
    </row>
    <row r="55">
      <c r="A55" s="121" t="s">
        <v>25</v>
      </c>
      <c r="B55" s="122" t="s">
        <v>26</v>
      </c>
      <c r="C55" s="123" t="str">
        <f>IFERROR(__xludf.DUMMYFUNCTION("""COMPUTED_VALUE"""),"pomočnik")</f>
        <v>pomočnik</v>
      </c>
      <c r="F55" s="124"/>
      <c r="H55" s="125"/>
    </row>
    <row r="56">
      <c r="A56" s="116" t="s">
        <v>593</v>
      </c>
      <c r="B56" s="117" t="s">
        <v>26</v>
      </c>
      <c r="C56" s="118" t="str">
        <f>IFERROR(__xludf.DUMMYFUNCTION("""COMPUTED_VALUE"""),"pisatelj")</f>
        <v>pisatelj</v>
      </c>
      <c r="F56" s="119"/>
      <c r="H56" s="120"/>
    </row>
    <row r="57">
      <c r="A57" s="121" t="s">
        <v>73</v>
      </c>
      <c r="B57" s="122" t="s">
        <v>23</v>
      </c>
      <c r="C57" s="123" t="str">
        <f>IFERROR(__xludf.DUMMYFUNCTION("""COMPUTED_VALUE"""),"medicinski tehnik")</f>
        <v>medicinski tehnik</v>
      </c>
      <c r="F57" s="124"/>
      <c r="H57" s="125"/>
    </row>
    <row r="58">
      <c r="A58" s="116" t="s">
        <v>218</v>
      </c>
      <c r="B58" s="117" t="s">
        <v>23</v>
      </c>
      <c r="C58" s="118" t="str">
        <f>IFERROR(__xludf.DUMMYFUNCTION("""COMPUTED_VALUE"""),"gradbeni delavec")</f>
        <v>gradbeni delavec</v>
      </c>
      <c r="F58" s="119"/>
      <c r="H58" s="120"/>
    </row>
    <row r="59">
      <c r="A59" s="121" t="s">
        <v>143</v>
      </c>
      <c r="B59" s="122" t="s">
        <v>26</v>
      </c>
      <c r="C59" s="123" t="str">
        <f>IFERROR(__xludf.DUMMYFUNCTION("""COMPUTED_VALUE"""),"svetovalec")</f>
        <v>svetovalec</v>
      </c>
      <c r="F59" s="124"/>
      <c r="H59" s="125"/>
    </row>
    <row r="60">
      <c r="A60" s="116" t="s">
        <v>73</v>
      </c>
      <c r="B60" s="117" t="s">
        <v>23</v>
      </c>
      <c r="C60" s="118" t="str">
        <f>IFERROR(__xludf.DUMMYFUNCTION("""COMPUTED_VALUE"""),"urednik")</f>
        <v>urednik</v>
      </c>
      <c r="F60" s="119"/>
      <c r="H60" s="120"/>
    </row>
    <row r="61">
      <c r="A61" s="121" t="s">
        <v>153</v>
      </c>
      <c r="B61" s="122" t="s">
        <v>23</v>
      </c>
      <c r="C61" s="123" t="str">
        <f>IFERROR(__xludf.DUMMYFUNCTION("""COMPUTED_VALUE"""),"analitik")</f>
        <v>analitik</v>
      </c>
      <c r="F61" s="124"/>
      <c r="H61" s="125"/>
    </row>
    <row r="62">
      <c r="A62" s="116" t="s">
        <v>27</v>
      </c>
      <c r="B62" s="117" t="s">
        <v>26</v>
      </c>
      <c r="C62" s="118" t="str">
        <f>IFERROR(__xludf.DUMMYFUNCTION("""COMPUTED_VALUE"""),"tajnik")</f>
        <v>tajnik</v>
      </c>
      <c r="F62" s="119"/>
      <c r="H62" s="120"/>
    </row>
    <row r="63">
      <c r="A63" s="121" t="s">
        <v>123</v>
      </c>
      <c r="B63" s="122" t="s">
        <v>26</v>
      </c>
      <c r="C63" s="123" t="str">
        <f>IFERROR(__xludf.DUMMYFUNCTION("""COMPUTED_VALUE"""),"tesar")</f>
        <v>tesar</v>
      </c>
      <c r="F63" s="124"/>
      <c r="H63" s="125"/>
    </row>
    <row r="64">
      <c r="A64" s="116" t="s">
        <v>116</v>
      </c>
      <c r="B64" s="117" t="s">
        <v>26</v>
      </c>
      <c r="C64" s="118" t="str">
        <f>IFERROR(__xludf.DUMMYFUNCTION("""COMPUTED_VALUE"""),"oblikovalec")</f>
        <v>oblikovalec</v>
      </c>
      <c r="F64" s="119"/>
      <c r="H64" s="120"/>
    </row>
    <row r="65">
      <c r="A65" s="121" t="s">
        <v>123</v>
      </c>
      <c r="B65" s="122" t="s">
        <v>26</v>
      </c>
      <c r="C65" s="123" t="str">
        <f>IFERROR(__xludf.DUMMYFUNCTION("""COMPUTED_VALUE"""),"prodajalec")</f>
        <v>prodajalec</v>
      </c>
      <c r="F65" s="124"/>
      <c r="H65" s="125"/>
    </row>
    <row r="66">
      <c r="A66" s="116" t="s">
        <v>39</v>
      </c>
      <c r="B66" s="117" t="s">
        <v>26</v>
      </c>
      <c r="C66" s="118" t="str">
        <f>IFERROR(__xludf.DUMMYFUNCTION("""COMPUTED_VALUE"""),"pisatelj")</f>
        <v>pisatelj</v>
      </c>
      <c r="F66" s="119"/>
      <c r="H66" s="120"/>
    </row>
    <row r="67">
      <c r="A67" s="121" t="s">
        <v>174</v>
      </c>
      <c r="B67" s="122" t="s">
        <v>26</v>
      </c>
      <c r="C67" s="123" t="str">
        <f>IFERROR(__xludf.DUMMYFUNCTION("""COMPUTED_VALUE"""),"kuhar")</f>
        <v>kuhar</v>
      </c>
      <c r="F67" s="124"/>
      <c r="H67" s="125"/>
    </row>
    <row r="68">
      <c r="A68" s="116" t="s">
        <v>97</v>
      </c>
      <c r="B68" s="117" t="s">
        <v>26</v>
      </c>
      <c r="C68" s="118" t="str">
        <f>IFERROR(__xludf.DUMMYFUNCTION("""COMPUTED_VALUE"""),"hišnik")</f>
        <v>hišnik</v>
      </c>
      <c r="F68" s="119"/>
      <c r="H68" s="120"/>
    </row>
    <row r="69">
      <c r="A69" s="126" t="s">
        <v>74</v>
      </c>
      <c r="B69" s="127" t="s">
        <v>23</v>
      </c>
      <c r="C69" s="123" t="str">
        <f>IFERROR(__xludf.DUMMYFUNCTION("""COMPUTED_VALUE"""),"tesar")</f>
        <v>tesar</v>
      </c>
      <c r="F69" s="124"/>
      <c r="H69" s="125"/>
    </row>
    <row r="70">
      <c r="A70" s="116" t="s">
        <v>90</v>
      </c>
      <c r="B70" s="117" t="s">
        <v>26</v>
      </c>
      <c r="C70" s="118" t="str">
        <f>IFERROR(__xludf.DUMMYFUNCTION("""COMPUTED_VALUE"""),"prodajalec")</f>
        <v>prodajalec</v>
      </c>
      <c r="F70" s="119"/>
      <c r="H70" s="120"/>
    </row>
    <row r="71">
      <c r="A71" s="121" t="s">
        <v>197</v>
      </c>
      <c r="B71" s="122" t="s">
        <v>26</v>
      </c>
      <c r="C71" s="123" t="str">
        <f>IFERROR(__xludf.DUMMYFUNCTION("""COMPUTED_VALUE"""),"kuhar")</f>
        <v>kuhar</v>
      </c>
      <c r="F71" s="124"/>
      <c r="H71" s="125"/>
    </row>
    <row r="72">
      <c r="A72" s="116" t="s">
        <v>197</v>
      </c>
      <c r="B72" s="117" t="s">
        <v>26</v>
      </c>
      <c r="C72" s="118" t="str">
        <f>IFERROR(__xludf.DUMMYFUNCTION("""COMPUTED_VALUE"""),"oblikovalec")</f>
        <v>oblikovalec</v>
      </c>
      <c r="F72" s="119"/>
      <c r="H72" s="120"/>
    </row>
    <row r="73">
      <c r="A73" s="121" t="s">
        <v>594</v>
      </c>
      <c r="B73" s="122" t="s">
        <v>23</v>
      </c>
      <c r="C73" s="123" t="str">
        <f>IFERROR(__xludf.DUMMYFUNCTION("""COMPUTED_VALUE"""),"čistilec")</f>
        <v>čistilec</v>
      </c>
      <c r="F73" s="124"/>
      <c r="H73" s="125"/>
    </row>
    <row r="74">
      <c r="A74" s="116" t="s">
        <v>39</v>
      </c>
      <c r="B74" s="117" t="s">
        <v>26</v>
      </c>
      <c r="C74" s="118" t="str">
        <f>IFERROR(__xludf.DUMMYFUNCTION("""COMPUTED_VALUE"""),"delavec")</f>
        <v>delavec</v>
      </c>
      <c r="F74" s="119"/>
      <c r="H74" s="120"/>
    </row>
    <row r="75">
      <c r="A75" s="121" t="s">
        <v>185</v>
      </c>
      <c r="B75" s="122" t="s">
        <v>26</v>
      </c>
      <c r="C75" s="123" t="str">
        <f>IFERROR(__xludf.DUMMYFUNCTION("""COMPUTED_VALUE"""),"blagajnik")</f>
        <v>blagajnik</v>
      </c>
      <c r="F75" s="124"/>
      <c r="H75" s="125"/>
    </row>
    <row r="76">
      <c r="A76" s="116" t="s">
        <v>264</v>
      </c>
      <c r="B76" s="117" t="s">
        <v>26</v>
      </c>
      <c r="C76" s="118" t="str">
        <f>IFERROR(__xludf.DUMMYFUNCTION("""COMPUTED_VALUE"""),"hišnik")</f>
        <v>hišnik</v>
      </c>
      <c r="F76" s="119"/>
      <c r="H76" s="120"/>
    </row>
    <row r="77">
      <c r="A77" s="121" t="s">
        <v>90</v>
      </c>
      <c r="B77" s="122" t="s">
        <v>595</v>
      </c>
      <c r="C77" s="123" t="str">
        <f>IFERROR(__xludf.DUMMYFUNCTION("""COMPUTED_VALUE"""),"oblikovalec")</f>
        <v>oblikovalec</v>
      </c>
      <c r="F77" s="124"/>
      <c r="H77" s="125"/>
    </row>
    <row r="78">
      <c r="A78" s="116" t="s">
        <v>218</v>
      </c>
      <c r="B78" s="117" t="s">
        <v>23</v>
      </c>
      <c r="C78" s="118" t="str">
        <f>IFERROR(__xludf.DUMMYFUNCTION("""COMPUTED_VALUE"""),"mehanik")</f>
        <v>mehanik</v>
      </c>
      <c r="F78" s="119"/>
      <c r="H78" s="120"/>
    </row>
    <row r="79">
      <c r="A79" s="121" t="s">
        <v>270</v>
      </c>
      <c r="B79" s="122" t="s">
        <v>26</v>
      </c>
      <c r="C79" s="123" t="str">
        <f>IFERROR(__xludf.DUMMYFUNCTION("""COMPUTED_VALUE"""),"receptor")</f>
        <v>receptor</v>
      </c>
      <c r="F79" s="124"/>
      <c r="H79" s="125"/>
    </row>
    <row r="80">
      <c r="A80" s="116" t="s">
        <v>424</v>
      </c>
      <c r="B80" s="117" t="s">
        <v>26</v>
      </c>
      <c r="F80" s="119"/>
      <c r="H80" s="120"/>
    </row>
    <row r="81">
      <c r="A81" s="121" t="s">
        <v>279</v>
      </c>
      <c r="B81" s="122" t="s">
        <v>26</v>
      </c>
      <c r="F81" s="124"/>
      <c r="H81" s="125"/>
    </row>
    <row r="82">
      <c r="A82" s="116" t="s">
        <v>174</v>
      </c>
      <c r="B82" s="117" t="s">
        <v>26</v>
      </c>
      <c r="F82" s="119"/>
      <c r="H82" s="120"/>
    </row>
    <row r="83">
      <c r="A83" s="121" t="s">
        <v>283</v>
      </c>
      <c r="B83" s="122" t="s">
        <v>23</v>
      </c>
      <c r="F83" s="124"/>
      <c r="H83" s="125"/>
    </row>
    <row r="84">
      <c r="A84" s="116" t="s">
        <v>101</v>
      </c>
      <c r="B84" s="117" t="s">
        <v>26</v>
      </c>
      <c r="F84" s="119"/>
      <c r="H84" s="120"/>
    </row>
    <row r="85">
      <c r="A85" s="121" t="s">
        <v>134</v>
      </c>
      <c r="B85" s="122" t="s">
        <v>26</v>
      </c>
      <c r="F85" s="124"/>
      <c r="H85" s="125"/>
    </row>
    <row r="86">
      <c r="A86" s="116" t="s">
        <v>550</v>
      </c>
      <c r="B86" s="117" t="s">
        <v>26</v>
      </c>
      <c r="F86" s="119"/>
      <c r="H86" s="120"/>
    </row>
    <row r="87">
      <c r="A87" s="121" t="s">
        <v>25</v>
      </c>
      <c r="B87" s="122" t="s">
        <v>26</v>
      </c>
      <c r="F87" s="124"/>
      <c r="H87" s="125"/>
    </row>
    <row r="88">
      <c r="A88" s="116" t="s">
        <v>150</v>
      </c>
      <c r="B88" s="117" t="s">
        <v>26</v>
      </c>
      <c r="F88" s="119"/>
      <c r="H88" s="120"/>
    </row>
    <row r="89">
      <c r="A89" s="121" t="s">
        <v>264</v>
      </c>
      <c r="B89" s="122" t="s">
        <v>26</v>
      </c>
      <c r="F89" s="124"/>
      <c r="H89" s="125"/>
    </row>
    <row r="90">
      <c r="A90" s="116" t="s">
        <v>81</v>
      </c>
      <c r="B90" s="117" t="s">
        <v>26</v>
      </c>
      <c r="F90" s="119"/>
      <c r="H90" s="120"/>
    </row>
    <row r="91">
      <c r="A91" s="121" t="s">
        <v>330</v>
      </c>
      <c r="B91" s="122" t="s">
        <v>26</v>
      </c>
      <c r="F91" s="124"/>
      <c r="H91" s="125"/>
    </row>
    <row r="92">
      <c r="A92" s="116" t="s">
        <v>550</v>
      </c>
      <c r="B92" s="117" t="s">
        <v>26</v>
      </c>
      <c r="F92" s="119"/>
      <c r="H92" s="120"/>
    </row>
    <row r="93">
      <c r="A93" s="121" t="s">
        <v>150</v>
      </c>
      <c r="B93" s="122" t="s">
        <v>26</v>
      </c>
      <c r="F93" s="124"/>
      <c r="H93" s="125"/>
    </row>
    <row r="94">
      <c r="A94" s="116" t="s">
        <v>81</v>
      </c>
      <c r="B94" s="117" t="s">
        <v>26</v>
      </c>
      <c r="F94" s="119"/>
      <c r="H94" s="120"/>
    </row>
    <row r="95">
      <c r="A95" s="121" t="s">
        <v>25</v>
      </c>
      <c r="B95" s="122" t="s">
        <v>26</v>
      </c>
      <c r="F95" s="124"/>
      <c r="H95" s="125"/>
    </row>
    <row r="96">
      <c r="A96" s="116" t="s">
        <v>197</v>
      </c>
      <c r="B96" s="117" t="s">
        <v>26</v>
      </c>
      <c r="F96" s="119"/>
      <c r="H96" s="120"/>
    </row>
    <row r="97">
      <c r="A97" s="121" t="s">
        <v>178</v>
      </c>
      <c r="B97" s="122" t="s">
        <v>23</v>
      </c>
      <c r="F97" s="124"/>
      <c r="H97" s="125"/>
    </row>
    <row r="98">
      <c r="A98" s="116" t="s">
        <v>400</v>
      </c>
      <c r="B98" s="117" t="s">
        <v>26</v>
      </c>
      <c r="F98" s="119"/>
      <c r="H98" s="120"/>
    </row>
    <row r="99">
      <c r="A99" s="121" t="s">
        <v>143</v>
      </c>
      <c r="B99" s="122" t="s">
        <v>26</v>
      </c>
      <c r="F99" s="124"/>
      <c r="H99" s="125"/>
    </row>
    <row r="100">
      <c r="A100" s="116" t="s">
        <v>330</v>
      </c>
      <c r="B100" s="117" t="s">
        <v>26</v>
      </c>
      <c r="F100" s="119"/>
      <c r="H100" s="120"/>
    </row>
    <row r="101">
      <c r="A101" s="121" t="s">
        <v>25</v>
      </c>
      <c r="B101" s="122" t="s">
        <v>26</v>
      </c>
      <c r="F101" s="124"/>
      <c r="H101" s="125"/>
    </row>
    <row r="102">
      <c r="A102" s="116" t="s">
        <v>39</v>
      </c>
      <c r="B102" s="117" t="s">
        <v>26</v>
      </c>
      <c r="F102" s="119"/>
      <c r="H102" s="120"/>
    </row>
    <row r="103">
      <c r="A103" s="126" t="s">
        <v>97</v>
      </c>
      <c r="B103" s="127" t="s">
        <v>26</v>
      </c>
      <c r="F103" s="128"/>
      <c r="H103" s="129"/>
    </row>
  </sheetData>
  <dataValidations>
    <dataValidation type="list" allowBlank="1" showDropDown="1" showErrorMessage="1" sqref="B2:B103">
      <formula1>"f,m,f "</formula1>
    </dataValidation>
    <dataValidation type="custom" allowBlank="1" showDropDown="1" sqref="F2:F103 H2:H103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4.5"/>
    <col customWidth="1" min="4" max="4" width="15.38"/>
    <col customWidth="1" min="5" max="5" width="36.75"/>
    <col customWidth="1" min="6" max="6" width="15.5"/>
  </cols>
  <sheetData>
    <row r="1">
      <c r="A1" s="130" t="s">
        <v>596</v>
      </c>
      <c r="D1" s="131" t="s">
        <v>597</v>
      </c>
      <c r="E1" s="5"/>
      <c r="F1" s="132" t="s">
        <v>7</v>
      </c>
      <c r="G1" s="23"/>
    </row>
    <row r="2">
      <c r="A2" s="23" t="s">
        <v>598</v>
      </c>
      <c r="D2" s="133" t="s">
        <v>599</v>
      </c>
      <c r="E2" s="134" t="s">
        <v>600</v>
      </c>
    </row>
    <row r="3">
      <c r="A3" s="23" t="s">
        <v>601</v>
      </c>
      <c r="D3" s="26" t="s">
        <v>95</v>
      </c>
      <c r="E3" s="28" t="s">
        <v>602</v>
      </c>
    </row>
    <row r="4">
      <c r="A4" s="135" t="s">
        <v>603</v>
      </c>
      <c r="D4" s="26" t="s">
        <v>180</v>
      </c>
      <c r="E4" s="136" t="s">
        <v>604</v>
      </c>
    </row>
    <row r="5">
      <c r="A5" s="23" t="s">
        <v>605</v>
      </c>
      <c r="D5" s="26" t="s">
        <v>187</v>
      </c>
      <c r="E5" s="28" t="s">
        <v>606</v>
      </c>
    </row>
    <row r="6">
      <c r="A6" s="23" t="s">
        <v>607</v>
      </c>
      <c r="D6" s="26" t="s">
        <v>207</v>
      </c>
      <c r="E6" s="28" t="s">
        <v>209</v>
      </c>
      <c r="F6" s="23" t="s">
        <v>608</v>
      </c>
    </row>
    <row r="7">
      <c r="A7" s="23" t="s">
        <v>609</v>
      </c>
      <c r="D7" s="26" t="s">
        <v>300</v>
      </c>
      <c r="E7" s="28" t="s">
        <v>610</v>
      </c>
    </row>
    <row r="8">
      <c r="A8" s="23" t="s">
        <v>611</v>
      </c>
      <c r="D8" s="26" t="s">
        <v>141</v>
      </c>
      <c r="E8" s="28" t="s">
        <v>143</v>
      </c>
      <c r="F8" s="23" t="s">
        <v>608</v>
      </c>
    </row>
    <row r="9">
      <c r="A9" s="23" t="s">
        <v>612</v>
      </c>
      <c r="D9" s="26" t="s">
        <v>163</v>
      </c>
      <c r="E9" s="28" t="s">
        <v>168</v>
      </c>
      <c r="F9" s="23" t="s">
        <v>613</v>
      </c>
    </row>
    <row r="10">
      <c r="A10" s="23" t="s">
        <v>614</v>
      </c>
      <c r="D10" s="26" t="s">
        <v>58</v>
      </c>
      <c r="E10" s="28" t="s">
        <v>60</v>
      </c>
      <c r="F10" s="23" t="s">
        <v>608</v>
      </c>
    </row>
    <row r="11">
      <c r="A11" s="23" t="s">
        <v>615</v>
      </c>
      <c r="D11" s="26" t="s">
        <v>195</v>
      </c>
      <c r="E11" s="28" t="s">
        <v>616</v>
      </c>
    </row>
    <row r="12">
      <c r="D12" s="26" t="s">
        <v>37</v>
      </c>
      <c r="E12" s="28" t="s">
        <v>150</v>
      </c>
      <c r="F12" s="23" t="s">
        <v>608</v>
      </c>
    </row>
    <row r="13">
      <c r="D13" s="26" t="s">
        <v>275</v>
      </c>
      <c r="E13" s="136" t="s">
        <v>617</v>
      </c>
    </row>
    <row r="14">
      <c r="D14" s="26" t="s">
        <v>76</v>
      </c>
      <c r="E14" s="28" t="s">
        <v>618</v>
      </c>
    </row>
    <row r="15">
      <c r="A15" s="137"/>
      <c r="D15" s="26" t="s">
        <v>276</v>
      </c>
      <c r="E15" s="28" t="s">
        <v>279</v>
      </c>
      <c r="F15" s="23" t="s">
        <v>608</v>
      </c>
    </row>
    <row r="16">
      <c r="A16" s="138"/>
      <c r="D16" s="26" t="s">
        <v>20</v>
      </c>
      <c r="E16" s="28" t="s">
        <v>619</v>
      </c>
      <c r="F16" s="23" t="s">
        <v>620</v>
      </c>
    </row>
    <row r="17">
      <c r="D17" s="26" t="s">
        <v>21</v>
      </c>
      <c r="E17" s="136" t="s">
        <v>621</v>
      </c>
    </row>
    <row r="18">
      <c r="D18" s="26" t="s">
        <v>147</v>
      </c>
      <c r="E18" s="28" t="s">
        <v>622</v>
      </c>
    </row>
    <row r="19">
      <c r="D19" s="26" t="s">
        <v>171</v>
      </c>
      <c r="E19" s="28" t="s">
        <v>174</v>
      </c>
      <c r="F19" s="23" t="s">
        <v>608</v>
      </c>
    </row>
    <row r="20">
      <c r="D20" s="26" t="s">
        <v>114</v>
      </c>
      <c r="E20" s="28" t="s">
        <v>623</v>
      </c>
    </row>
    <row r="21">
      <c r="D21" s="26" t="s">
        <v>170</v>
      </c>
      <c r="E21" s="136" t="s">
        <v>624</v>
      </c>
    </row>
    <row r="22">
      <c r="D22" s="26" t="s">
        <v>66</v>
      </c>
      <c r="E22" s="28" t="s">
        <v>625</v>
      </c>
    </row>
    <row r="23">
      <c r="D23" s="26" t="s">
        <v>47</v>
      </c>
      <c r="E23" s="28" t="s">
        <v>626</v>
      </c>
      <c r="F23" s="23" t="s">
        <v>627</v>
      </c>
    </row>
    <row r="24">
      <c r="D24" s="26" t="s">
        <v>328</v>
      </c>
      <c r="E24" s="28" t="s">
        <v>628</v>
      </c>
    </row>
    <row r="25">
      <c r="D25" s="26" t="s">
        <v>220</v>
      </c>
      <c r="E25" s="136" t="s">
        <v>629</v>
      </c>
    </row>
    <row r="26">
      <c r="D26" s="26" t="s">
        <v>65</v>
      </c>
      <c r="E26" s="28" t="s">
        <v>630</v>
      </c>
    </row>
    <row r="27">
      <c r="D27" s="26" t="s">
        <v>156</v>
      </c>
      <c r="E27" s="28" t="s">
        <v>158</v>
      </c>
      <c r="F27" s="23" t="s">
        <v>608</v>
      </c>
    </row>
    <row r="28">
      <c r="D28" s="26" t="s">
        <v>88</v>
      </c>
      <c r="E28" s="28" t="s">
        <v>631</v>
      </c>
    </row>
    <row r="29">
      <c r="D29" s="26" t="s">
        <v>36</v>
      </c>
      <c r="E29" s="136" t="s">
        <v>632</v>
      </c>
    </row>
    <row r="30">
      <c r="D30" s="139" t="s">
        <v>46</v>
      </c>
      <c r="E30" s="28" t="s">
        <v>633</v>
      </c>
    </row>
    <row r="31">
      <c r="D31" s="26" t="s">
        <v>268</v>
      </c>
      <c r="E31" s="28" t="s">
        <v>270</v>
      </c>
      <c r="F31" s="23" t="s">
        <v>608</v>
      </c>
    </row>
    <row r="32">
      <c r="D32" s="26" t="s">
        <v>213</v>
      </c>
      <c r="E32" s="28" t="s">
        <v>218</v>
      </c>
      <c r="F32" s="23" t="s">
        <v>613</v>
      </c>
    </row>
    <row r="33">
      <c r="D33" s="26" t="s">
        <v>94</v>
      </c>
      <c r="E33" s="28" t="s">
        <v>634</v>
      </c>
      <c r="F33" s="23" t="s">
        <v>608</v>
      </c>
    </row>
    <row r="34">
      <c r="D34" s="26" t="s">
        <v>155</v>
      </c>
      <c r="E34" s="28" t="s">
        <v>635</v>
      </c>
    </row>
    <row r="35">
      <c r="D35" s="26" t="s">
        <v>127</v>
      </c>
      <c r="E35" s="28" t="s">
        <v>636</v>
      </c>
    </row>
    <row r="36">
      <c r="D36" s="26" t="s">
        <v>121</v>
      </c>
      <c r="E36" s="28" t="s">
        <v>123</v>
      </c>
      <c r="F36" s="23" t="s">
        <v>608</v>
      </c>
    </row>
    <row r="37">
      <c r="D37" s="140" t="s">
        <v>637</v>
      </c>
      <c r="E37" s="43"/>
    </row>
    <row r="38">
      <c r="D38" s="35" t="s">
        <v>262</v>
      </c>
      <c r="E38" s="36" t="s">
        <v>264</v>
      </c>
      <c r="F38" s="23" t="s">
        <v>608</v>
      </c>
    </row>
  </sheetData>
  <mergeCells count="1">
    <mergeCell ref="D1:E1"/>
  </mergeCells>
  <hyperlinks>
    <hyperlink r:id="rId1" ref="A4"/>
  </hyperlinks>
  <drawing r:id="rId2"/>
</worksheet>
</file>