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4540"/>
  </bookViews>
  <sheets>
    <sheet name="BuildingEnvelope" sheetId="1" r:id="rId1"/>
    <sheet name="Sheet2" sheetId="2" r:id="rId2"/>
    <sheet name="Sheet3" sheetId="3" r:id="rId3"/>
  </sheets>
  <definedNames>
    <definedName name="INPUTS">BuildingEnvelope!$O$4:$R$10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L7" i="1"/>
  <c r="R22" i="1"/>
  <c r="L4" i="1"/>
  <c r="M9" i="1"/>
  <c r="M5" i="1"/>
  <c r="M4" i="1"/>
  <c r="M19" i="1"/>
  <c r="L9" i="1"/>
  <c r="L5" i="1"/>
  <c r="M13" i="1"/>
  <c r="F14" i="1"/>
  <c r="C5" i="2"/>
  <c r="M14" i="1"/>
  <c r="M17" i="1"/>
  <c r="H9" i="1"/>
  <c r="F9" i="1"/>
  <c r="H8" i="1"/>
  <c r="M15" i="1"/>
  <c r="M18" i="1"/>
  <c r="M20" i="1"/>
  <c r="F8" i="1"/>
  <c r="F11" i="1"/>
  <c r="L19" i="1"/>
  <c r="L13" i="1"/>
  <c r="L17" i="1"/>
  <c r="F12" i="1"/>
  <c r="L14" i="1"/>
  <c r="L18" i="1"/>
  <c r="L20" i="1"/>
  <c r="L15" i="1"/>
</calcChain>
</file>

<file path=xl/sharedStrings.xml><?xml version="1.0" encoding="utf-8"?>
<sst xmlns="http://schemas.openxmlformats.org/spreadsheetml/2006/main" count="109" uniqueCount="69">
  <si>
    <t>Building Maximum - Mathematical Approach</t>
  </si>
  <si>
    <t>Gross Site Area</t>
  </si>
  <si>
    <t>Building Square Footage Maximum</t>
  </si>
  <si>
    <t>Lot Coverage Ratio</t>
  </si>
  <si>
    <t xml:space="preserve"> =</t>
  </si>
  <si>
    <t xml:space="preserve"> +</t>
  </si>
  <si>
    <t>GSsf * LC</t>
  </si>
  <si>
    <t>FAR Maximum</t>
  </si>
  <si>
    <t>(1/#St) + [(1/1000/PI) *(PS/PF))]</t>
  </si>
  <si>
    <t>Building Design</t>
  </si>
  <si>
    <t>Building Stories</t>
  </si>
  <si>
    <t xml:space="preserve"> *</t>
  </si>
  <si>
    <t xml:space="preserve">  Parking</t>
  </si>
  <si>
    <t xml:space="preserve">      Index (Spaces/1,000sf) *</t>
  </si>
  <si>
    <t xml:space="preserve">      SF/Stall</t>
  </si>
  <si>
    <t>Development Components</t>
  </si>
  <si>
    <t>Improvement Size</t>
  </si>
  <si>
    <t xml:space="preserve">  Building</t>
  </si>
  <si>
    <t xml:space="preserve">  No. of Parking Stalls</t>
  </si>
  <si>
    <t>Site Allocation</t>
  </si>
  <si>
    <t>Parking Footprint</t>
  </si>
  <si>
    <t>Building Footprint (SF)</t>
  </si>
  <si>
    <t>Open Space</t>
  </si>
  <si>
    <t>Total Site</t>
  </si>
  <si>
    <t>UR</t>
  </si>
  <si>
    <t>B4-5</t>
  </si>
  <si>
    <t>R-1.5</t>
  </si>
  <si>
    <t>MPD</t>
  </si>
  <si>
    <t>B1-1</t>
  </si>
  <si>
    <t>B3-2</t>
  </si>
  <si>
    <t>B4-2</t>
  </si>
  <si>
    <t>M1-5</t>
  </si>
  <si>
    <t>lotCoverageRatio</t>
  </si>
  <si>
    <t>farMaximum</t>
  </si>
  <si>
    <t>parkingIndex</t>
  </si>
  <si>
    <t>zoningType</t>
  </si>
  <si>
    <t>depth</t>
  </si>
  <si>
    <t>width</t>
  </si>
  <si>
    <t>sideSetback</t>
  </si>
  <si>
    <t>frontSetback</t>
  </si>
  <si>
    <t>rearSetback</t>
  </si>
  <si>
    <t>N/A</t>
  </si>
  <si>
    <t>15% OR 7.5%</t>
  </si>
  <si>
    <t>15% OR %7.5</t>
  </si>
  <si>
    <t>b3-2</t>
  </si>
  <si>
    <t>Height</t>
  </si>
  <si>
    <t>1 per 4 employee</t>
  </si>
  <si>
    <t>PKG_Index</t>
  </si>
  <si>
    <t>Variable</t>
  </si>
  <si>
    <t>Zoning---&gt;</t>
  </si>
  <si>
    <t>height</t>
  </si>
  <si>
    <t>lot_cover</t>
  </si>
  <si>
    <t>far</t>
  </si>
  <si>
    <t>max_height</t>
  </si>
  <si>
    <t>building_fl</t>
  </si>
  <si>
    <t>Current Zoning</t>
  </si>
  <si>
    <t>New Zoning</t>
  </si>
  <si>
    <t>Lot Coverage: Details</t>
  </si>
  <si>
    <t>Width</t>
  </si>
  <si>
    <t>Side Yard</t>
  </si>
  <si>
    <t>Rear Yart</t>
  </si>
  <si>
    <t>Front Yard *</t>
  </si>
  <si>
    <t>* If abutting use is Residential</t>
  </si>
  <si>
    <t>Proposed</t>
  </si>
  <si>
    <r>
      <t>BSF</t>
    </r>
    <r>
      <rPr>
        <vertAlign val="subscript"/>
        <sz val="16"/>
        <rFont val="Times New Roman"/>
        <family val="1"/>
      </rPr>
      <t>max</t>
    </r>
  </si>
  <si>
    <t>B3-3</t>
  </si>
  <si>
    <t>R-0.5</t>
  </si>
  <si>
    <t>R-2.5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</si>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</sst>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0.0000"/>
    <numFmt numFmtId="167" formatCode="_(* #,##0_);_(* \(#,##0\);_(* &quot;-&quot;??_);_(@_)"/>
  </numFmts>
  <fonts count="13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6"/>
      <name val="Times New Roman"/>
      <family val="1"/>
    </font>
    <font>
      <b/>
      <i/>
      <sz val="16"/>
      <name val="Times New Roman"/>
      <family val="1"/>
    </font>
    <font>
      <b/>
      <sz val="16"/>
      <color rgb="FFFF0000"/>
      <name val="Calibri"/>
      <family val="2"/>
    </font>
    <font>
      <sz val="16"/>
      <name val="Times New Roman"/>
      <family val="1"/>
    </font>
    <font>
      <vertAlign val="subscript"/>
      <sz val="16"/>
      <name val="Times New Roman"/>
      <family val="1"/>
    </font>
    <font>
      <b/>
      <sz val="16"/>
      <color rgb="FFFF0000"/>
      <name val="Times New Roman"/>
      <family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</cellStyleXfs>
  <cellXfs count="97">
    <xf numFmtId="0" fontId="0" fillId="0" borderId="0" xfId="0"/>
    <xf numFmtId="0" fontId="0" fillId="0" borderId="0" xfId="0" applyFill="1" applyBorder="1"/>
    <xf numFmtId="0" fontId="3" fillId="0" borderId="1" xfId="0" applyFont="1" applyBorder="1"/>
    <xf numFmtId="0" fontId="0" fillId="0" borderId="1" xfId="0" applyBorder="1"/>
    <xf numFmtId="0" fontId="3" fillId="0" borderId="1" xfId="0" applyFont="1" applyFill="1" applyBorder="1"/>
    <xf numFmtId="9" fontId="0" fillId="0" borderId="0" xfId="0" applyNumberFormat="1"/>
    <xf numFmtId="0" fontId="0" fillId="3" borderId="0" xfId="0" applyFill="1"/>
    <xf numFmtId="9" fontId="0" fillId="0" borderId="1" xfId="2" applyFont="1" applyBorder="1"/>
    <xf numFmtId="9" fontId="0" fillId="0" borderId="1" xfId="0" applyNumberFormat="1" applyBorder="1"/>
    <xf numFmtId="0" fontId="0" fillId="0" borderId="20" xfId="0" applyFill="1" applyBorder="1"/>
    <xf numFmtId="0" fontId="0" fillId="0" borderId="0" xfId="0" applyNumberFormat="1"/>
    <xf numFmtId="0" fontId="0" fillId="0" borderId="1" xfId="0" applyFill="1" applyBorder="1"/>
    <xf numFmtId="0" fontId="0" fillId="0" borderId="21" xfId="0" applyBorder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4" fillId="0" borderId="0" xfId="0" applyFont="1" applyBorder="1"/>
    <xf numFmtId="0" fontId="7" fillId="2" borderId="2" xfId="0" applyFont="1" applyFill="1" applyBorder="1"/>
    <xf numFmtId="0" fontId="5" fillId="3" borderId="1" xfId="0" applyFont="1" applyFill="1" applyBorder="1"/>
    <xf numFmtId="0" fontId="8" fillId="4" borderId="1" xfId="0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/>
    <xf numFmtId="0" fontId="9" fillId="2" borderId="4" xfId="0" applyFont="1" applyFill="1" applyBorder="1" applyAlignment="1">
      <alignment horizontal="left" indent="1"/>
    </xf>
    <xf numFmtId="3" fontId="9" fillId="3" borderId="1" xfId="0" applyNumberFormat="1" applyFont="1" applyFill="1" applyBorder="1" applyAlignment="1">
      <alignment horizontal="right"/>
    </xf>
    <xf numFmtId="0" fontId="9" fillId="2" borderId="0" xfId="0" applyFont="1" applyFill="1" applyBorder="1"/>
    <xf numFmtId="0" fontId="9" fillId="2" borderId="5" xfId="0" applyFont="1" applyFill="1" applyBorder="1"/>
    <xf numFmtId="0" fontId="9" fillId="2" borderId="4" xfId="0" applyFont="1" applyFill="1" applyBorder="1" applyAlignment="1">
      <alignment horizontal="left" indent="2"/>
    </xf>
    <xf numFmtId="9" fontId="9" fillId="4" borderId="1" xfId="0" applyNumberFormat="1" applyFont="1" applyFill="1" applyBorder="1" applyAlignment="1">
      <alignment horizontal="right"/>
    </xf>
    <xf numFmtId="0" fontId="4" fillId="4" borderId="1" xfId="0" applyFont="1" applyFill="1" applyBorder="1"/>
    <xf numFmtId="0" fontId="5" fillId="4" borderId="1" xfId="0" applyFont="1" applyFill="1" applyBorder="1"/>
    <xf numFmtId="0" fontId="9" fillId="2" borderId="6" xfId="0" applyFont="1" applyFill="1" applyBorder="1"/>
    <xf numFmtId="165" fontId="9" fillId="4" borderId="1" xfId="1" applyFont="1" applyFill="1" applyBorder="1" applyAlignment="1">
      <alignment horizontal="right"/>
    </xf>
    <xf numFmtId="0" fontId="4" fillId="4" borderId="1" xfId="0" applyNumberFormat="1" applyFont="1" applyFill="1" applyBorder="1"/>
    <xf numFmtId="0" fontId="9" fillId="2" borderId="10" xfId="0" applyFont="1" applyFill="1" applyBorder="1"/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indent="1"/>
    </xf>
    <xf numFmtId="0" fontId="4" fillId="2" borderId="0" xfId="0" applyFont="1" applyFill="1" applyBorder="1"/>
    <xf numFmtId="9" fontId="4" fillId="4" borderId="1" xfId="0" applyNumberFormat="1" applyFont="1" applyFill="1" applyBorder="1"/>
    <xf numFmtId="9" fontId="11" fillId="6" borderId="1" xfId="2" applyFont="1" applyFill="1" applyBorder="1" applyAlignment="1">
      <alignment horizontal="center"/>
    </xf>
    <xf numFmtId="0" fontId="9" fillId="2" borderId="7" xfId="0" applyFont="1" applyFill="1" applyBorder="1"/>
    <xf numFmtId="0" fontId="9" fillId="2" borderId="6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indent="2"/>
    </xf>
    <xf numFmtId="167" fontId="9" fillId="4" borderId="1" xfId="1" applyNumberFormat="1" applyFont="1" applyFill="1" applyBorder="1" applyAlignment="1">
      <alignment horizontal="right"/>
    </xf>
    <xf numFmtId="0" fontId="9" fillId="2" borderId="15" xfId="0" applyFont="1" applyFill="1" applyBorder="1"/>
    <xf numFmtId="164" fontId="9" fillId="2" borderId="8" xfId="0" applyNumberFormat="1" applyFont="1" applyFill="1" applyBorder="1" applyAlignment="1">
      <alignment horizontal="center"/>
    </xf>
    <xf numFmtId="9" fontId="9" fillId="2" borderId="8" xfId="2" applyFont="1" applyFill="1" applyBorder="1" applyAlignment="1">
      <alignment horizontal="center"/>
    </xf>
    <xf numFmtId="0" fontId="9" fillId="2" borderId="14" xfId="0" applyFont="1" applyFill="1" applyBorder="1"/>
    <xf numFmtId="0" fontId="9" fillId="2" borderId="13" xfId="0" applyFont="1" applyFill="1" applyBorder="1"/>
    <xf numFmtId="0" fontId="4" fillId="4" borderId="22" xfId="0" applyFont="1" applyFill="1" applyBorder="1"/>
    <xf numFmtId="0" fontId="4" fillId="4" borderId="0" xfId="0" applyFont="1" applyFill="1"/>
    <xf numFmtId="166" fontId="9" fillId="2" borderId="0" xfId="0" applyNumberFormat="1" applyFont="1" applyFill="1" applyBorder="1" applyAlignment="1">
      <alignment horizontal="center"/>
    </xf>
    <xf numFmtId="9" fontId="9" fillId="2" borderId="14" xfId="2" applyFont="1" applyFill="1" applyBorder="1" applyAlignment="1">
      <alignment horizontal="center"/>
    </xf>
    <xf numFmtId="9" fontId="9" fillId="2" borderId="0" xfId="2" applyFont="1" applyFill="1" applyBorder="1" applyAlignment="1">
      <alignment horizontal="center"/>
    </xf>
    <xf numFmtId="165" fontId="9" fillId="2" borderId="1" xfId="1" applyFont="1" applyFill="1" applyBorder="1" applyAlignment="1">
      <alignment horizontal="right"/>
    </xf>
    <xf numFmtId="0" fontId="4" fillId="5" borderId="22" xfId="0" applyFont="1" applyFill="1" applyBorder="1"/>
    <xf numFmtId="0" fontId="4" fillId="5" borderId="0" xfId="0" applyFont="1" applyFill="1"/>
    <xf numFmtId="0" fontId="9" fillId="2" borderId="14" xfId="0" applyFont="1" applyFill="1" applyBorder="1" applyAlignment="1">
      <alignment horizontal="center"/>
    </xf>
    <xf numFmtId="3" fontId="9" fillId="2" borderId="1" xfId="0" applyNumberFormat="1" applyFont="1" applyFill="1" applyBorder="1" applyAlignment="1">
      <alignment horizontal="right"/>
    </xf>
    <xf numFmtId="2" fontId="4" fillId="4" borderId="1" xfId="0" applyNumberFormat="1" applyFont="1" applyFill="1" applyBorder="1"/>
    <xf numFmtId="0" fontId="7" fillId="2" borderId="0" xfId="0" applyFont="1" applyFill="1" applyBorder="1"/>
    <xf numFmtId="0" fontId="4" fillId="2" borderId="3" xfId="0" applyFont="1" applyFill="1" applyBorder="1" applyAlignment="1">
      <alignment horizontal="center"/>
    </xf>
    <xf numFmtId="0" fontId="9" fillId="2" borderId="9" xfId="0" applyFont="1" applyFill="1" applyBorder="1"/>
    <xf numFmtId="0" fontId="9" fillId="2" borderId="10" xfId="0" applyFont="1" applyFill="1" applyBorder="1" applyAlignment="1">
      <alignment horizontal="center" vertical="center"/>
    </xf>
    <xf numFmtId="3" fontId="11" fillId="6" borderId="1" xfId="0" applyNumberFormat="1" applyFont="1" applyFill="1" applyBorder="1" applyAlignment="1">
      <alignment horizontal="center"/>
    </xf>
    <xf numFmtId="164" fontId="9" fillId="2" borderId="10" xfId="0" applyNumberFormat="1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19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1" fontId="9" fillId="0" borderId="0" xfId="0" applyNumberFormat="1" applyFont="1" applyBorder="1"/>
    <xf numFmtId="0" fontId="9" fillId="2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2" borderId="17" xfId="0" applyFont="1" applyFill="1" applyBorder="1"/>
    <xf numFmtId="3" fontId="9" fillId="2" borderId="18" xfId="0" applyNumberFormat="1" applyFont="1" applyFill="1" applyBorder="1" applyAlignment="1">
      <alignment horizontal="right"/>
    </xf>
    <xf numFmtId="9" fontId="4" fillId="0" borderId="1" xfId="0" applyNumberFormat="1" applyFont="1" applyBorder="1"/>
    <xf numFmtId="3" fontId="9" fillId="2" borderId="1" xfId="1" applyNumberFormat="1" applyFont="1" applyFill="1" applyBorder="1" applyAlignment="1">
      <alignment horizontal="right"/>
    </xf>
    <xf numFmtId="0" fontId="9" fillId="2" borderId="17" xfId="0" applyFont="1" applyFill="1" applyBorder="1" applyAlignment="1">
      <alignment horizontal="left" indent="1"/>
    </xf>
    <xf numFmtId="164" fontId="4" fillId="0" borderId="0" xfId="0" applyNumberFormat="1" applyFont="1"/>
    <xf numFmtId="0" fontId="4" fillId="0" borderId="0" xfId="0" applyFont="1" applyFill="1" applyBorder="1"/>
    <xf numFmtId="0" fontId="12" fillId="7" borderId="1" xfId="3" applyBorder="1"/>
    <xf numFmtId="0" fontId="12" fillId="7" borderId="1" xfId="3" applyNumberFormat="1" applyBorder="1"/>
    <xf numFmtId="0" fontId="12" fillId="7" borderId="0" xfId="3"/>
    <xf numFmtId="0" fontId="12" fillId="7" borderId="0" xfId="3" applyBorder="1"/>
    <xf numFmtId="0" fontId="1" fillId="8" borderId="0" xfId="4"/>
    <xf numFmtId="10" fontId="4" fillId="0" borderId="1" xfId="0" applyNumberFormat="1" applyFont="1" applyBorder="1"/>
    <xf numFmtId="0" fontId="4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166" fontId="9" fillId="2" borderId="16" xfId="0" applyNumberFormat="1" applyFont="1" applyFill="1" applyBorder="1" applyAlignment="1">
      <alignment horizontal="center"/>
    </xf>
  </cellXfs>
  <cellStyles count="5">
    <cellStyle name="20% - Accent1" xfId="4" builtinId="30"/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41</xdr:row>
      <xdr:rowOff>123825</xdr:rowOff>
    </xdr:from>
    <xdr:to>
      <xdr:col>9</xdr:col>
      <xdr:colOff>8787</xdr:colOff>
      <xdr:row>84</xdr:row>
      <xdr:rowOff>94383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6762750"/>
          <a:ext cx="5904762" cy="69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41</xdr:row>
      <xdr:rowOff>152400</xdr:rowOff>
    </xdr:from>
    <xdr:to>
      <xdr:col>18</xdr:col>
      <xdr:colOff>161184</xdr:colOff>
      <xdr:row>85</xdr:row>
      <xdr:rowOff>132462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0" y="6791325"/>
          <a:ext cx="5923809" cy="71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447675</xdr:colOff>
      <xdr:row>41</xdr:row>
      <xdr:rowOff>104775</xdr:rowOff>
    </xdr:from>
    <xdr:to>
      <xdr:col>24</xdr:col>
      <xdr:colOff>361504</xdr:colOff>
      <xdr:row>85</xdr:row>
      <xdr:rowOff>113408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0700" y="6743700"/>
          <a:ext cx="3571429" cy="7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86</xdr:row>
      <xdr:rowOff>66675</xdr:rowOff>
    </xdr:from>
    <xdr:to>
      <xdr:col>6</xdr:col>
      <xdr:colOff>447138</xdr:colOff>
      <xdr:row>117</xdr:row>
      <xdr:rowOff>85095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13992225"/>
          <a:ext cx="4295238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topLeftCell="H1" zoomScale="87" zoomScaleNormal="87" zoomScalePageLayoutView="87" workbookViewId="0">
      <selection activeCell="W10" sqref="W10"/>
    </sheetView>
  </sheetViews>
  <sheetFormatPr baseColWidth="10" defaultColWidth="8.83203125" defaultRowHeight="20" x14ac:dyDescent="0"/>
  <cols>
    <col min="1" max="1" width="7.5" style="13" customWidth="1"/>
    <col min="2" max="2" width="4.5" style="13" customWidth="1"/>
    <col min="3" max="3" width="12.5" style="13" bestFit="1" customWidth="1"/>
    <col min="4" max="4" width="10.83203125" style="13" customWidth="1"/>
    <col min="5" max="5" width="3.1640625" style="13" customWidth="1"/>
    <col min="6" max="6" width="15.83203125" style="13" customWidth="1"/>
    <col min="7" max="7" width="11" style="13" bestFit="1" customWidth="1"/>
    <col min="8" max="8" width="10.6640625" style="13" customWidth="1"/>
    <col min="9" max="10" width="5.83203125" style="13" customWidth="1"/>
    <col min="11" max="11" width="35" style="13" customWidth="1"/>
    <col min="12" max="12" width="21.1640625" style="13" customWidth="1"/>
    <col min="13" max="13" width="14.1640625" style="13" customWidth="1"/>
    <col min="14" max="14" width="8.5" style="13" customWidth="1"/>
    <col min="15" max="15" width="15.33203125" style="13" customWidth="1"/>
    <col min="16" max="16" width="8.83203125" style="13"/>
    <col min="17" max="17" width="12.33203125" style="13" customWidth="1"/>
    <col min="18" max="18" width="10.33203125" style="13" customWidth="1"/>
    <col min="19" max="19" width="12" style="13" customWidth="1"/>
    <col min="20" max="21" width="8.83203125" style="13"/>
    <col min="22" max="22" width="10.5" style="13" customWidth="1"/>
    <col min="23" max="24" width="8.83203125" style="13"/>
    <col min="25" max="25" width="10.33203125" style="13" bestFit="1" customWidth="1"/>
    <col min="26" max="27" width="8.83203125" style="13"/>
    <col min="28" max="28" width="9.5" style="13" bestFit="1" customWidth="1"/>
    <col min="29" max="16384" width="8.83203125" style="13"/>
  </cols>
  <sheetData>
    <row r="1" spans="1:24" ht="21" thickBot="1">
      <c r="L1" s="14" t="s">
        <v>55</v>
      </c>
      <c r="M1" s="14" t="s">
        <v>56</v>
      </c>
    </row>
    <row r="2" spans="1:24">
      <c r="A2" s="15" t="s">
        <v>0</v>
      </c>
      <c r="C2" s="16"/>
      <c r="D2" s="16"/>
      <c r="E2" s="16"/>
      <c r="F2" s="16"/>
      <c r="G2" s="16"/>
      <c r="H2" s="16"/>
      <c r="K2" s="17" t="s">
        <v>49</v>
      </c>
      <c r="L2" s="18" t="s">
        <v>28</v>
      </c>
      <c r="M2" s="19" t="s">
        <v>29</v>
      </c>
      <c r="N2" s="16"/>
      <c r="U2" s="16"/>
    </row>
    <row r="3" spans="1:24" ht="21" thickBot="1">
      <c r="B3" s="20"/>
      <c r="C3" s="20"/>
      <c r="D3" s="20"/>
      <c r="E3" s="20"/>
      <c r="F3" s="20"/>
      <c r="G3" s="20"/>
      <c r="H3" s="20"/>
      <c r="I3" s="21"/>
      <c r="J3" s="21"/>
      <c r="K3" s="22" t="s">
        <v>1</v>
      </c>
      <c r="L3" s="23">
        <v>6250</v>
      </c>
      <c r="M3" s="23">
        <v>6250</v>
      </c>
      <c r="N3" s="16"/>
      <c r="U3" s="16"/>
    </row>
    <row r="4" spans="1:24" ht="21" thickBot="1">
      <c r="A4" s="16"/>
      <c r="B4" s="20"/>
      <c r="C4" s="24" t="s">
        <v>2</v>
      </c>
      <c r="D4" s="24"/>
      <c r="E4" s="24"/>
      <c r="F4" s="24"/>
      <c r="G4" s="24"/>
      <c r="H4" s="24"/>
      <c r="I4" s="25"/>
      <c r="J4" s="24"/>
      <c r="K4" s="26" t="s">
        <v>3</v>
      </c>
      <c r="L4" s="27">
        <f>HLOOKUP(L$2,INPUTS,3)</f>
        <v>0.6</v>
      </c>
      <c r="M4" s="27">
        <f>HLOOKUP(M$2,INPUTS,3)</f>
        <v>0.8</v>
      </c>
      <c r="N4" s="20">
        <v>1</v>
      </c>
      <c r="O4" s="28" t="s">
        <v>48</v>
      </c>
      <c r="P4" s="29" t="s">
        <v>28</v>
      </c>
      <c r="Q4" s="29" t="s">
        <v>29</v>
      </c>
      <c r="R4" s="29" t="s">
        <v>26</v>
      </c>
      <c r="S4" s="29" t="s">
        <v>65</v>
      </c>
      <c r="T4" s="29" t="s">
        <v>30</v>
      </c>
      <c r="U4" s="29" t="s">
        <v>25</v>
      </c>
      <c r="V4" s="29" t="s">
        <v>31</v>
      </c>
      <c r="W4" s="29" t="s">
        <v>66</v>
      </c>
      <c r="X4" s="29" t="s">
        <v>67</v>
      </c>
    </row>
    <row r="5" spans="1:24" ht="18.75" customHeight="1">
      <c r="A5" s="16"/>
      <c r="B5" s="20"/>
      <c r="C5" s="89" t="s">
        <v>64</v>
      </c>
      <c r="D5" s="91" t="s">
        <v>4</v>
      </c>
      <c r="E5" s="30"/>
      <c r="F5" s="93" t="s">
        <v>6</v>
      </c>
      <c r="G5" s="93"/>
      <c r="H5" s="93"/>
      <c r="I5" s="25"/>
      <c r="J5" s="24"/>
      <c r="K5" s="26" t="s">
        <v>7</v>
      </c>
      <c r="L5" s="31">
        <f>HLOOKUP(L$2,INPUTS,4)</f>
        <v>1.4</v>
      </c>
      <c r="M5" s="31">
        <f>HLOOKUP(M$2,INPUTS,4)</f>
        <v>3</v>
      </c>
      <c r="N5" s="20">
        <v>2</v>
      </c>
      <c r="O5" s="28" t="s">
        <v>50</v>
      </c>
      <c r="P5" s="81">
        <v>40</v>
      </c>
      <c r="Q5" s="81">
        <v>60</v>
      </c>
      <c r="R5" s="82">
        <v>45</v>
      </c>
      <c r="S5" s="82">
        <v>60</v>
      </c>
      <c r="T5" s="82">
        <v>70</v>
      </c>
      <c r="U5" s="82">
        <v>70</v>
      </c>
      <c r="V5" s="82">
        <v>80</v>
      </c>
      <c r="W5" s="82">
        <v>164</v>
      </c>
      <c r="X5" s="32">
        <v>40</v>
      </c>
    </row>
    <row r="6" spans="1:24" ht="21" thickBot="1">
      <c r="A6" s="16"/>
      <c r="B6" s="20"/>
      <c r="C6" s="90"/>
      <c r="D6" s="92"/>
      <c r="E6" s="33"/>
      <c r="F6" s="94" t="s">
        <v>8</v>
      </c>
      <c r="G6" s="94"/>
      <c r="H6" s="94"/>
      <c r="I6" s="34"/>
      <c r="J6" s="35"/>
      <c r="K6" s="36" t="s">
        <v>9</v>
      </c>
      <c r="L6" s="37"/>
      <c r="M6" s="37"/>
      <c r="N6" s="20">
        <v>3</v>
      </c>
      <c r="O6" s="28" t="s">
        <v>51</v>
      </c>
      <c r="P6" s="38">
        <v>0.6</v>
      </c>
      <c r="Q6" s="38">
        <v>0.8</v>
      </c>
      <c r="R6" s="39">
        <v>0.6</v>
      </c>
      <c r="S6" s="39">
        <v>0.8</v>
      </c>
      <c r="T6" s="39">
        <v>0.8</v>
      </c>
      <c r="U6" s="39">
        <v>0.8</v>
      </c>
      <c r="V6" s="39">
        <v>0.8</v>
      </c>
      <c r="W6" s="39">
        <v>0.6</v>
      </c>
      <c r="X6" s="39">
        <v>0.6</v>
      </c>
    </row>
    <row r="7" spans="1:24">
      <c r="A7" s="16"/>
      <c r="B7" s="20"/>
      <c r="C7" s="40"/>
      <c r="D7" s="41"/>
      <c r="E7" s="30"/>
      <c r="F7" s="30"/>
      <c r="G7" s="30"/>
      <c r="H7" s="30"/>
      <c r="I7" s="42"/>
      <c r="J7" s="35"/>
      <c r="K7" s="43" t="s">
        <v>10</v>
      </c>
      <c r="L7" s="44">
        <f>HLOOKUP(L$2,INPUTS,6)</f>
        <v>2</v>
      </c>
      <c r="M7" s="44">
        <f>HLOOKUP(M$2,P4:X10,6)</f>
        <v>2</v>
      </c>
      <c r="N7" s="20">
        <v>4</v>
      </c>
      <c r="O7" s="28" t="s">
        <v>52</v>
      </c>
      <c r="P7" s="81">
        <v>1.4</v>
      </c>
      <c r="Q7" s="81">
        <v>3</v>
      </c>
      <c r="R7" s="28">
        <v>1</v>
      </c>
      <c r="S7" s="81">
        <v>3</v>
      </c>
      <c r="T7" s="81">
        <v>4</v>
      </c>
      <c r="U7" s="81">
        <v>4</v>
      </c>
      <c r="V7" s="81">
        <v>5</v>
      </c>
      <c r="W7" s="28">
        <v>1</v>
      </c>
      <c r="X7" s="28">
        <v>1</v>
      </c>
    </row>
    <row r="8" spans="1:24">
      <c r="A8" s="16"/>
      <c r="B8" s="20"/>
      <c r="C8" s="45"/>
      <c r="D8" s="88" t="s">
        <v>4</v>
      </c>
      <c r="E8" s="24"/>
      <c r="F8" s="46">
        <f>+L3</f>
        <v>6250</v>
      </c>
      <c r="G8" s="46" t="s">
        <v>11</v>
      </c>
      <c r="H8" s="47">
        <f>L4</f>
        <v>0.6</v>
      </c>
      <c r="I8" s="48"/>
      <c r="J8" s="24"/>
      <c r="K8" s="49" t="s">
        <v>12</v>
      </c>
      <c r="L8" s="37"/>
      <c r="M8" s="37"/>
      <c r="N8" s="20">
        <v>5</v>
      </c>
      <c r="O8" s="50" t="s">
        <v>53</v>
      </c>
      <c r="P8" s="84">
        <v>40</v>
      </c>
      <c r="Q8" s="84">
        <v>60</v>
      </c>
      <c r="R8" s="85">
        <v>45</v>
      </c>
      <c r="S8" s="83">
        <v>60</v>
      </c>
      <c r="T8" s="83">
        <v>70</v>
      </c>
      <c r="U8" s="83">
        <v>70</v>
      </c>
      <c r="V8" s="83">
        <v>80</v>
      </c>
      <c r="W8" s="83">
        <v>164</v>
      </c>
      <c r="X8" s="51">
        <v>40</v>
      </c>
    </row>
    <row r="9" spans="1:24">
      <c r="A9" s="16"/>
      <c r="B9" s="20"/>
      <c r="C9" s="45"/>
      <c r="D9" s="88"/>
      <c r="E9" s="24"/>
      <c r="F9" s="52">
        <f>1/L7</f>
        <v>0.5</v>
      </c>
      <c r="G9" s="35" t="s">
        <v>5</v>
      </c>
      <c r="H9" s="52">
        <f>+(1/(1000/L9))*(L10/L21)</f>
        <v>0.9</v>
      </c>
      <c r="I9" s="53"/>
      <c r="J9" s="54"/>
      <c r="K9" s="49" t="s">
        <v>13</v>
      </c>
      <c r="L9" s="31">
        <f>HLOOKUP(L$2,INPUTS,7)</f>
        <v>3</v>
      </c>
      <c r="M9" s="55">
        <f>HLOOKUP(M$2,INPUTS,7)</f>
        <v>4</v>
      </c>
      <c r="N9" s="20">
        <v>6</v>
      </c>
      <c r="O9" s="56" t="s">
        <v>54</v>
      </c>
      <c r="P9" s="57">
        <v>2</v>
      </c>
      <c r="Q9" s="57">
        <v>2</v>
      </c>
      <c r="R9" s="57">
        <v>2</v>
      </c>
      <c r="S9" s="57">
        <v>2</v>
      </c>
      <c r="T9" s="57">
        <v>2</v>
      </c>
      <c r="U9" s="57">
        <v>2</v>
      </c>
      <c r="V9" s="57">
        <v>2</v>
      </c>
      <c r="W9" s="57">
        <v>2</v>
      </c>
      <c r="X9" s="57">
        <v>2</v>
      </c>
    </row>
    <row r="10" spans="1:24">
      <c r="A10" s="16"/>
      <c r="B10" s="20"/>
      <c r="C10" s="45"/>
      <c r="D10" s="35"/>
      <c r="E10" s="24"/>
      <c r="F10" s="24"/>
      <c r="G10" s="24"/>
      <c r="H10" s="24"/>
      <c r="I10" s="58"/>
      <c r="J10" s="35"/>
      <c r="K10" s="49" t="s">
        <v>14</v>
      </c>
      <c r="L10" s="59">
        <v>300</v>
      </c>
      <c r="M10" s="59">
        <v>300</v>
      </c>
      <c r="N10" s="20">
        <v>7</v>
      </c>
      <c r="O10" s="28" t="s">
        <v>47</v>
      </c>
      <c r="P10" s="60">
        <v>3</v>
      </c>
      <c r="Q10" s="60">
        <v>4</v>
      </c>
      <c r="R10" s="60">
        <v>0.25</v>
      </c>
      <c r="S10" s="60">
        <v>4</v>
      </c>
      <c r="T10" s="60">
        <v>0.25</v>
      </c>
      <c r="U10" s="60">
        <v>0.25</v>
      </c>
      <c r="V10" s="60">
        <v>0.25</v>
      </c>
      <c r="W10" s="60">
        <v>1</v>
      </c>
      <c r="X10" s="60">
        <v>1</v>
      </c>
    </row>
    <row r="11" spans="1:24" ht="21" thickBot="1">
      <c r="A11" s="16"/>
      <c r="B11" s="20"/>
      <c r="C11" s="45"/>
      <c r="D11" s="88" t="s">
        <v>4</v>
      </c>
      <c r="E11" s="24"/>
      <c r="F11" s="95">
        <f>+F8*H8</f>
        <v>3750</v>
      </c>
      <c r="G11" s="95"/>
      <c r="H11" s="24"/>
      <c r="I11" s="48"/>
      <c r="J11" s="24"/>
      <c r="K11" s="61" t="s">
        <v>15</v>
      </c>
      <c r="L11" s="37"/>
      <c r="M11" s="37"/>
      <c r="N11" s="20"/>
      <c r="U11" s="16"/>
    </row>
    <row r="12" spans="1:24">
      <c r="A12" s="16"/>
      <c r="B12" s="20"/>
      <c r="C12" s="45"/>
      <c r="D12" s="88"/>
      <c r="E12" s="24"/>
      <c r="F12" s="96">
        <f>+F9+H9</f>
        <v>1.4</v>
      </c>
      <c r="G12" s="96"/>
      <c r="H12" s="96"/>
      <c r="I12" s="48"/>
      <c r="J12" s="24"/>
      <c r="K12" s="30" t="s">
        <v>16</v>
      </c>
      <c r="L12" s="62" t="s">
        <v>55</v>
      </c>
      <c r="M12" s="62" t="s">
        <v>63</v>
      </c>
      <c r="N12" s="20"/>
      <c r="O12" s="87" t="s">
        <v>57</v>
      </c>
      <c r="P12" s="87"/>
      <c r="Q12" s="87"/>
      <c r="R12" s="87"/>
      <c r="U12" s="16"/>
    </row>
    <row r="13" spans="1:24">
      <c r="A13" s="16"/>
      <c r="B13" s="20"/>
      <c r="C13" s="45"/>
      <c r="D13" s="35"/>
      <c r="E13" s="24"/>
      <c r="F13" s="24"/>
      <c r="G13" s="24"/>
      <c r="H13" s="24"/>
      <c r="I13" s="48"/>
      <c r="J13" s="24"/>
      <c r="K13" s="49" t="s">
        <v>17</v>
      </c>
      <c r="L13" s="59">
        <f>IF(+(L3*L4)/((1/L7)+(1/(1000/L9))*(L10/L21))&gt;(L3*L5),L3*L5,(L3*L4)/((1/L7)+(1/(1000/L9))*(L10/L21)))</f>
        <v>2678.5714285714289</v>
      </c>
      <c r="M13" s="59">
        <f>IF(+(M3*M4)/((1/M7)+(1/(1000/M9))*(M10/M21))&gt;(M3*M5),M3*M5,(M3*M4)/((1/M7)+(1/(1000/M9))*(M10/M21)))</f>
        <v>2941.1764705882356</v>
      </c>
      <c r="N13" s="20"/>
      <c r="P13" s="29" t="s">
        <v>28</v>
      </c>
      <c r="Q13" s="29" t="s">
        <v>29</v>
      </c>
      <c r="R13" s="29" t="s">
        <v>26</v>
      </c>
      <c r="S13" s="29" t="s">
        <v>65</v>
      </c>
      <c r="T13" s="29" t="s">
        <v>30</v>
      </c>
      <c r="U13" s="29" t="s">
        <v>25</v>
      </c>
      <c r="V13" s="29" t="s">
        <v>31</v>
      </c>
      <c r="W13" s="29" t="s">
        <v>66</v>
      </c>
      <c r="X13" s="29" t="s">
        <v>67</v>
      </c>
    </row>
    <row r="14" spans="1:24" ht="19.5" customHeight="1" thickBot="1">
      <c r="A14" s="16"/>
      <c r="B14" s="20"/>
      <c r="C14" s="63"/>
      <c r="D14" s="64" t="s">
        <v>4</v>
      </c>
      <c r="E14" s="33"/>
      <c r="F14" s="65">
        <f>IF((L3*L4)/((1/L7)+(1/(1000/L9))*(L10/L21))&gt;(L3*L5),L3*L5,(L3*L4)/((1/L7)+(1/(1000/L9))*(L10/L21)))</f>
        <v>2678.5714285714289</v>
      </c>
      <c r="G14" s="66"/>
      <c r="H14" s="67" t="s">
        <v>64</v>
      </c>
      <c r="I14" s="68"/>
      <c r="J14" s="24"/>
      <c r="K14" s="49" t="s">
        <v>12</v>
      </c>
      <c r="L14" s="59">
        <f>+(L13/(1000/L9))*L10</f>
        <v>2410.7142857142858</v>
      </c>
      <c r="M14" s="59">
        <f>+(M13/(1000/M9))*M10</f>
        <v>3529.4117647058824</v>
      </c>
      <c r="N14" s="20"/>
      <c r="O14" s="69" t="s">
        <v>68</v>
      </c>
      <c r="P14" s="69">
        <v>125</v>
      </c>
      <c r="Q14" s="69">
        <v>125</v>
      </c>
      <c r="R14" s="70">
        <v>125</v>
      </c>
      <c r="S14" s="69">
        <v>125</v>
      </c>
      <c r="T14" s="69">
        <v>125</v>
      </c>
      <c r="U14" s="69">
        <v>125</v>
      </c>
    </row>
    <row r="15" spans="1:24" ht="21" thickBot="1">
      <c r="A15" s="16"/>
      <c r="B15" s="20"/>
      <c r="C15" s="20"/>
      <c r="D15" s="20"/>
      <c r="E15" s="20"/>
      <c r="F15" s="20"/>
      <c r="G15" s="71"/>
      <c r="H15" s="72"/>
      <c r="I15" s="73"/>
      <c r="J15" s="73"/>
      <c r="K15" s="74" t="s">
        <v>18</v>
      </c>
      <c r="L15" s="75">
        <f>+L14/L10</f>
        <v>8.0357142857142865</v>
      </c>
      <c r="M15" s="75">
        <f>+M14/M10</f>
        <v>11.764705882352942</v>
      </c>
      <c r="N15" s="20"/>
      <c r="O15" s="69" t="s">
        <v>58</v>
      </c>
      <c r="P15" s="69">
        <v>25</v>
      </c>
      <c r="Q15" s="69">
        <v>25</v>
      </c>
      <c r="R15" s="70">
        <v>25</v>
      </c>
      <c r="S15" s="69">
        <v>25</v>
      </c>
      <c r="T15" s="69">
        <v>25</v>
      </c>
      <c r="U15" s="69">
        <v>25</v>
      </c>
    </row>
    <row r="16" spans="1:24">
      <c r="A16" s="15"/>
      <c r="B16" s="20"/>
      <c r="C16" s="20"/>
      <c r="D16" s="20"/>
      <c r="E16" s="20"/>
      <c r="F16" s="20"/>
      <c r="G16" s="21"/>
      <c r="H16" s="21"/>
      <c r="I16" s="21"/>
      <c r="J16" s="21"/>
      <c r="K16" s="61" t="s">
        <v>19</v>
      </c>
      <c r="L16" s="37"/>
      <c r="M16" s="20"/>
      <c r="N16" s="20"/>
      <c r="O16" s="69" t="s">
        <v>59</v>
      </c>
      <c r="P16" s="76">
        <v>0.1</v>
      </c>
      <c r="Q16" s="76">
        <v>0.1</v>
      </c>
      <c r="R16" s="76">
        <v>0.1</v>
      </c>
      <c r="S16" s="76">
        <v>0.1</v>
      </c>
      <c r="T16" s="76">
        <v>0.1</v>
      </c>
      <c r="U16" s="76">
        <v>0.1</v>
      </c>
    </row>
    <row r="17" spans="11:22">
      <c r="K17" s="36" t="s">
        <v>21</v>
      </c>
      <c r="L17" s="77">
        <f>L13/L7</f>
        <v>1339.2857142857144</v>
      </c>
      <c r="M17" s="77">
        <f>M13/M7</f>
        <v>1470.5882352941178</v>
      </c>
      <c r="N17" s="20"/>
      <c r="O17" s="69" t="s">
        <v>61</v>
      </c>
      <c r="P17" s="86">
        <v>7.4999999999999997E-2</v>
      </c>
      <c r="Q17" s="86">
        <v>7.4999999999999997E-2</v>
      </c>
      <c r="R17" s="86">
        <v>7.4999999999999997E-2</v>
      </c>
      <c r="S17" s="86">
        <v>7.4999999999999997E-2</v>
      </c>
      <c r="T17" s="86">
        <v>7.4999999999999997E-2</v>
      </c>
      <c r="U17" s="86">
        <v>7.4999999999999997E-2</v>
      </c>
      <c r="V17" s="86">
        <v>7.4999999999999997E-2</v>
      </c>
    </row>
    <row r="18" spans="11:22">
      <c r="K18" s="36" t="s">
        <v>20</v>
      </c>
      <c r="L18" s="59">
        <f>L14/L21</f>
        <v>2410.7142857142858</v>
      </c>
      <c r="M18" s="59">
        <f>M14/M21</f>
        <v>3529.4117647058824</v>
      </c>
      <c r="N18" s="20"/>
      <c r="O18" s="69" t="s">
        <v>60</v>
      </c>
      <c r="P18" s="76">
        <v>0.25</v>
      </c>
      <c r="Q18" s="76">
        <v>0.25</v>
      </c>
      <c r="R18" s="76">
        <v>0.25</v>
      </c>
      <c r="S18" s="76">
        <v>0.25</v>
      </c>
      <c r="T18" s="76">
        <v>0.25</v>
      </c>
      <c r="U18" s="76">
        <v>0.25</v>
      </c>
    </row>
    <row r="19" spans="11:22">
      <c r="K19" s="36" t="s">
        <v>22</v>
      </c>
      <c r="L19" s="59">
        <f>+L3*(1-L4)</f>
        <v>2500</v>
      </c>
      <c r="M19" s="59">
        <f>+M3*(1-M4)</f>
        <v>1249.9999999999998</v>
      </c>
      <c r="N19" s="20"/>
      <c r="U19" s="16"/>
    </row>
    <row r="20" spans="11:22" ht="21" thickBot="1">
      <c r="K20" s="78" t="s">
        <v>23</v>
      </c>
      <c r="L20" s="75">
        <f>SUM(L17:L19)</f>
        <v>6250</v>
      </c>
      <c r="M20" s="75">
        <f>SUM(M17:M19)</f>
        <v>6250</v>
      </c>
      <c r="N20" s="20"/>
      <c r="O20" s="87" t="s">
        <v>62</v>
      </c>
      <c r="P20" s="87"/>
      <c r="Q20" s="87"/>
      <c r="R20" s="87"/>
      <c r="U20" s="16"/>
    </row>
    <row r="21" spans="11:22" ht="21" thickBot="1">
      <c r="K21" s="74"/>
      <c r="L21" s="75">
        <v>1</v>
      </c>
      <c r="M21" s="75">
        <v>1</v>
      </c>
      <c r="N21" s="20"/>
      <c r="U21" s="16"/>
    </row>
    <row r="22" spans="11:22">
      <c r="N22" s="20"/>
      <c r="R22" s="13">
        <f>((R14*R15)-(((R14*R17)*R15)+((R14*R18)*R15)+((R14-(R14*R17)-(R14*R18))*(R16*R15)*2)))/(R14*R15)</f>
        <v>0.54</v>
      </c>
      <c r="U22" s="16"/>
    </row>
    <row r="23" spans="11:22">
      <c r="N23" s="20"/>
      <c r="U23" s="16"/>
    </row>
    <row r="24" spans="11:22">
      <c r="U24" s="16"/>
      <c r="V24" s="79"/>
    </row>
    <row r="25" spans="11:22">
      <c r="U25" s="80"/>
      <c r="V25" s="79"/>
    </row>
    <row r="26" spans="11:22">
      <c r="U26" s="16"/>
    </row>
    <row r="27" spans="11:22">
      <c r="O27" s="20"/>
      <c r="P27" s="20"/>
      <c r="Q27" s="20"/>
    </row>
    <row r="28" spans="11:22">
      <c r="O28" s="20"/>
      <c r="P28" s="20"/>
      <c r="Q28" s="20"/>
    </row>
    <row r="29" spans="11:22">
      <c r="O29" s="20"/>
      <c r="P29" s="20"/>
      <c r="Q29" s="20"/>
    </row>
    <row r="30" spans="11:22">
      <c r="O30" s="20"/>
      <c r="P30" s="20"/>
      <c r="Q30" s="20"/>
    </row>
    <row r="31" spans="11:22">
      <c r="O31" s="20"/>
      <c r="P31" s="20"/>
      <c r="Q31" s="20"/>
    </row>
    <row r="32" spans="11:22">
      <c r="O32" s="20"/>
      <c r="P32" s="20"/>
      <c r="Q32" s="20"/>
    </row>
    <row r="33" spans="1:17">
      <c r="O33" s="20"/>
      <c r="P33" s="20"/>
      <c r="Q33" s="20"/>
    </row>
    <row r="34" spans="1:17">
      <c r="O34" s="20"/>
      <c r="P34" s="20"/>
      <c r="Q34" s="20"/>
    </row>
    <row r="35" spans="1:17">
      <c r="O35" s="20"/>
      <c r="P35" s="20"/>
      <c r="Q35" s="20"/>
    </row>
    <row r="36" spans="1:17">
      <c r="A36" s="20"/>
      <c r="K36" s="20"/>
      <c r="L36" s="20"/>
      <c r="M36" s="20"/>
      <c r="N36" s="20"/>
      <c r="O36" s="20"/>
      <c r="P36" s="20"/>
      <c r="Q36" s="20"/>
    </row>
    <row r="37" spans="1:17">
      <c r="A37" s="20"/>
      <c r="K37" s="20"/>
      <c r="L37" s="20"/>
      <c r="M37" s="20"/>
      <c r="N37" s="20"/>
      <c r="O37" s="20"/>
      <c r="P37" s="20"/>
      <c r="Q37" s="20"/>
    </row>
    <row r="38" spans="1:17">
      <c r="A38" s="16"/>
      <c r="B38" s="20"/>
      <c r="C38" s="21"/>
      <c r="D38" s="21"/>
      <c r="E38" s="21"/>
      <c r="F38" s="21"/>
      <c r="G38" s="21"/>
      <c r="H38" s="21"/>
      <c r="I38" s="21"/>
      <c r="J38" s="21"/>
      <c r="K38" s="20"/>
      <c r="L38" s="20"/>
      <c r="M38" s="20"/>
      <c r="N38" s="20"/>
      <c r="O38" s="20"/>
      <c r="P38" s="20"/>
      <c r="Q38" s="20"/>
    </row>
    <row r="39" spans="1:17">
      <c r="A39" s="1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17">
      <c r="A40" s="16"/>
      <c r="C40" s="21"/>
      <c r="D40" s="21"/>
      <c r="E40" s="21"/>
      <c r="F40" s="21"/>
      <c r="G40" s="21"/>
      <c r="H40" s="21"/>
      <c r="I40" s="21"/>
      <c r="J40" s="21"/>
      <c r="K40" s="20"/>
      <c r="L40" s="20"/>
      <c r="M40" s="20"/>
      <c r="N40" s="20"/>
      <c r="O40" s="20"/>
      <c r="P40" s="20"/>
      <c r="Q40" s="20"/>
    </row>
    <row r="41" spans="1:17">
      <c r="C41" s="21"/>
      <c r="D41" s="21"/>
      <c r="E41" s="21"/>
      <c r="F41" s="21"/>
      <c r="G41" s="21"/>
      <c r="H41" s="21"/>
      <c r="I41" s="21"/>
      <c r="J41" s="21"/>
      <c r="K41" s="20"/>
      <c r="L41" s="20"/>
      <c r="M41" s="20"/>
      <c r="N41" s="20"/>
      <c r="O41" s="20"/>
      <c r="P41" s="20"/>
      <c r="Q41" s="20"/>
    </row>
    <row r="42" spans="1:17">
      <c r="C42" s="21"/>
      <c r="D42" s="21"/>
      <c r="E42" s="21"/>
      <c r="F42" s="21"/>
      <c r="G42" s="21"/>
      <c r="H42" s="21"/>
      <c r="I42" s="21"/>
      <c r="J42" s="21"/>
      <c r="K42" s="20"/>
      <c r="L42" s="20"/>
      <c r="M42" s="20"/>
      <c r="N42" s="20"/>
      <c r="O42" s="20"/>
      <c r="P42" s="20"/>
      <c r="Q42" s="20"/>
    </row>
    <row r="43" spans="1:17">
      <c r="C43" s="21"/>
      <c r="D43" s="21"/>
      <c r="E43" s="21"/>
      <c r="F43" s="21"/>
      <c r="G43" s="21"/>
      <c r="H43" s="21"/>
      <c r="I43" s="21"/>
      <c r="J43" s="21"/>
      <c r="K43" s="20"/>
      <c r="L43" s="20"/>
      <c r="M43" s="20"/>
      <c r="N43" s="20"/>
      <c r="O43" s="20"/>
      <c r="P43" s="20"/>
      <c r="Q43" s="20"/>
    </row>
    <row r="44" spans="1:17">
      <c r="C44" s="21"/>
      <c r="D44" s="21"/>
      <c r="E44" s="21"/>
      <c r="F44" s="21"/>
      <c r="G44" s="21"/>
      <c r="H44" s="21"/>
      <c r="I44" s="21"/>
      <c r="J44" s="21"/>
      <c r="K44" s="20"/>
      <c r="L44" s="20"/>
      <c r="M44" s="20"/>
      <c r="N44" s="20"/>
      <c r="O44" s="20"/>
      <c r="P44" s="20"/>
      <c r="Q44" s="20"/>
    </row>
    <row r="45" spans="1:17">
      <c r="C45" s="21"/>
      <c r="D45" s="21"/>
      <c r="E45" s="21"/>
      <c r="F45" s="21"/>
      <c r="G45" s="21"/>
      <c r="H45" s="21"/>
      <c r="I45" s="21"/>
      <c r="J45" s="21"/>
      <c r="K45" s="20"/>
      <c r="L45" s="20"/>
      <c r="M45" s="20"/>
      <c r="N45" s="20"/>
      <c r="O45" s="20"/>
      <c r="P45" s="20"/>
      <c r="Q45" s="20"/>
    </row>
    <row r="46" spans="1:17">
      <c r="C46" s="21"/>
      <c r="D46" s="21"/>
      <c r="E46" s="21"/>
      <c r="F46" s="21"/>
      <c r="G46" s="21"/>
      <c r="H46" s="21"/>
      <c r="I46" s="21"/>
      <c r="J46" s="21"/>
      <c r="K46" s="20"/>
      <c r="L46" s="20"/>
      <c r="M46" s="20"/>
      <c r="N46" s="20"/>
      <c r="O46" s="20"/>
      <c r="P46" s="20"/>
      <c r="Q46" s="20"/>
    </row>
    <row r="47" spans="1:17">
      <c r="C47" s="21"/>
      <c r="D47" s="21"/>
      <c r="E47" s="21"/>
      <c r="F47" s="21"/>
      <c r="G47" s="21"/>
      <c r="H47" s="21"/>
      <c r="I47" s="21"/>
      <c r="J47" s="21"/>
      <c r="K47" s="20"/>
      <c r="L47" s="20"/>
      <c r="M47" s="20"/>
      <c r="N47" s="20"/>
      <c r="O47" s="20"/>
      <c r="P47" s="20"/>
      <c r="Q47" s="20"/>
    </row>
    <row r="48" spans="1:17">
      <c r="C48" s="21"/>
      <c r="D48" s="21"/>
      <c r="E48" s="21"/>
      <c r="F48" s="21"/>
      <c r="G48" s="21"/>
      <c r="H48" s="21"/>
      <c r="I48" s="21"/>
      <c r="J48" s="21"/>
      <c r="K48" s="20"/>
      <c r="L48" s="20"/>
      <c r="M48" s="20"/>
      <c r="N48" s="20"/>
      <c r="O48" s="20"/>
      <c r="P48" s="20"/>
      <c r="Q48" s="20"/>
    </row>
    <row r="49" spans="3:17">
      <c r="C49" s="21"/>
      <c r="D49" s="21"/>
      <c r="E49" s="21"/>
      <c r="F49" s="21"/>
      <c r="G49" s="21"/>
      <c r="H49" s="21"/>
      <c r="I49" s="21"/>
      <c r="J49" s="21"/>
      <c r="K49" s="20"/>
      <c r="L49" s="20"/>
      <c r="M49" s="20"/>
      <c r="N49" s="20"/>
      <c r="O49" s="20"/>
      <c r="P49" s="20"/>
      <c r="Q49" s="20"/>
    </row>
    <row r="50" spans="3:17">
      <c r="C50" s="21"/>
      <c r="D50" s="21"/>
      <c r="E50" s="21"/>
      <c r="F50" s="21"/>
      <c r="G50" s="21"/>
      <c r="H50" s="21"/>
      <c r="I50" s="21"/>
      <c r="J50" s="21"/>
      <c r="K50" s="20"/>
      <c r="L50" s="20"/>
      <c r="M50" s="20"/>
      <c r="N50" s="20"/>
      <c r="O50" s="20"/>
      <c r="P50" s="20"/>
      <c r="Q50" s="20"/>
    </row>
    <row r="51" spans="3:17">
      <c r="C51" s="21"/>
      <c r="D51" s="21"/>
      <c r="E51" s="21"/>
      <c r="F51" s="21"/>
      <c r="G51" s="21"/>
      <c r="H51" s="21"/>
      <c r="I51" s="21"/>
      <c r="J51" s="21"/>
      <c r="K51" s="20"/>
      <c r="L51" s="20"/>
      <c r="M51" s="20"/>
      <c r="N51" s="20"/>
      <c r="O51" s="20"/>
      <c r="P51" s="20"/>
      <c r="Q51" s="20"/>
    </row>
    <row r="52" spans="3:17">
      <c r="K52" s="16"/>
      <c r="L52" s="16"/>
      <c r="M52" s="16"/>
      <c r="N52" s="16"/>
      <c r="O52" s="16"/>
      <c r="P52" s="16"/>
      <c r="Q52" s="16"/>
    </row>
    <row r="53" spans="3:17">
      <c r="K53" s="16"/>
      <c r="L53" s="16"/>
      <c r="M53" s="16"/>
      <c r="N53" s="16"/>
      <c r="O53" s="16"/>
      <c r="P53" s="16"/>
      <c r="Q53" s="16"/>
    </row>
    <row r="54" spans="3:17">
      <c r="K54" s="16"/>
      <c r="L54" s="16"/>
      <c r="M54" s="16"/>
      <c r="N54" s="16"/>
      <c r="O54" s="16"/>
      <c r="P54" s="16"/>
      <c r="Q54" s="16"/>
    </row>
    <row r="55" spans="3:17">
      <c r="K55" s="16"/>
      <c r="L55" s="16"/>
      <c r="M55" s="16"/>
      <c r="N55" s="16"/>
      <c r="O55" s="16"/>
      <c r="P55" s="16"/>
      <c r="Q55" s="16"/>
    </row>
    <row r="56" spans="3:17">
      <c r="K56" s="16"/>
      <c r="L56" s="16"/>
      <c r="M56" s="16"/>
      <c r="N56" s="16"/>
      <c r="O56" s="16"/>
      <c r="P56" s="16"/>
      <c r="Q56" s="16"/>
    </row>
  </sheetData>
  <mergeCells count="10">
    <mergeCell ref="O20:R20"/>
    <mergeCell ref="O12:R12"/>
    <mergeCell ref="D8:D9"/>
    <mergeCell ref="C5:C6"/>
    <mergeCell ref="D5:D6"/>
    <mergeCell ref="F5:H5"/>
    <mergeCell ref="F6:H6"/>
    <mergeCell ref="D11:D12"/>
    <mergeCell ref="F11:G11"/>
    <mergeCell ref="F12:H1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workbookViewId="0">
      <selection activeCell="G17" sqref="G17"/>
    </sheetView>
  </sheetViews>
  <sheetFormatPr baseColWidth="10" defaultColWidth="8.83203125" defaultRowHeight="14" x14ac:dyDescent="0"/>
  <cols>
    <col min="2" max="2" width="10.33203125" customWidth="1"/>
    <col min="3" max="3" width="14.5" customWidth="1"/>
    <col min="4" max="4" width="11.5" customWidth="1"/>
    <col min="5" max="5" width="15.5" customWidth="1"/>
    <col min="7" max="7" width="11.1640625" customWidth="1"/>
    <col min="9" max="9" width="11" customWidth="1"/>
    <col min="10" max="10" width="11.5" customWidth="1"/>
    <col min="11" max="11" width="11.6640625" customWidth="1"/>
    <col min="12" max="12" width="12" customWidth="1"/>
  </cols>
  <sheetData>
    <row r="3" spans="2:12">
      <c r="B3" s="2" t="s">
        <v>35</v>
      </c>
      <c r="C3" s="2" t="s">
        <v>32</v>
      </c>
      <c r="D3" s="2" t="s">
        <v>33</v>
      </c>
      <c r="E3" s="2" t="s">
        <v>34</v>
      </c>
      <c r="G3" s="4" t="s">
        <v>26</v>
      </c>
      <c r="I3" s="4" t="s">
        <v>28</v>
      </c>
      <c r="K3" s="4" t="s">
        <v>44</v>
      </c>
    </row>
    <row r="4" spans="2:12">
      <c r="B4" s="3" t="s">
        <v>24</v>
      </c>
      <c r="D4" s="3"/>
      <c r="E4" s="3"/>
      <c r="G4" s="3" t="s">
        <v>36</v>
      </c>
      <c r="H4" s="6">
        <v>125</v>
      </c>
      <c r="I4" s="3" t="s">
        <v>36</v>
      </c>
      <c r="J4">
        <v>125</v>
      </c>
      <c r="K4" s="3" t="s">
        <v>36</v>
      </c>
      <c r="L4">
        <v>125</v>
      </c>
    </row>
    <row r="5" spans="2:12">
      <c r="B5" s="2" t="s">
        <v>26</v>
      </c>
      <c r="C5" s="7">
        <f>((H4*H5)-(((H4*H7)*H5)+((H4*H8)*H5)+((H4-(H4*H7)-(H4*H8))*(H6*H5)*2)))/(H4*H5)</f>
        <v>0.48</v>
      </c>
      <c r="D5" s="3" t="s">
        <v>41</v>
      </c>
      <c r="E5" s="3">
        <v>2.5</v>
      </c>
      <c r="G5" s="3" t="s">
        <v>37</v>
      </c>
      <c r="H5" s="6">
        <v>25</v>
      </c>
      <c r="I5" s="3" t="s">
        <v>37</v>
      </c>
      <c r="J5">
        <v>25</v>
      </c>
      <c r="K5" s="3" t="s">
        <v>37</v>
      </c>
      <c r="L5">
        <v>25</v>
      </c>
    </row>
    <row r="6" spans="2:12">
      <c r="B6" s="3" t="s">
        <v>27</v>
      </c>
      <c r="C6" s="3" t="s">
        <v>41</v>
      </c>
      <c r="D6" s="3" t="s">
        <v>41</v>
      </c>
      <c r="E6" s="3" t="s">
        <v>41</v>
      </c>
      <c r="G6" s="3" t="s">
        <v>38</v>
      </c>
      <c r="H6" s="5">
        <v>0.1</v>
      </c>
      <c r="I6" s="3" t="s">
        <v>38</v>
      </c>
      <c r="J6" s="5">
        <v>0.1</v>
      </c>
      <c r="K6" s="3" t="s">
        <v>38</v>
      </c>
      <c r="L6" s="5">
        <v>0.1</v>
      </c>
    </row>
    <row r="7" spans="2:12">
      <c r="B7" s="2" t="s">
        <v>28</v>
      </c>
      <c r="C7" s="8">
        <v>0.59</v>
      </c>
      <c r="D7" s="3">
        <v>1.4</v>
      </c>
      <c r="E7" s="3">
        <v>2.5</v>
      </c>
      <c r="G7" s="3" t="s">
        <v>39</v>
      </c>
      <c r="H7" s="5">
        <v>0.15</v>
      </c>
      <c r="I7" s="3" t="s">
        <v>39</v>
      </c>
      <c r="J7" t="s">
        <v>42</v>
      </c>
      <c r="K7" s="12" t="s">
        <v>39</v>
      </c>
      <c r="L7" s="1" t="s">
        <v>43</v>
      </c>
    </row>
    <row r="8" spans="2:12">
      <c r="B8" s="2" t="s">
        <v>29</v>
      </c>
      <c r="C8" s="3"/>
      <c r="D8" s="3">
        <v>3</v>
      </c>
      <c r="E8" s="3">
        <v>3</v>
      </c>
      <c r="G8" s="3" t="s">
        <v>40</v>
      </c>
      <c r="H8" s="5">
        <v>0.25</v>
      </c>
      <c r="I8" s="3" t="s">
        <v>40</v>
      </c>
      <c r="J8" s="5">
        <v>0.25</v>
      </c>
      <c r="K8" s="3" t="s">
        <v>40</v>
      </c>
      <c r="L8" s="5">
        <v>0.25</v>
      </c>
    </row>
    <row r="9" spans="2:12">
      <c r="B9" s="3" t="s">
        <v>30</v>
      </c>
      <c r="C9" s="3"/>
      <c r="D9" s="3">
        <v>4</v>
      </c>
      <c r="E9" s="3">
        <v>3</v>
      </c>
      <c r="G9" s="11" t="s">
        <v>45</v>
      </c>
      <c r="H9" s="10">
        <v>45</v>
      </c>
      <c r="I9" s="11" t="s">
        <v>45</v>
      </c>
      <c r="J9">
        <v>40</v>
      </c>
      <c r="K9" s="11" t="s">
        <v>45</v>
      </c>
      <c r="L9" s="9">
        <v>55</v>
      </c>
    </row>
    <row r="10" spans="2:12">
      <c r="B10" s="3" t="s">
        <v>25</v>
      </c>
      <c r="C10" s="3"/>
      <c r="D10" s="3">
        <v>4</v>
      </c>
      <c r="E10" s="3">
        <v>3</v>
      </c>
    </row>
    <row r="11" spans="2:12">
      <c r="B11" s="3" t="s">
        <v>31</v>
      </c>
      <c r="C11" s="3"/>
      <c r="D11" s="3">
        <v>1.4</v>
      </c>
      <c r="E11" s="3" t="s">
        <v>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BuildingEnvelope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JRDeLisle</dc:creator>
  <cp:lastModifiedBy>Benjamin Carlson</cp:lastModifiedBy>
  <dcterms:created xsi:type="dcterms:W3CDTF">2015-06-06T20:02:32Z</dcterms:created>
  <dcterms:modified xsi:type="dcterms:W3CDTF">2015-07-19T19:17:20Z</dcterms:modified>
</cp:coreProperties>
</file>